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27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土地案例" sheetId="82" r:id="rId47"/>
    <sheet name="酒店" sheetId="81"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D14" i="77" l="1"/>
  <c r="E116" i="39" l="1"/>
  <c r="F116" i="39" s="1"/>
  <c r="G116" i="39" s="1"/>
  <c r="H116" i="39" s="1"/>
  <c r="D116" i="39"/>
  <c r="I46" i="39"/>
  <c r="G46" i="39"/>
  <c r="E46" i="39"/>
  <c r="I38" i="39"/>
  <c r="G38" i="39"/>
  <c r="E38" i="39"/>
  <c r="I7" i="39"/>
  <c r="G7" i="39"/>
  <c r="E7" i="39"/>
  <c r="I5" i="39"/>
  <c r="G5" i="39"/>
  <c r="E5" i="39"/>
  <c r="E15" i="77"/>
  <c r="D6" i="77"/>
  <c r="B14" i="74"/>
  <c r="C11" i="39"/>
  <c r="C38" i="39"/>
  <c r="D117" i="39"/>
  <c r="E117" i="39" s="1"/>
  <c r="F117" i="39" s="1"/>
  <c r="G117" i="39" s="1"/>
  <c r="H117" i="39" s="1"/>
  <c r="E70" i="39"/>
  <c r="F70" i="39" s="1"/>
  <c r="G70" i="39" s="1"/>
  <c r="H70" i="39" s="1"/>
  <c r="I70" i="39" s="1"/>
  <c r="J70" i="39" s="1"/>
  <c r="K70" i="39" s="1"/>
  <c r="L70" i="39" s="1"/>
  <c r="M70" i="39" s="1"/>
  <c r="D70" i="39"/>
  <c r="E34" i="77"/>
  <c r="D34" i="77"/>
  <c r="C34" i="77"/>
  <c r="B4" i="77"/>
  <c r="Y6" i="1"/>
  <c r="N6" i="1"/>
  <c r="B10" i="80"/>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R34" i="77"/>
  <c r="R33" i="77"/>
  <c r="C30" i="77"/>
  <c r="R27" i="77"/>
  <c r="M24" i="77"/>
  <c r="R23" i="77"/>
  <c r="C23" i="77"/>
  <c r="D23" i="77" s="1"/>
  <c r="R22" i="77"/>
  <c r="R21" i="77"/>
  <c r="N19" i="77"/>
  <c r="R18" i="77"/>
  <c r="D18" i="77"/>
  <c r="R17" i="77"/>
  <c r="D17" i="77"/>
  <c r="R16" i="77"/>
  <c r="D16" i="77"/>
  <c r="D15" i="77"/>
  <c r="M14" i="77"/>
  <c r="N14" i="77" s="1"/>
  <c r="R13" i="77"/>
  <c r="R12" i="77"/>
  <c r="R11" i="77"/>
  <c r="R10" i="77"/>
  <c r="D10" i="77"/>
  <c r="R9" i="77"/>
  <c r="D9" i="77"/>
  <c r="R8" i="77"/>
  <c r="R7" i="77"/>
  <c r="R4" i="77"/>
  <c r="R3" i="77"/>
  <c r="R14" i="77" l="1"/>
  <c r="R24" i="77" s="1"/>
  <c r="D29" i="77"/>
  <c r="E23" i="77"/>
  <c r="C29" i="77"/>
  <c r="R35" i="77"/>
  <c r="U34" i="77" s="1"/>
  <c r="AH9" i="71"/>
  <c r="AG9" i="71"/>
  <c r="AE9" i="71"/>
  <c r="AF9" i="71" s="1"/>
  <c r="AD9" i="71"/>
  <c r="Q9" i="71"/>
  <c r="P9" i="71"/>
  <c r="O9" i="71"/>
  <c r="N9" i="71"/>
  <c r="R25" i="77" l="1"/>
  <c r="R19" i="77"/>
  <c r="E29" i="77"/>
  <c r="AH10" i="71"/>
  <c r="AG10" i="71"/>
  <c r="AE10" i="71"/>
  <c r="AF10" i="71" s="1"/>
  <c r="AD10" i="71"/>
  <c r="Q10" i="71"/>
  <c r="AB9" i="71" s="1"/>
  <c r="P10" i="71"/>
  <c r="AA9" i="71" s="1"/>
  <c r="O10" i="71"/>
  <c r="Y9" i="71" s="1"/>
  <c r="Z9" i="71" s="1"/>
  <c r="N10" i="71"/>
  <c r="X9" i="71" s="1"/>
  <c r="R5" i="77" l="1"/>
  <c r="U5" i="77" s="1"/>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s="1"/>
  <c r="H36" i="39"/>
  <c r="AB36" i="39" s="1"/>
  <c r="J35" i="39"/>
  <c r="AC35" i="39" s="1"/>
  <c r="F35" i="39"/>
  <c r="AA35" i="39" s="1"/>
  <c r="J36" i="39"/>
  <c r="AC36" i="39" s="1"/>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9" i="39"/>
  <c r="AC19" i="39" s="1"/>
  <c r="J17" i="39"/>
  <c r="J27" i="39"/>
  <c r="AC27" i="39" s="1"/>
  <c r="F27" i="39"/>
  <c r="S27" i="39" s="1"/>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s="1"/>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AC43" i="39"/>
  <c r="W43" i="39"/>
  <c r="U45" i="39"/>
  <c r="AB45" i="39"/>
  <c r="AB44" i="39"/>
  <c r="U44" i="39"/>
  <c r="H37" i="39"/>
  <c r="AB37" i="39" s="1"/>
  <c r="AC37" i="39"/>
  <c r="W37" i="39"/>
  <c r="H25" i="39"/>
  <c r="AB25" i="39" s="1"/>
  <c r="J25" i="39"/>
  <c r="W25" i="39" s="1"/>
  <c r="F25" i="39"/>
  <c r="AA25" i="39" s="1"/>
  <c r="F15" i="39"/>
  <c r="AA15" i="39" s="1"/>
  <c r="H15" i="39"/>
  <c r="U15" i="39" s="1"/>
  <c r="J15" i="39"/>
  <c r="W15" i="39" s="1"/>
  <c r="H41" i="39"/>
  <c r="AB41" i="39" s="1"/>
  <c r="AB34" i="39"/>
  <c r="S42" i="39"/>
  <c r="AA41" i="39"/>
  <c r="W9" i="39"/>
  <c r="W8" i="39"/>
  <c r="J19" i="40"/>
  <c r="AC19" i="40"/>
  <c r="J50" i="40"/>
  <c r="H103" i="9"/>
  <c r="D8" i="53" s="1"/>
  <c r="B16" i="53"/>
  <c r="B33" i="72" s="1"/>
  <c r="C7" i="37"/>
  <c r="C7" i="34"/>
  <c r="C7" i="36"/>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S37" i="39"/>
  <c r="U35" i="39"/>
  <c r="F32" i="39"/>
  <c r="AA32" i="39" s="1"/>
  <c r="U25" i="39"/>
  <c r="AB27" i="39"/>
  <c r="U31" i="39"/>
  <c r="J21" i="39"/>
  <c r="W21" i="39" s="1"/>
  <c r="F21" i="39"/>
  <c r="AA21" i="39" s="1"/>
  <c r="H21" i="39"/>
  <c r="U21" i="39" s="1"/>
  <c r="W19" i="39"/>
  <c r="S17" i="39"/>
  <c r="AA12"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C25" i="39"/>
  <c r="U13" i="39"/>
  <c r="AB13" i="39"/>
  <c r="AA13" i="39"/>
  <c r="S13" i="39"/>
  <c r="S14" i="39"/>
  <c r="AA14" i="39"/>
  <c r="AB11" i="39"/>
  <c r="U11" i="39"/>
  <c r="AA27" i="39"/>
  <c r="W17" i="39"/>
  <c r="AC17"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S32"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8" i="76"/>
  <c r="F26" i="67"/>
  <c r="F20" i="31"/>
  <c r="F8" i="15"/>
  <c r="F9" i="15"/>
  <c r="B8" i="76"/>
  <c r="AO13" i="1"/>
  <c r="F16" i="67"/>
  <c r="M6" i="67"/>
  <c r="F38" i="15"/>
  <c r="F5" i="73"/>
  <c r="M22" i="67"/>
  <c r="F7" i="73"/>
  <c r="L47" i="15"/>
  <c r="F3" i="73"/>
  <c r="L47" i="67"/>
  <c r="F13" i="15"/>
  <c r="B7" i="76"/>
  <c r="F43" i="15"/>
  <c r="B11" i="76"/>
  <c r="M26" i="67"/>
  <c r="F6" i="15"/>
  <c r="B9" i="76"/>
  <c r="F37" i="67"/>
  <c r="M23" i="67"/>
  <c r="F4" i="73"/>
  <c r="F36" i="15"/>
  <c r="L48" i="15"/>
  <c r="M22" i="15"/>
  <c r="J15" i="15"/>
  <c r="M9" i="15"/>
  <c r="F40" i="15"/>
  <c r="B10" i="76"/>
  <c r="F16" i="15"/>
  <c r="F42" i="15"/>
  <c r="D7" i="73"/>
  <c r="D3" i="73"/>
  <c r="F7" i="15"/>
  <c r="F36" i="67"/>
  <c r="C76" i="15"/>
  <c r="M26" i="15"/>
  <c r="F9" i="67"/>
  <c r="B13" i="76"/>
  <c r="E11" i="76"/>
  <c r="M28" i="67"/>
  <c r="M24" i="67"/>
  <c r="E9" i="76"/>
  <c r="C76" i="67"/>
  <c r="J15" i="67"/>
  <c r="M24" i="15"/>
  <c r="M28" i="15"/>
  <c r="F37" i="15"/>
  <c r="D4" i="73"/>
  <c r="M6" i="15"/>
  <c r="F43" i="67"/>
  <c r="F7" i="67"/>
  <c r="E7" i="76"/>
  <c r="M8" i="15"/>
  <c r="F42" i="67"/>
  <c r="F38" i="67"/>
  <c r="M8" i="67"/>
  <c r="M9" i="67"/>
  <c r="F26" i="15"/>
  <c r="F6" i="67"/>
  <c r="F13" i="67"/>
  <c r="E13" i="76"/>
  <c r="E12" i="76"/>
  <c r="E2" i="68"/>
  <c r="F40" i="67"/>
  <c r="F6" i="73"/>
  <c r="F8" i="67"/>
  <c r="M29" i="15"/>
  <c r="M23" i="15"/>
  <c r="E2" i="69"/>
  <c r="L48" i="67"/>
  <c r="D5" i="73"/>
  <c r="E10" i="76"/>
  <c r="D6" i="73"/>
  <c r="M29" i="67"/>
  <c r="B12" i="76"/>
  <c r="J57" i="9" l="1"/>
  <c r="J59" i="9" s="1"/>
  <c r="J61" i="9" s="1"/>
  <c r="F8" i="1"/>
  <c r="G8" i="1" s="1"/>
  <c r="G16" i="1" s="1"/>
  <c r="F10" i="39" s="1"/>
  <c r="C36" i="77"/>
  <c r="S19" i="39"/>
  <c r="U19" i="39"/>
  <c r="S15" i="39"/>
  <c r="S21" i="39"/>
  <c r="W27" i="39"/>
  <c r="W23" i="39"/>
  <c r="AB21" i="39"/>
  <c r="U9" i="39"/>
  <c r="AB8" i="39"/>
  <c r="S11" i="39"/>
  <c r="U32" i="39"/>
  <c r="U37" i="39"/>
  <c r="W40" i="39"/>
  <c r="U41" i="39"/>
  <c r="H43" i="39"/>
  <c r="F43" i="39"/>
  <c r="U40" i="39"/>
  <c r="AC11" i="39"/>
  <c r="S9" i="39"/>
  <c r="C28" i="67"/>
  <c r="C21" i="68"/>
  <c r="C40" i="69"/>
  <c r="G28" i="6"/>
  <c r="F29" i="6"/>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F36" i="77" l="1"/>
  <c r="AA43" i="39"/>
  <c r="S43" i="39"/>
  <c r="U43" i="39"/>
  <c r="AB43" i="39"/>
  <c r="E59" i="4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7" i="67"/>
  <c r="C14" i="67"/>
  <c r="C25" i="11" l="1"/>
  <c r="C22" i="11" s="1"/>
  <c r="C31" i="1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0" i="12"/>
  <c r="C28" i="12" s="1"/>
  <c r="J7" i="35"/>
  <c r="D6" i="71"/>
  <c r="C5" i="71"/>
  <c r="Q49" i="67"/>
  <c r="J14" i="67"/>
  <c r="J13" i="67" s="1"/>
  <c r="J23" i="67" s="1"/>
  <c r="C36" i="67"/>
  <c r="C57" i="67"/>
  <c r="C64" i="67" s="1"/>
  <c r="C13" i="67"/>
  <c r="Q70" i="67" s="1"/>
  <c r="C33" i="11"/>
  <c r="C39" i="11" s="1"/>
  <c r="C61" i="67"/>
  <c r="C42" i="68"/>
  <c r="C23" i="15"/>
  <c r="C29" i="15" s="1"/>
  <c r="D13" i="77" s="1"/>
  <c r="D12" i="77" s="1"/>
  <c r="D11" i="77" s="1"/>
  <c r="E11" i="77"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E7" i="77" l="1"/>
  <c r="C27" i="77" s="1"/>
  <c r="D7" i="77"/>
  <c r="C26" i="77" s="1"/>
  <c r="C32" i="77" s="1"/>
  <c r="C38" i="77" s="1"/>
  <c r="C39" i="77" s="1"/>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27" i="77" l="1"/>
  <c r="D26" i="77" s="1"/>
  <c r="D32" i="77" s="1"/>
  <c r="D38" i="77" s="1"/>
  <c r="D39" i="77" s="1"/>
  <c r="E27" i="77"/>
  <c r="E26" i="77" s="1"/>
  <c r="E32" i="77" s="1"/>
  <c r="E38" i="77" s="1"/>
  <c r="E39" i="77"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67"/>
  <c r="C40" i="77" l="1"/>
  <c r="B2" i="77" s="1"/>
  <c r="B3" i="77"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9"/>
  <c r="D2" i="33"/>
  <c r="D20" i="9"/>
  <c r="D21" i="9" l="1"/>
  <c r="D102" i="9"/>
  <c r="C41" i="77"/>
  <c r="D103" i="9"/>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7"/>
  <c r="L51" i="15"/>
  <c r="D2" i="35"/>
  <c r="D2" i="36"/>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11" i="1"/>
  <c r="AO6" i="1"/>
  <c r="AO9" i="1"/>
  <c r="AO10" i="1"/>
  <c r="AO8" i="1"/>
  <c r="AO12" i="1"/>
  <c r="AO7" i="1"/>
  <c r="R48" i="39" l="1"/>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B2" i="70"/>
  <c r="B3" i="70" s="1"/>
  <c r="B56" i="39"/>
  <c r="F56" i="39" s="1"/>
  <c r="C6" i="68"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7" i="68" l="1"/>
  <c r="C5" i="68" s="1"/>
  <c r="F65" i="39"/>
  <c r="B2" i="39" s="1"/>
  <c r="B3" i="39" s="1"/>
  <c r="C42" i="40"/>
  <c r="C43" i="40"/>
  <c r="E47" i="40"/>
  <c r="F47" i="40" s="1"/>
  <c r="E46" i="40"/>
  <c r="F46" i="40" s="1"/>
  <c r="I47" i="40"/>
  <c r="J47" i="40" s="1"/>
  <c r="C23" i="68" l="1"/>
  <c r="C20" i="68"/>
  <c r="B58" i="40"/>
  <c r="F58" i="40" s="1"/>
  <c r="B54" i="40"/>
  <c r="F54" i="40" s="1"/>
  <c r="B53" i="40"/>
  <c r="F53" i="40" s="1"/>
  <c r="B59" i="40"/>
  <c r="F59" i="40" s="1"/>
  <c r="B52" i="40"/>
  <c r="F52" i="40" s="1"/>
  <c r="B56" i="40"/>
  <c r="F56" i="40" s="1"/>
  <c r="B60" i="40"/>
  <c r="F60" i="40" s="1"/>
  <c r="B57" i="40"/>
  <c r="F57" i="40" s="1"/>
  <c r="B51" i="40"/>
  <c r="F51" i="40" s="1"/>
  <c r="F61" i="40"/>
  <c r="B2" i="40" s="1"/>
  <c r="B3" i="40" s="1"/>
  <c r="C28" i="68" l="1"/>
  <c r="C27" i="68" s="1"/>
  <c r="C25" i="68"/>
  <c r="C22" i="68" s="1"/>
  <c r="C31" i="68" l="1"/>
  <c r="C52" i="68" s="1"/>
  <c r="B2" i="68" l="1"/>
  <c r="C57" i="68"/>
  <c r="C56" i="68" s="1"/>
  <c r="C19" i="9"/>
  <c r="C21" i="9" l="1"/>
  <c r="C102" i="9"/>
  <c r="D22" i="9"/>
  <c r="G19" i="9"/>
  <c r="G21" i="9" s="1"/>
  <c r="B3" i="68"/>
  <c r="D35" i="9"/>
  <c r="D34" i="9"/>
  <c r="C20" i="9"/>
  <c r="C103" i="9" l="1"/>
  <c r="G20" i="9"/>
  <c r="C32" i="9" s="1"/>
  <c r="D59" i="9"/>
  <c r="M55" i="9" s="1"/>
  <c r="C35" i="9" l="1"/>
  <c r="H118" i="9"/>
  <c r="C34" i="9" l="1"/>
  <c r="D118" i="9" s="1"/>
  <c r="F118" i="9"/>
  <c r="H4" i="52"/>
  <c r="I118" i="9"/>
  <c r="D14" i="74"/>
  <c r="G14" i="74" s="1"/>
  <c r="B6" i="74" s="1"/>
  <c r="D6" i="74" s="1"/>
  <c r="H101" i="9"/>
  <c r="H119" i="9"/>
  <c r="H5" i="52" s="1"/>
  <c r="C104" i="9"/>
  <c r="E14" i="74" l="1"/>
  <c r="F14" i="74"/>
  <c r="B5" i="74"/>
  <c r="D119" i="9"/>
  <c r="D5" i="52" s="1"/>
  <c r="B49" i="72" s="1"/>
  <c r="D4" i="52"/>
  <c r="B47" i="72" s="1"/>
  <c r="M48" i="9"/>
  <c r="D5" i="53"/>
  <c r="H107" i="9"/>
  <c r="D45" i="9"/>
  <c r="C105" i="9"/>
  <c r="H102" i="9"/>
  <c r="D7" i="53" s="1"/>
  <c r="B21" i="72" s="1"/>
  <c r="I4" i="52"/>
  <c r="F119" i="9"/>
  <c r="F5" i="52" s="1"/>
  <c r="B53" i="72" s="1"/>
  <c r="G118" i="9"/>
  <c r="G4" i="52" s="1"/>
  <c r="B52" i="72" s="1"/>
  <c r="F4" i="52"/>
  <c r="B51" i="72" s="1"/>
  <c r="E118" i="9" l="1"/>
  <c r="E4" i="52" s="1"/>
  <c r="B48" i="72" s="1"/>
  <c r="M49" i="9"/>
  <c r="D122" i="9"/>
  <c r="D13" i="53"/>
  <c r="H108" i="9"/>
  <c r="D53" i="9"/>
  <c r="C64" i="9"/>
  <c r="C63" i="9" s="1"/>
  <c r="C67" i="9" s="1"/>
  <c r="C68" i="9" s="1"/>
  <c r="D54" i="9" s="1"/>
  <c r="D48" i="9" s="1"/>
  <c r="M52" i="9" s="1"/>
  <c r="C78" i="9"/>
  <c r="C73" i="9" s="1"/>
  <c r="D55" i="9"/>
  <c r="M53" i="9" s="1"/>
  <c r="C93" i="9"/>
  <c r="C86" i="9" s="1"/>
  <c r="C85" i="9"/>
  <c r="C72" i="9"/>
  <c r="C79" i="9" s="1"/>
  <c r="D52" i="9"/>
  <c r="B20" i="72"/>
  <c r="D6" i="53"/>
  <c r="B22" i="72" s="1"/>
  <c r="D5" i="74"/>
  <c r="C5" i="74"/>
  <c r="C95" i="9" l="1"/>
  <c r="C6" i="74"/>
  <c r="D15" i="53"/>
  <c r="B31" i="72" s="1"/>
  <c r="D123" i="9"/>
  <c r="D9" i="52" s="1"/>
  <c r="D8" i="52"/>
  <c r="C81" i="9"/>
  <c r="D58" i="9" s="1"/>
  <c r="D56" i="9" s="1"/>
  <c r="M54" i="9" s="1"/>
  <c r="N57" i="9" s="1"/>
  <c r="C80" i="9"/>
  <c r="E80" i="9" s="1"/>
  <c r="E81" i="9" s="1"/>
  <c r="D14" i="53"/>
  <c r="B32" i="72" s="1"/>
  <c r="B30" i="72"/>
  <c r="L68" i="9"/>
  <c r="M68" i="9" s="1"/>
  <c r="L67" i="9"/>
  <c r="M67" i="9" s="1"/>
  <c r="L63" i="9"/>
  <c r="M63" i="9" s="1"/>
  <c r="L65" i="9"/>
  <c r="M65" i="9" s="1"/>
  <c r="L66" i="9"/>
  <c r="M66" i="9" s="1"/>
  <c r="L64" i="9"/>
  <c r="M64" i="9" s="1"/>
  <c r="N59" i="9"/>
  <c r="P57" i="9" l="1"/>
  <c r="N58" i="9"/>
  <c r="N60" i="9"/>
  <c r="H111" i="9"/>
  <c r="N61" i="9"/>
  <c r="H112" i="9" s="1"/>
  <c r="M69" i="9"/>
  <c r="N69" i="9" s="1"/>
  <c r="C96" i="9"/>
  <c r="E96" i="9" s="1"/>
  <c r="E97" i="9" s="1"/>
  <c r="D21" i="53" l="1"/>
  <c r="B39" i="72" s="1"/>
  <c r="C97" i="9"/>
  <c r="D126" i="9"/>
  <c r="I14" i="74" s="1"/>
  <c r="B8" i="74" s="1"/>
  <c r="D8" i="74" s="1"/>
  <c r="D19" i="53"/>
  <c r="C8" i="74" l="1"/>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<sst xmlns="http://schemas.openxmlformats.org/spreadsheetml/2006/main" count="9486" uniqueCount="3799">
  <si>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</si>
  <si>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</si>
  <si>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</si>
  <si>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</si>
  <si>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</si>
  <si>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</si>
  <si>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</si>
  <si>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</si>
  <si>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</si>
  <si>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</si>
  <si>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</si>
  <si>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</si>
  <si>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</si>
  <si>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</si>
  <si>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</si>
  <si>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</si>
  <si>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</si>
  <si>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</si>
  <si>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</si>
  <si>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</si>
  <si>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</si>
  <si>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</si>
  <si>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</si>
  <si>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</si>
  <si>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</si>
  <si>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</si>
  <si>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</si>
  <si>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</si>
  <si>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</si>
  <si>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</si>
  <si>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</si>
  <si>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</si>
  <si>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</si>
  <si>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</si>
  <si>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</si>
  <si>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</si>
  <si>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</si>
  <si>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</si>
  <si>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</si>
  <si>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</si>
  <si>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</si>
  <si>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</si>
  <si>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</si>
  <si>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</si>
  <si>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</si>
  <si>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</si>
  <si>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</si>
  <si>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</si>
  <si>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</si>
  <si>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</si>
  <si>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</si>
  <si>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</si>
  <si>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</si>
  <si>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</si>
  <si>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</si>
  <si>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</si>
  <si>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</si>
  <si>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</si>
  <si>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</si>
  <si>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</si>
  <si>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</si>
  <si>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</si>
  <si>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</si>
  <si>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</si>
  <si>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</si>
  <si>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</si>
  <si>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</si>
  <si>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</si>
  <si>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</si>
  <si>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</si>
  <si>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</si>
  <si>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</si>
  <si>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</si>
  <si>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</si>
  <si>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</si>
  <si>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</si>
  <si>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</si>
  <si>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</si>
  <si>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</si>
  <si>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</si>
  <si>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</si>
  <si>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</si>
  <si>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</si>
  <si>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</si>
  <si>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</si>
  <si>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</si>
  <si>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</si>
  <si>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</si>
  <si>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</si>
  <si>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</si>
  <si>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</si>
  <si>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</si>
  <si>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</si>
  <si>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</si>
  <si>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</si>
  <si>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</si>
  <si>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</si>
  <si>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</si>
  <si>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</si>
  <si>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</si>
  <si>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</si>
  <si>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</si>
  <si>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</si>
  <si>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</si>
  <si>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</si>
  <si>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</si>
  <si>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</si>
  <si>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</si>
  <si>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</si>
  <si>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</si>
  <si>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</si>
  <si>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</si>
  <si>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</si>
  <si>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</si>
  <si>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</si>
  <si>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</si>
  <si>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</si>
  <si>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</si>
  <si>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</si>
  <si>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</si>
  <si>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</si>
  <si>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</si>
  <si>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</si>
  <si>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</si>
  <si>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</si>
  <si>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</si>
  <si>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</si>
  <si>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</si>
  <si>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</si>
  <si>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</si>
  <si>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</si>
  <si>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</si>
  <si>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</si>
  <si>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</si>
  <si>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</si>
  <si>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</si>
  <si>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</si>
  <si>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</si>
  <si>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</si>
  <si>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</si>
  <si>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</si>
  <si>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</si>
  <si>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</si>
  <si>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</si>
  <si>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</si>
  <si>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</si>
  <si>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</si>
  <si>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</si>
  <si>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</si>
  <si>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</si>
  <si>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</si>
  <si>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</si>
  <si>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</si>
  <si>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</si>
  <si>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</si>
  <si>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</si>
  <si>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</si>
  <si>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</si>
  <si>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</si>
  <si>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</si>
  <si>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</si>
  <si>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</si>
  <si>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</si>
  <si>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</si>
  <si>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</si>
  <si>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</si>
  <si>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</si>
  <si>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</si>
  <si>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</si>
  <si>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</si>
  <si>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</si>
  <si>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</si>
  <si>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</si>
  <si>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</si>
  <si>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</si>
  <si>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</si>
  <si>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</si>
  <si>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</si>
  <si>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</si>
  <si>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</si>
  <si>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</si>
  <si>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</si>
  <si>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</si>
  <si>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</si>
  <si>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</si>
  <si>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</si>
  <si>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</si>
  <si>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</si>
  <si>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</si>
  <si>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</si>
  <si>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</si>
  <si>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</si>
  <si>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</si>
  <si>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</si>
  <si>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</si>
  <si>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</si>
  <si>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</si>
  <si>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</si>
  <si>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</si>
  <si>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</si>
  <si>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</si>
  <si>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</si>
  <si>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</si>
  <si>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</si>
  <si>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</si>
  <si>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</si>
  <si>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</si>
  <si>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</si>
  <si>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</si>
  <si>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</si>
  <si>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</si>
  <si>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</si>
  <si>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</si>
  <si>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</si>
  <si>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</si>
  <si>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</si>
  <si>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</si>
  <si>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</si>
  <si>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</si>
  <si>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</si>
  <si>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</si>
  <si>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</si>
  <si>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</si>
  <si>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</si>
  <si>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</si>
  <si>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</si>
  <si>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</si>
  <si>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</si>
  <si>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</si>
  <si>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</si>
  <si>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</si>
  <si>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</si>
  <si>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</si>
  <si>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</si>
  <si>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</si>
  <si>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</si>
  <si>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</si>
  <si>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</si>
  <si>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</si>
  <si>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</si>
  <si>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</si>
  <si>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</si>
  <si>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</si>
  <si>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</si>
  <si>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</si>
  <si>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</si>
  <si>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</si>
  <si>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</si>
  <si>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</si>
  <si>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</si>
  <si>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</si>
  <si>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</si>
  <si>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</si>
  <si>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</si>
  <si>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</si>
  <si>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</si>
  <si>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</si>
  <si>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</si>
  <si>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</si>
  <si>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</si>
  <si>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</si>
  <si>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</si>
  <si>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</si>
  <si>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</si>
  <si>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</si>
  <si>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</si>
  <si>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</si>
  <si>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</si>
  <si>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</si>
  <si>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</si>
  <si>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</si>
  <si>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</si>
  <si>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</si>
  <si>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</si>
  <si>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</si>
  <si>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</si>
  <si>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</si>
  <si>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</si>
  <si>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</si>
  <si>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</si>
  <si>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</si>
  <si>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</si>
  <si>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</si>
  <si>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</si>
  <si>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</si>
  <si>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</si>
  <si>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</si>
  <si>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</si>
  <si>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</si>
  <si>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</si>
  <si>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</si>
  <si>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</si>
  <si>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</si>
  <si>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</si>
  <si>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</si>
  <si>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</si>
  <si>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</si>
  <si>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</si>
  <si>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</si>
  <si>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</si>
  <si>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</si>
  <si>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</si>
  <si>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</si>
  <si>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</si>
  <si>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</si>
  <si>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</si>
  <si>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</si>
  <si>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</si>
  <si>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</si>
  <si>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</si>
  <si>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</si>
  <si>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</si>
  <si>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</si>
  <si>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</si>
  <si>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</si>
  <si>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</si>
  <si>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</si>
  <si>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</si>
  <si>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</si>
  <si>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</si>
  <si>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</si>
  <si>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</si>
  <si>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</si>
  <si>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</si>
  <si>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</si>
  <si>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</si>
  <si>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</si>
  <si>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</si>
  <si>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</si>
  <si>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</si>
  <si>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</si>
  <si>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</si>
  <si>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</si>
  <si>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</si>
  <si>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</si>
  <si>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</si>
  <si>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</si>
  <si>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</si>
  <si>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</si>
  <si>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</si>
  <si>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</si>
  <si>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</si>
  <si>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</si>
  <si>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</si>
  <si>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</si>
  <si>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</si>
  <si>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</si>
  <si>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</si>
  <si>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</si>
  <si>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</si>
  <si>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</si>
  <si>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</si>
  <si>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</si>
  <si>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</si>
  <si>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</si>
  <si>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</si>
  <si>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</si>
  <si>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</si>
  <si>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</si>
  <si>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</si>
  <si>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</si>
  <si>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</si>
  <si>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</si>
  <si>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</si>
  <si>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</si>
  <si>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</si>
  <si>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</si>
  <si>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</si>
  <si>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</si>
  <si>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</si>
  <si>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</si>
  <si>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</si>
  <si>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</si>
  <si>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</si>
  <si>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</si>
  <si>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</si>
  <si>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</si>
  <si>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</si>
  <si>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</si>
  <si>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</si>
  <si>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</si>
  <si>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</si>
  <si>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</si>
  <si>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</si>
  <si>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</si>
  <si>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</si>
  <si>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</si>
  <si>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</si>
  <si>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</si>
  <si>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</si>
  <si>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</si>
  <si>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</si>
  <si>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</si>
  <si>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</si>
  <si>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</si>
  <si>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</si>
  <si>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</si>
  <si>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</si>
  <si>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</si>
  <si>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</si>
  <si>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</si>
  <si>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</si>
  <si>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</si>
  <si>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</si>
  <si>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</si>
  <si>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</si>
  <si>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</si>
  <si>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</si>
  <si>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</si>
  <si>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</si>
  <si>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</si>
  <si>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</si>
  <si>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</si>
  <si>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</si>
  <si>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</si>
  <si>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</si>
  <si>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</si>
  <si>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</si>
  <si>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</si>
  <si>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</si>
  <si>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</si>
  <si>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</si>
  <si>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</si>
  <si>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</si>
  <si>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</si>
  <si>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</si>
  <si>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</si>
  <si>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</si>
  <si>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</si>
  <si>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</si>
  <si>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</si>
  <si>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</si>
  <si>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</si>
  <si>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</si>
  <si>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</si>
  <si>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</si>
  <si>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</si>
  <si>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</si>
  <si>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</si>
  <si>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</si>
  <si>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</si>
  <si>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</si>
  <si>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</si>
  <si>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</si>
  <si>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</si>
  <si>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</si>
  <si>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</si>
  <si>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</si>
  <si>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</si>
  <si>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</si>
  <si>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</si>
  <si>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</si>
  <si>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</si>
  <si>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</si>
  <si>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</si>
  <si>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</si>
  <si>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</si>
  <si>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</si>
  <si>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</si>
  <si>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</si>
  <si>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</si>
  <si>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</si>
  <si>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</si>
  <si>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</si>
  <si>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</si>
  <si>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</si>
  <si>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</si>
  <si>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</si>
  <si>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</si>
  <si>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</si>
  <si>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</si>
  <si>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</si>
  <si>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</si>
  <si>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</si>
  <si>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</si>
  <si>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</si>
  <si>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</si>
  <si>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</si>
  <si>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</si>
  <si>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</si>
  <si>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</si>
  <si>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</si>
  <si>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</si>
  <si>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</si>
  <si>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</si>
  <si>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</si>
  <si>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</si>
  <si>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</si>
  <si>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</si>
  <si>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</si>
  <si>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</si>
  <si>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</si>
  <si>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</si>
  <si>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</si>
  <si>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</si>
  <si>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</si>
  <si>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</si>
  <si>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</si>
  <si>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</si>
  <si>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</si>
  <si>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</si>
  <si>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</si>
  <si>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</si>
  <si>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</si>
  <si>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</si>
  <si>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</si>
  <si>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</si>
  <si>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</si>
  <si>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</si>
  <si>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</si>
  <si>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</si>
  <si>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</si>
  <si>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</si>
  <si>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</si>
  <si>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</si>
  <si>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</si>
  <si>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</si>
  <si>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</si>
  <si>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</si>
  <si>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</si>
  <si>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</si>
  <si>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</si>
  <si>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</si>
  <si>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</si>
  <si>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</si>
  <si>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</si>
  <si>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</si>
  <si>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</si>
  <si>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</si>
  <si>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</si>
  <si>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</si>
  <si>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</si>
  <si>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</si>
  <si>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</si>
  <si>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</si>
  <si>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</si>
  <si>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</si>
  <si>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</si>
  <si>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</si>
  <si>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</si>
  <si>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</si>
  <si>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</si>
  <si>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</si>
  <si>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</si>
  <si>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</si>
  <si>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</si>
  <si>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</si>
  <si>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</si>
  <si>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</si>
  <si>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</si>
  <si>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</si>
  <si>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</si>
  <si>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</si>
  <si>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</si>
  <si>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</si>
  <si>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</si>
  <si>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</si>
  <si>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</si>
  <si>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</si>
  <si>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</si>
  <si>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</si>
  <si>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</si>
  <si>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</si>
  <si>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</si>
  <si>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</si>
  <si>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</si>
  <si>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</si>
  <si>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</si>
  <si>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</si>
  <si>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</si>
  <si>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</si>
  <si>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</si>
  <si>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</si>
  <si>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</si>
  <si>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</si>
  <si>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</si>
  <si>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</si>
  <si>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</si>
  <si>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</si>
  <si>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</si>
  <si>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</si>
  <si>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</si>
  <si>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</si>
  <si>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</si>
  <si>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</si>
  <si>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</si>
  <si>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</si>
  <si>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</si>
  <si>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</si>
  <si>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</si>
  <si>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</si>
  <si>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</si>
  <si>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</si>
  <si>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</si>
  <si>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</si>
  <si>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</si>
  <si>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</si>
  <si>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</si>
  <si>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</si>
  <si>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</si>
  <si>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</si>
  <si>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</si>
  <si>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</si>
  <si>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</si>
  <si>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</si>
  <si>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</si>
  <si>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</si>
  <si>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</si>
  <si>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</si>
  <si>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</si>
  <si>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</si>
  <si>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</si>
  <si>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</si>
  <si>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</si>
  <si>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</si>
  <si>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</si>
  <si>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</si>
  <si>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</si>
  <si>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</si>
  <si>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</si>
  <si>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</si>
  <si>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</si>
  <si>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</si>
  <si>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</si>
  <si>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</si>
  <si>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</si>
  <si>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</si>
  <si>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</si>
  <si>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</si>
  <si>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</si>
  <si>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</si>
  <si>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</si>
  <si>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</si>
  <si>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</si>
  <si>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</si>
  <si>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</si>
  <si>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</si>
  <si>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</si>
  <si>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</si>
  <si>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</si>
  <si>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</si>
  <si>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</si>
  <si>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</si>
  <si>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</si>
  <si>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</si>
  <si>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</si>
  <si>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</si>
  <si>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</si>
  <si>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</si>
  <si>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</si>
  <si>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</si>
  <si>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</si>
  <si>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</si>
  <si>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</si>
  <si>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</si>
  <si>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</si>
  <si>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</si>
  <si>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</si>
  <si>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</si>
  <si>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</si>
  <si>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</si>
  <si>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</si>
  <si>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</si>
  <si>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</si>
  <si>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</si>
  <si>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</si>
  <si>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</si>
  <si>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</si>
  <si>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</si>
  <si>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</si>
  <si>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</si>
  <si>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</si>
  <si>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</si>
  <si>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</si>
  <si>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</si>
  <si>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</si>
  <si>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</si>
  <si>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</si>
  <si>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</si>
  <si>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</si>
  <si>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</si>
  <si>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</si>
  <si>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</si>
  <si>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</si>
  <si>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</si>
  <si>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</si>
  <si>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</si>
  <si>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</si>
  <si>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</si>
  <si>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</si>
  <si>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</si>
  <si>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</si>
  <si>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</si>
  <si>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</si>
  <si>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</si>
  <si>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</si>
  <si>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</si>
  <si>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</si>
  <si>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</si>
  <si>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</si>
  <si>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</si>
  <si>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</si>
  <si>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</si>
  <si>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</si>
  <si>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</si>
  <si>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</si>
  <si>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</si>
  <si>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</si>
  <si>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</si>
  <si>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</si>
  <si>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</si>
  <si>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</si>
  <si>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</si>
  <si>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</si>
  <si>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</si>
  <si>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</si>
  <si>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</si>
  <si>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</si>
  <si>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</si>
  <si>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</si>
  <si>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</si>
  <si>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</si>
  <si>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</si>
  <si>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</si>
  <si>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</si>
  <si>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</si>
  <si>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</si>
  <si>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</si>
  <si>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</si>
  <si>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</si>
  <si>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</si>
  <si>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</si>
  <si>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</si>
  <si>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</si>
  <si>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</si>
  <si>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</si>
  <si>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</si>
  <si>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</si>
  <si>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</si>
  <si>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</si>
  <si>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</si>
  <si>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</si>
  <si>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</si>
  <si>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</si>
  <si>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</si>
  <si>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</si>
  <si>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</si>
  <si>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</si>
  <si>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</si>
  <si>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</si>
  <si>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</si>
  <si>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</si>
  <si>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</si>
  <si>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</si>
  <si>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</si>
  <si>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</si>
  <si>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</si>
  <si>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</si>
  <si>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</si>
  <si>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</si>
  <si>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</si>
  <si>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</si>
  <si>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</si>
  <si>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</si>
  <si>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</si>
  <si>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</si>
  <si>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</si>
  <si>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</si>
  <si>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</si>
  <si>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</si>
  <si>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</si>
  <si>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</si>
  <si>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</si>
  <si>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</si>
  <si>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</si>
  <si>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</si>
  <si>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</si>
  <si>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</si>
  <si>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</si>
  <si>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</si>
  <si>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</si>
  <si>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</si>
  <si>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</si>
  <si>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</si>
  <si>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</si>
  <si>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</si>
  <si>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</si>
  <si>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</si>
  <si>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</si>
  <si>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</si>
  <si>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</si>
  <si>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</si>
  <si>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</si>
  <si>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</si>
  <si>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</si>
  <si>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</si>
  <si>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</si>
  <si>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</si>
  <si>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</si>
  <si>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</si>
  <si>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</si>
  <si>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</si>
  <si>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</si>
  <si>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</si>
  <si>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</si>
  <si>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</si>
  <si>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</si>
  <si>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</si>
  <si>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</si>
  <si>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</si>
  <si>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</si>
  <si>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</si>
  <si>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</si>
  <si>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</si>
  <si>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</si>
  <si>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</si>
  <si>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</si>
  <si>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</si>
  <si>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</si>
  <si>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</si>
  <si>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</si>
  <si>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</si>
  <si>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</si>
  <si>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</si>
  <si>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</si>
  <si>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</si>
  <si>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</si>
  <si>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</si>
  <si>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</si>
  <si>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</si>
  <si>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</si>
  <si>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</si>
  <si>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</si>
  <si>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</si>
  <si>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</si>
  <si>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</si>
  <si>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</si>
  <si>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</si>
  <si>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</si>
  <si>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</si>
  <si>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</si>
  <si>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</si>
  <si>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</si>
  <si>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</si>
  <si>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</si>
  <si>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</si>
  <si>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</si>
  <si>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</si>
  <si>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</si>
  <si>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</si>
  <si>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</si>
  <si>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</si>
  <si>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</si>
  <si>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</si>
  <si>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</si>
  <si>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</si>
  <si>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</si>
  <si>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</si>
  <si>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</si>
  <si>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</si>
  <si>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</si>
  <si>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</si>
  <si>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</si>
  <si>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</si>
  <si>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</si>
  <si>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</si>
  <si>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</si>
  <si>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</si>
  <si>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</si>
  <si>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</si>
  <si>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</si>
  <si>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</si>
  <si>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</si>
  <si>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</si>
  <si>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</si>
  <si>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</si>
  <si>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</si>
  <si>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</si>
  <si>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</si>
  <si>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</si>
  <si>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</si>
  <si>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</si>
  <si>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</si>
  <si>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</si>
  <si>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</si>
  <si>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</si>
  <si>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</si>
  <si>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</si>
  <si>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</si>
  <si>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</si>
  <si>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</si>
  <si>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</si>
  <si>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</si>
  <si>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</si>
  <si>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</si>
  <si>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</si>
  <si>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</si>
  <si>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</si>
  <si>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</si>
  <si>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</si>
  <si>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</si>
  <si>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</si>
  <si>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</si>
  <si>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</si>
  <si>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</si>
  <si>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</si>
  <si>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</si>
  <si>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</si>
  <si>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</si>
  <si>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</si>
  <si>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</si>
  <si>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</si>
  <si>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</si>
  <si>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</si>
  <si>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</si>
  <si>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</si>
  <si>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</si>
  <si>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</si>
  <si>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</si>
  <si>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</si>
  <si>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</si>
  <si>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</si>
  <si>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</si>
  <si>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</si>
  <si>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</si>
  <si>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</si>
  <si>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</si>
  <si>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</si>
  <si>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</si>
  <si>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</si>
  <si>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</si>
  <si>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</si>
  <si>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</si>
  <si>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</si>
  <si>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</si>
  <si>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</si>
  <si>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</si>
  <si>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</si>
  <si>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</si>
  <si>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</si>
  <si>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</si>
  <si>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</si>
  <si>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</si>
  <si>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</si>
  <si>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</si>
  <si>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</si>
  <si>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</si>
  <si>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</si>
  <si>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</si>
  <si>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</si>
  <si>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</si>
  <si>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</si>
  <si>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</si>
  <si>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</si>
  <si>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</si>
  <si>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</si>
  <si>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</si>
  <si>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</si>
  <si>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</si>
  <si>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</si>
  <si>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</si>
  <si>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</si>
  <si>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</si>
  <si>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</si>
  <si>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</si>
  <si>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</si>
  <si>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</si>
  <si>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</si>
  <si>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</si>
  <si>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</si>
  <si>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</si>
  <si>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</si>
  <si>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</si>
  <si>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</si>
  <si>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</si>
  <si>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</si>
  <si>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</si>
  <si>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</si>
  <si>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</si>
  <si>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</si>
  <si>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</si>
  <si>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</si>
  <si>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</si>
  <si>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</si>
  <si>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</si>
  <si>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</si>
  <si>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</si>
  <si>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</si>
  <si>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</si>
  <si>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</si>
  <si>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</si>
  <si>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</si>
  <si>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</si>
  <si>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</si>
  <si>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</si>
  <si>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</si>
  <si>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</si>
  <si>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</si>
  <si>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</si>
  <si>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</si>
  <si>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</si>
  <si>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</si>
  <si>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</si>
  <si>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</si>
  <si>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</si>
  <si>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</si>
  <si>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</si>
  <si>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</si>
  <si>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</si>
  <si>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</si>
  <si>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</si>
  <si>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</si>
  <si>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</si>
  <si>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</si>
  <si>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</si>
  <si>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</si>
  <si>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</si>
  <si>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</si>
  <si>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</si>
  <si>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</si>
  <si>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</si>
  <si>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</si>
  <si>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</si>
  <si>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</si>
  <si>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</si>
  <si>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</si>
  <si>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</si>
  <si>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</si>
  <si>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</si>
  <si>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</si>
  <si>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</si>
  <si>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</si>
  <si>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</si>
  <si>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</si>
  <si>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</si>
  <si>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</si>
  <si>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</si>
  <si>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</si>
  <si>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</si>
  <si>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</si>
  <si>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</si>
  <si>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</si>
  <si>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</si>
  <si>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</si>
  <si>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</si>
  <si>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</si>
  <si>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</si>
  <si>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</si>
  <si>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</si>
  <si>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</si>
  <si>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</si>
  <si>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</si>
  <si>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</si>
  <si>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</si>
  <si>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</si>
  <si>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</si>
  <si>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</si>
  <si>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</si>
  <si>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</si>
  <si>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</si>
  <si>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</si>
  <si>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</si>
  <si>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</si>
  <si>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</si>
  <si>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</si>
  <si>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</si>
  <si>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</si>
  <si>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</si>
  <si>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</si>
  <si>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</si>
  <si>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</si>
  <si>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</si>
  <si>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</si>
  <si>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</si>
  <si>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</si>
  <si>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</si>
  <si>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</si>
  <si>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</si>
  <si>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</si>
  <si>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</si>
  <si>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</si>
  <si>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</si>
  <si>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</si>
  <si>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</si>
  <si>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</si>
  <si>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</si>
  <si>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</si>
  <si>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</si>
  <si>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</si>
  <si>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</si>
  <si>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</si>
  <si>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</si>
  <si>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</si>
  <si>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</si>
  <si>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</si>
  <si>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</si>
  <si>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</si>
  <si>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</si>
  <si>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</si>
  <si>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</si>
  <si>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</si>
  <si>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</si>
  <si>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</si>
  <si>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</si>
  <si>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</si>
  <si>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</si>
  <si>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</si>
  <si>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</si>
  <si>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</si>
  <si>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</si>
  <si>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</si>
  <si>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</si>
  <si>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</si>
  <si>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</si>
  <si>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</si>
  <si>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</si>
  <si>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</si>
  <si>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</si>
  <si>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</si>
  <si>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</si>
  <si>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</si>
  <si>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</si>
  <si>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</si>
  <si>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</si>
  <si>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</si>
  <si>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</si>
  <si>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</si>
  <si>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</si>
  <si>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</si>
  <si>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</si>
  <si>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</si>
  <si>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</si>
  <si>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</si>
  <si>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</si>
  <si>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</si>
  <si>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</si>
  <si>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</si>
  <si>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</si>
  <si>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</si>
  <si>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</si>
  <si>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</si>
  <si>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</si>
  <si>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</si>
  <si>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</si>
  <si>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</si>
  <si>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</si>
  <si>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</si>
  <si>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</si>
  <si>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</si>
  <si>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</si>
  <si>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</si>
  <si>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</si>
  <si>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</si>
  <si>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</si>
  <si>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</si>
  <si>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</si>
  <si>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</si>
  <si>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</si>
  <si>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</si>
  <si>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</si>
  <si>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</si>
  <si>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</si>
  <si>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</si>
  <si>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</si>
  <si>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</si>
  <si>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</si>
  <si>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</si>
  <si>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</si>
  <si>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</si>
  <si>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</si>
  <si>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</si>
  <si>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</si>
  <si>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</si>
  <si>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</si>
  <si>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</si>
  <si>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</si>
  <si>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</si>
  <si>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</si>
  <si>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</si>
  <si>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</si>
  <si>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</si>
  <si>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</si>
  <si>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</si>
  <si>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</si>
  <si>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</si>
  <si>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</si>
  <si>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</si>
  <si>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</si>
  <si>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</si>
  <si>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</si>
  <si>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</si>
  <si>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</si>
  <si>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</si>
  <si>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</si>
  <si>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</si>
  <si>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</si>
  <si>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</si>
  <si>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</si>
  <si>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</si>
  <si>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</si>
  <si>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</si>
  <si>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</si>
  <si>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</si>
  <si>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</si>
  <si>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</si>
  <si>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</si>
  <si>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</si>
  <si>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</si>
  <si>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</si>
  <si>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</si>
  <si>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</si>
  <si>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</si>
  <si>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</si>
  <si>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</si>
  <si>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</si>
  <si>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</si>
  <si>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</si>
  <si>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</si>
  <si>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</si>
  <si>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</si>
  <si>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</si>
  <si>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</si>
  <si>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</si>
  <si>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</si>
  <si>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</si>
  <si>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</si>
  <si>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</si>
  <si>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</si>
  <si>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</si>
  <si>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</si>
  <si>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</si>
  <si>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</si>
  <si>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</si>
  <si>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</si>
  <si>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</si>
  <si>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</si>
  <si>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</si>
  <si>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</si>
  <si>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</si>
  <si>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</si>
  <si>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</si>
  <si>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</si>
  <si>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</si>
  <si>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</si>
  <si>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</si>
  <si>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</si>
  <si>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</si>
  <si>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</si>
  <si>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</si>
  <si>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</si>
  <si>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</si>
  <si>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</si>
  <si>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</si>
  <si>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</si>
  <si>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</si>
  <si>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</si>
  <si>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</si>
  <si>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</si>
  <si>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</si>
  <si>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</si>
  <si>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</si>
  <si>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</si>
  <si>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</si>
  <si>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</si>
  <si>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</si>
  <si>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</si>
  <si>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</si>
  <si>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</si>
  <si>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</si>
  <si>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</si>
  <si>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</si>
  <si>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</si>
  <si>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</si>
  <si>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</si>
  <si>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</si>
  <si>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</si>
  <si>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</si>
  <si>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</si>
  <si>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</si>
  <si>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</si>
  <si>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</si>
  <si>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</si>
  <si>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</si>
  <si>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</si>
  <si>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</si>
  <si>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</si>
  <si>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</si>
  <si>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</si>
  <si>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</si>
  <si>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</si>
  <si>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</si>
  <si>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</si>
  <si>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</si>
  <si>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</si>
  <si>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</si>
  <si>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</si>
  <si>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</si>
  <si>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</si>
  <si>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</si>
  <si>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</si>
  <si>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</si>
  <si>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</si>
  <si>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</si>
  <si>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</si>
  <si>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</si>
  <si>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</si>
  <si>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</si>
  <si>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</si>
  <si>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</si>
  <si>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</si>
  <si>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</si>
  <si>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</si>
  <si>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</si>
  <si>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</si>
  <si>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</si>
  <si>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</si>
  <si>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</si>
  <si>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</si>
  <si>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</si>
  <si>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</si>
  <si>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</si>
  <si>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</si>
  <si>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</si>
  <si>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</si>
  <si>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</si>
  <si>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</si>
  <si>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</si>
  <si>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</si>
  <si>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</si>
  <si>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</si>
  <si>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</si>
  <si>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</si>
  <si>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</si>
  <si>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</si>
  <si>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</si>
  <si>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</si>
  <si>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</si>
  <si>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</si>
  <si>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</si>
  <si>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</si>
  <si>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</si>
  <si>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</si>
  <si>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</si>
  <si>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</si>
  <si>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</si>
  <si>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</si>
  <si>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</si>
  <si>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</si>
  <si>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</si>
  <si>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</si>
  <si>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</si>
  <si>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</si>
  <si>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</si>
  <si>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</si>
  <si>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</si>
  <si>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</si>
  <si>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</si>
  <si>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</si>
  <si>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</si>
  <si>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</si>
  <si>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</si>
  <si>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</si>
  <si>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</si>
  <si>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</si>
  <si>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</si>
  <si>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</si>
  <si>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</si>
  <si>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</si>
  <si>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</si>
  <si>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</si>
  <si>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</si>
  <si>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</si>
  <si>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</si>
  <si>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</si>
  <si>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</si>
  <si>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</si>
  <si>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</si>
  <si>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</si>
  <si>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</si>
  <si>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</si>
  <si>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</si>
  <si>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</si>
  <si>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</si>
  <si>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</si>
  <si>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</si>
  <si>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</si>
  <si>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</si>
  <si>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</si>
  <si>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</si>
  <si>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</si>
  <si>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</si>
  <si>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</si>
  <si>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</si>
  <si>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</si>
  <si>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</si>
  <si>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</si>
  <si>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</si>
  <si>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</si>
  <si>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</si>
  <si>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</si>
  <si>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</si>
  <si>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</si>
  <si>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</si>
  <si>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</si>
  <si>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</si>
  <si>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</si>
  <si>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</si>
  <si>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</si>
  <si>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</si>
  <si>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</si>
  <si>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</si>
  <si>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</si>
  <si>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</si>
  <si>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</si>
  <si>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</si>
  <si>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</si>
  <si>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</si>
  <si>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</si>
  <si>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</si>
  <si>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</si>
  <si>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</si>
  <si>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</si>
  <si>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</si>
  <si>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</si>
  <si>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</si>
  <si>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</si>
  <si>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</si>
  <si>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</si>
  <si>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</si>
  <si>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</si>
  <si>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</si>
  <si>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</si>
  <si>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</si>
  <si>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</si>
  <si>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</si>
  <si>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</si>
  <si>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</si>
  <si>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</si>
  <si>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</si>
  <si>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</si>
  <si>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</si>
  <si>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</si>
  <si>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</si>
  <si>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</si>
  <si>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</si>
  <si>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</si>
  <si>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</si>
  <si>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</si>
  <si>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</si>
  <si>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</si>
  <si>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</si>
  <si>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</si>
  <si>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</si>
  <si>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</si>
  <si>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</si>
  <si>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</si>
  <si>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</si>
  <si>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</si>
  <si>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</si>
  <si>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</si>
  <si>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</si>
  <si>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</si>
  <si>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</si>
  <si>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</si>
  <si>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</si>
  <si>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</si>
  <si>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</si>
  <si>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</si>
  <si>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</si>
  <si>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</si>
  <si>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</si>
  <si>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</si>
  <si>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</si>
  <si>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</si>
  <si>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</si>
  <si>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</si>
  <si>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</si>
  <si>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</si>
  <si>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</si>
  <si>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</si>
  <si>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</si>
  <si>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</si>
  <si>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</si>
  <si>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</si>
  <si>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</si>
  <si>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</si>
  <si>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</si>
  <si>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</si>
  <si>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</si>
  <si>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</si>
  <si>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</si>
  <si>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</si>
  <si>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</si>
  <si>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</si>
  <si>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</si>
  <si>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</si>
  <si>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</si>
  <si>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</si>
  <si>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</si>
  <si>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</si>
  <si>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</si>
  <si>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</si>
  <si>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</si>
  <si>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</si>
  <si>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</si>
  <si>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</si>
  <si>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</si>
  <si>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</si>
  <si>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</si>
  <si>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</si>
  <si>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</si>
  <si>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</si>
  <si>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</si>
  <si>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</si>
  <si>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</si>
  <si>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</si>
  <si>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</si>
  <si>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</si>
  <si>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</si>
  <si>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</si>
  <si>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</si>
  <si>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</si>
  <si>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</si>
  <si>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</si>
  <si>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</si>
  <si>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</si>
  <si>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</si>
  <si>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</si>
  <si>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</si>
  <si>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</si>
  <si>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</si>
  <si>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</si>
  <si>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</si>
  <si>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</si>
  <si>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</si>
  <si>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</si>
  <si>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</si>
  <si>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</si>
  <si>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</si>
  <si>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</si>
  <si>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</si>
  <si>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</si>
  <si>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</si>
  <si>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</si>
  <si>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</si>
  <si>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</si>
  <si>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</si>
  <si>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</si>
  <si>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</si>
  <si>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</si>
  <si>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</si>
  <si>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</si>
  <si>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</si>
  <si>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</si>
  <si>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</si>
  <si>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</si>
  <si>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</si>
  <si>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</si>
  <si>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</si>
  <si>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</si>
  <si>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</si>
  <si>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</si>
  <si>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</si>
  <si>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</si>
  <si>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</si>
  <si>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</si>
  <si>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</si>
  <si>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</si>
  <si>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</si>
  <si>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</si>
  <si>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</si>
  <si>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</si>
  <si>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</si>
  <si>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</si>
  <si>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</si>
  <si>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</si>
  <si>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</si>
  <si>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</si>
  <si>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</si>
  <si>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</si>
  <si>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</si>
  <si>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</si>
  <si>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</si>
  <si>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</si>
  <si>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</si>
  <si>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</si>
  <si>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</si>
  <si>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</si>
  <si>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</si>
  <si>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</si>
  <si>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</si>
  <si>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</si>
  <si>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</si>
  <si>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</si>
  <si>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</si>
  <si>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</si>
  <si>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</si>
  <si>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</si>
  <si>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</si>
  <si>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</si>
  <si>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</si>
  <si>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</si>
  <si>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</si>
  <si>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</si>
  <si>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</si>
  <si>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</si>
  <si>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</si>
  <si>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</si>
  <si>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</si>
  <si>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</si>
  <si>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</si>
  <si>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</si>
  <si>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</si>
  <si>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</si>
  <si>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</si>
  <si>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</si>
  <si>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</si>
  <si>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</si>
  <si>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</si>
  <si>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</si>
  <si>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</si>
  <si>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</si>
  <si>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</si>
  <si>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</si>
  <si>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</si>
  <si>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</si>
  <si>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</si>
  <si>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</si>
  <si>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</si>
  <si>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</si>
  <si>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</si>
  <si>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</si>
  <si>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</si>
  <si>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</si>
  <si>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</si>
  <si>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</si>
  <si>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</si>
  <si>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</si>
  <si>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</si>
  <si>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</si>
  <si>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</si>
  <si>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</si>
  <si>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</si>
  <si>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</si>
  <si>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</si>
  <si>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</si>
  <si>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</si>
  <si>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</si>
  <si>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</si>
  <si>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</si>
  <si>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</si>
  <si>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</si>
  <si>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</si>
  <si>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</si>
  <si>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</si>
  <si>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</si>
  <si>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</si>
  <si>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</si>
  <si>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</si>
  <si>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</si>
  <si>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</si>
  <si>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</si>
  <si>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</si>
  <si>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</si>
  <si>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</si>
  <si>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</si>
  <si>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</si>
  <si>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</si>
  <si>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</si>
  <si>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</si>
  <si>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</si>
  <si>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</si>
  <si>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</si>
  <si>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</si>
  <si>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</si>
  <si>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</si>
  <si>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</si>
  <si>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</si>
  <si>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</si>
  <si>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</si>
  <si>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</si>
  <si>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</si>
  <si>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</si>
  <si>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</si>
  <si>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</si>
  <si>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</si>
  <si>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</si>
  <si>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</si>
  <si>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</si>
  <si>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</si>
  <si>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</si>
  <si>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</si>
  <si>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</si>
  <si>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</si>
  <si>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</si>
  <si>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</si>
  <si>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</si>
  <si>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</si>
  <si>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</si>
  <si>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</si>
  <si>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</si>
  <si>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</si>
  <si>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</si>
  <si>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</si>
  <si>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</si>
  <si>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</si>
  <si>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</si>
  <si>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</si>
  <si>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</si>
  <si>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</si>
  <si>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</si>
  <si>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</si>
  <si>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</si>
  <si>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</si>
  <si>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</si>
  <si>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</si>
  <si>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</si>
  <si>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</si>
  <si>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</si>
  <si>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</si>
  <si>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</si>
  <si>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</si>
  <si>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</si>
  <si>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</si>
  <si>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</si>
  <si>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</si>
  <si>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</si>
  <si>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</si>
  <si>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</si>
  <si>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</si>
  <si>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</si>
  <si>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</si>
  <si>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</si>
  <si>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</si>
  <si>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</si>
  <si>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</si>
  <si>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</si>
  <si>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</si>
  <si>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</si>
  <si>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</si>
  <si>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</si>
  <si>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</si>
  <si>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</si>
  <si>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</si>
  <si>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</si>
  <si>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</si>
  <si>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</si>
  <si>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</si>
  <si>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</si>
  <si>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</si>
  <si>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</si>
  <si>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</si>
  <si>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</si>
  <si>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</si>
  <si>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</si>
  <si>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</si>
  <si>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</si>
  <si>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</si>
  <si>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</si>
  <si>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</si>
  <si>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</si>
  <si>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</si>
  <si>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</si>
  <si>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</si>
  <si>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</si>
  <si>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</si>
  <si>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</si>
  <si>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</si>
  <si>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</si>
  <si>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</si>
  <si>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</si>
  <si>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</si>
  <si>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</si>
  <si>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</si>
  <si>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</si>
  <si>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</si>
  <si>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</si>
  <si>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</si>
  <si>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</si>
  <si>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</si>
  <si>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</si>
  <si>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</si>
  <si>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</si>
  <si>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</si>
  <si>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</si>
  <si>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</si>
  <si>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</si>
  <si>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</si>
  <si>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</si>
  <si>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</si>
  <si>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</si>
  <si>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</si>
  <si>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</si>
  <si>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</si>
  <si>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</si>
  <si>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</si>
  <si>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</si>
  <si>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</si>
  <si>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</si>
  <si>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</si>
  <si>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</si>
  <si>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</si>
  <si>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</si>
  <si>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</si>
  <si>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</si>
  <si>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</si>
  <si>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</si>
  <si>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</si>
  <si>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</si>
  <si>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</si>
  <si>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</si>
  <si>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</si>
  <si>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</si>
  <si>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</si>
  <si>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</si>
  <si>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</si>
  <si>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</si>
  <si>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</si>
  <si>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</si>
  <si>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</si>
  <si>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</si>
  <si>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</si>
  <si>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</si>
  <si>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</si>
  <si>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</si>
  <si>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</si>
  <si>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</si>
  <si>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</si>
  <si>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</si>
  <si>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</si>
  <si>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</si>
  <si>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</si>
  <si>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</si>
  <si>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</si>
  <si>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</si>
  <si>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</si>
  <si>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</si>
  <si>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</si>
  <si>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</si>
  <si>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</si>
  <si>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</si>
  <si>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</si>
  <si>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</si>
  <si>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</si>
  <si>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</si>
  <si>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</si>
  <si>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</si>
  <si>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</si>
  <si>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</si>
  <si>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</si>
  <si>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</si>
  <si>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</si>
  <si>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</si>
  <si>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</si>
  <si>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</si>
  <si>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</si>
  <si>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</si>
  <si>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</si>
  <si>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</si>
  <si>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</si>
  <si>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</si>
  <si>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</si>
  <si>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</si>
  <si>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</si>
  <si>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</si>
  <si>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</si>
  <si>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</si>
  <si>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</si>
  <si>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</si>
  <si>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</si>
  <si>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</si>
  <si>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</si>
  <si>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</si>
  <si>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</si>
  <si>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</si>
  <si>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</si>
  <si>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</si>
  <si>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</si>
  <si>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</si>
  <si>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</si>
  <si>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</si>
  <si>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</si>
  <si>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</si>
  <si>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</si>
  <si>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</si>
  <si>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</si>
  <si>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</si>
  <si>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</si>
  <si>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</si>
  <si>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</si>
  <si>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</si>
  <si>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</si>
  <si>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</si>
  <si>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</si>
  <si>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</si>
  <si>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</si>
  <si>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</si>
  <si>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</si>
  <si>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</si>
  <si>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</si>
  <si>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</si>
  <si>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</si>
  <si>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</si>
  <si>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</si>
  <si>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</si>
  <si>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</si>
  <si>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</si>
  <si>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</si>
  <si>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</si>
  <si>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</si>
  <si>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</si>
  <si>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</si>
  <si>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</si>
  <si>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</si>
  <si>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</si>
  <si>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</si>
  <si>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</si>
  <si>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</si>
  <si>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</si>
  <si>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</si>
  <si>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</si>
  <si>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</si>
  <si>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</si>
  <si>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</si>
  <si>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</si>
  <si>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</si>
  <si>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</si>
  <si>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</si>
  <si>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</si>
  <si>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</si>
  <si>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</si>
  <si>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</si>
  <si>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</si>
  <si>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</si>
  <si>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</si>
  <si>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</si>
  <si>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</si>
  <si>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</si>
  <si>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</si>
  <si>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</si>
  <si>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</si>
  <si>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</si>
  <si>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</si>
  <si>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</si>
  <si>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</si>
  <si>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</si>
  <si>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</si>
  <si>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</si>
  <si>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</si>
  <si>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</si>
  <si>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</si>
  <si>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</si>
  <si>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</si>
  <si>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</si>
  <si>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</si>
  <si>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</si>
  <si>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</si>
  <si>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</si>
  <si>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</si>
  <si>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</si>
  <si>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</si>
  <si>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</si>
  <si>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</si>
  <si>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</si>
  <si>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</si>
  <si>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</si>
  <si>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</si>
  <si>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</si>
  <si>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</si>
  <si>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</si>
  <si>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</si>
  <si>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</si>
  <si>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</si>
  <si>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</si>
  <si>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</si>
  <si>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</si>
  <si>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</si>
  <si>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</si>
  <si>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</si>
  <si>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</si>
  <si>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</si>
  <si>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</si>
  <si>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</si>
  <si>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</si>
  <si>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</si>
  <si>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</si>
  <si>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</si>
  <si>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</si>
  <si>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</si>
  <si>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</si>
  <si>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</si>
  <si>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</si>
  <si>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</si>
  <si>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</si>
  <si>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</si>
  <si>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</si>
  <si>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</si>
  <si>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</si>
  <si>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</si>
  <si>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</si>
  <si>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</si>
  <si>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</si>
  <si>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</si>
  <si>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</si>
  <si>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</si>
  <si>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</si>
  <si>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</si>
  <si>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</si>
  <si>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</si>
  <si>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</si>
  <si>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</si>
  <si>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</si>
  <si>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</si>
  <si>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</si>
  <si>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</si>
  <si>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</si>
  <si>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</si>
  <si>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</si>
  <si>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</si>
  <si>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</si>
  <si>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</si>
  <si>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</si>
  <si>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</si>
  <si>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</si>
  <si>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</si>
  <si>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</si>
  <si>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</si>
  <si>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</si>
  <si>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</si>
  <si>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</si>
  <si>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</si>
  <si>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</si>
  <si>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</si>
  <si>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</si>
  <si>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</si>
  <si>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</si>
  <si>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</si>
  <si>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</si>
  <si>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</si>
  <si>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</si>
  <si>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</si>
  <si>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</si>
  <si>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</si>
  <si>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</si>
  <si>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</si>
  <si>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</si>
  <si>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</si>
  <si>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</si>
  <si>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</si>
  <si>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</si>
  <si>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</si>
  <si>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</si>
  <si>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</si>
  <si>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</si>
  <si>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</si>
  <si>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</si>
  <si>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</si>
  <si>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</si>
  <si>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</si>
  <si>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</si>
  <si>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</si>
  <si>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</si>
  <si>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</si>
  <si>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</si>
  <si>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</si>
  <si>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</si>
  <si>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</si>
  <si>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</si>
  <si>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</si>
  <si>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</si>
  <si>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</si>
  <si>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</si>
  <si>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</si>
  <si>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</si>
  <si>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</si>
  <si>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</si>
  <si>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</si>
  <si>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</si>
  <si>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</si>
  <si>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</si>
  <si>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</si>
  <si>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</si>
  <si>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</si>
  <si>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</si>
  <si>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</si>
  <si>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</si>
  <si>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</si>
  <si>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</si>
  <si>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</si>
  <si>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</si>
  <si>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</si>
  <si>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</si>
  <si>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</si>
  <si>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</si>
  <si>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</si>
  <si>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</si>
  <si>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</si>
  <si>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</si>
  <si>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</si>
  <si>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</si>
  <si>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</si>
  <si>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</si>
  <si>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</si>
  <si>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</si>
  <si>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</si>
  <si>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</si>
  <si>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</si>
  <si>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</si>
  <si>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</si>
  <si>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</si>
  <si>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</si>
  <si>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</si>
  <si>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</si>
  <si>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</si>
  <si>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</si>
  <si>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</si>
  <si>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</si>
  <si>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</si>
  <si>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</si>
  <si>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</si>
  <si>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</si>
  <si>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</si>
  <si>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</si>
  <si>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</si>
  <si>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</si>
  <si>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</si>
  <si>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</si>
  <si>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</si>
  <si>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</si>
  <si>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</si>
  <si>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</si>
  <si>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</si>
  <si>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</si>
  <si>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</si>
  <si>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</si>
  <si>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</si>
  <si>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</si>
  <si>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</si>
  <si>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</si>
  <si>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</si>
  <si>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</si>
  <si>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</si>
  <si>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</si>
  <si>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</si>
  <si>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</si>
  <si>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</si>
  <si>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</si>
  <si>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</si>
  <si>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</si>
  <si>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</si>
  <si>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</si>
  <si>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</si>
  <si>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</si>
  <si>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</si>
  <si>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</si>
  <si>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</si>
  <si>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</si>
  <si>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</si>
  <si>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</si>
  <si>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</si>
  <si>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</si>
  <si>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</si>
  <si>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</si>
  <si>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</si>
  <si>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</si>
  <si>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</si>
  <si>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</si>
  <si>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</si>
  <si>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</si>
  <si>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</si>
  <si>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</si>
  <si>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</si>
  <si>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</si>
  <si>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</si>
  <si>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</si>
  <si>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</si>
  <si>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</si>
  <si>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</si>
  <si>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</si>
  <si>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</si>
  <si>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</si>
  <si>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</si>
  <si>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</si>
  <si>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</si>
  <si>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</si>
  <si>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</si>
  <si>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</si>
  <si>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</si>
  <si>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</si>
  <si>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</si>
  <si>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</si>
  <si>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</si>
  <si>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</si>
  <si>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</si>
  <si>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</si>
  <si>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</si>
  <si>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</si>
  <si>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</si>
  <si>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</si>
  <si>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</si>
  <si>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</si>
  <si>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</si>
  <si>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</si>
  <si>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</si>
  <si>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</si>
  <si>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</si>
  <si>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</si>
  <si>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</si>
  <si>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</si>
  <si>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</si>
  <si>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</si>
  <si>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</si>
  <si>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</si>
  <si>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</si>
  <si>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</si>
  <si>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</si>
  <si>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</si>
  <si>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</si>
  <si>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</si>
  <si>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</si>
  <si>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</si>
  <si>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</si>
  <si>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</si>
  <si>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</si>
  <si>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</si>
  <si>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</si>
  <si>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</si>
  <si>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</si>
  <si>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</si>
  <si>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</si>
  <si>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</si>
  <si>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</si>
  <si>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</si>
  <si>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</si>
  <si>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</si>
  <si>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</si>
  <si>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</si>
  <si>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</si>
  <si>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</si>
  <si>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</si>
  <si>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</si>
  <si>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</si>
  <si>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</si>
  <si>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</si>
  <si>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</si>
  <si>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</si>
  <si>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</si>
  <si>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</si>
  <si>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</si>
  <si>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</si>
  <si>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</si>
  <si>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</si>
  <si>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</si>
  <si>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</si>
  <si>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</si>
  <si>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</si>
  <si>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</si>
  <si>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</si>
  <si>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</si>
  <si>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</si>
  <si>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</si>
  <si>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</si>
  <si>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</si>
  <si>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</si>
  <si>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</si>
  <si>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</si>
  <si>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</si>
  <si>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</si>
  <si>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</si>
  <si>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</si>
  <si>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</si>
  <si>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</si>
  <si>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</si>
  <si>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</si>
  <si>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</si>
  <si>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</si>
  <si>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</si>
  <si>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</si>
  <si>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</si>
  <si>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</si>
  <si>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</si>
  <si>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</si>
  <si>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</si>
  <si>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</si>
  <si>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</si>
  <si>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</si>
  <si>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</si>
  <si>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</si>
  <si>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</si>
  <si>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</si>
  <si>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</si>
  <si>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</si>
  <si>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</si>
  <si>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</si>
  <si>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</si>
  <si>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</si>
  <si>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</si>
  <si>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</si>
  <si>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</si>
  <si>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</si>
  <si>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</si>
  <si>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</si>
  <si>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</si>
  <si>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</si>
  <si>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</si>
  <si>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</si>
  <si>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</si>
  <si>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</si>
  <si>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</si>
  <si>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</si>
  <si>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</si>
  <si>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</si>
  <si>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</si>
  <si>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</si>
  <si>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</si>
  <si>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</si>
  <si>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</si>
  <si>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</si>
  <si>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</si>
  <si>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</si>
  <si>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</si>
  <si>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</si>
  <si>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</si>
  <si>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</si>
  <si>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</si>
  <si>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</si>
  <si>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</si>
  <si>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</si>
  <si>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</si>
  <si>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</si>
  <si>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</si>
  <si>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</si>
  <si>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</si>
  <si>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</si>
  <si>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</si>
  <si>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</si>
  <si>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</si>
  <si>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</si>
  <si>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</si>
  <si>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</si>
  <si>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</si>
  <si>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</si>
  <si>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</si>
  <si>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</si>
  <si>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</si>
  <si>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</si>
  <si>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</si>
  <si>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</si>
  <si>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</si>
  <si>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</si>
  <si>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</si>
  <si>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</si>
  <si>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</si>
  <si>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</si>
  <si>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</si>
  <si>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</si>
  <si>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</si>
  <si>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</si>
  <si>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</si>
  <si>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</si>
  <si>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</si>
  <si>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</si>
  <si>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</si>
  <si>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</si>
  <si>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</si>
  <si>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</si>
  <si>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</si>
  <si>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</si>
  <si>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</si>
  <si>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</si>
  <si>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</si>
  <si>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</si>
  <si>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</si>
  <si>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</si>
  <si>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</si>
  <si>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</si>
  <si>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</si>
  <si>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</si>
  <si>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</si>
  <si>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</si>
  <si>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</si>
  <si>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</si>
  <si>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</si>
  <si>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</si>
  <si>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</si>
  <si>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</si>
  <si>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</si>
  <si>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</si>
  <si>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</si>
  <si>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</si>
  <si>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</si>
  <si>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</si>
  <si>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</si>
  <si>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</si>
  <si>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</si>
  <si>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</si>
  <si>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</si>
  <si>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</si>
  <si>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</si>
  <si>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</si>
  <si>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</si>
  <si>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</si>
  <si>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</si>
  <si>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</si>
  <si>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</si>
  <si>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</si>
  <si>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</si>
  <si>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</si>
  <si>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</si>
  <si>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</si>
  <si>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</si>
  <si>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</si>
  <si>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</si>
  <si>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</si>
  <si>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</si>
  <si>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</si>
  <si>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</si>
  <si>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</si>
  <si>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</si>
  <si>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</si>
  <si>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</si>
  <si>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</si>
  <si>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</si>
  <si>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</si>
  <si>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</si>
  <si>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</si>
  <si>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</si>
  <si>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</si>
  <si>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</si>
  <si>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</si>
  <si>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</si>
  <si>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</si>
  <si>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</si>
  <si>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</si>
  <si>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</si>
  <si>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</si>
  <si>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</si>
  <si>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</si>
  <si>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</si>
  <si>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</si>
  <si>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</si>
  <si>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</si>
  <si>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</si>
  <si>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</si>
  <si>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</si>
  <si>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</si>
  <si>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</si>
  <si>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</si>
  <si>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</si>
  <si>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</si>
  <si>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</si>
  <si>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</si>
  <si>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</si>
  <si>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</si>
  <si>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</si>
  <si>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</si>
  <si>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</si>
  <si>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</si>
  <si>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</si>
  <si>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</si>
  <si>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</si>
  <si>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</si>
  <si>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</si>
  <si>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</si>
  <si>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</si>
  <si>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</si>
  <si>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</si>
  <si>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</si>
  <si>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</si>
  <si>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</si>
  <si>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</si>
  <si>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</si>
  <si>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</si>
  <si>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</si>
  <si>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</si>
  <si>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</si>
  <si>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</si>
  <si>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</si>
  <si>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</si>
  <si>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</si>
  <si>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</si>
  <si>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</si>
  <si>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</si>
  <si>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</si>
  <si>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</si>
  <si>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</si>
  <si>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</si>
  <si>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</si>
  <si>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</si>
  <si>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</si>
  <si>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</si>
  <si>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</si>
  <si>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</si>
  <si>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</si>
  <si>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</si>
  <si>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</si>
  <si>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</si>
  <si>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</si>
  <si>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</si>
  <si>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</si>
  <si>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</si>
  <si>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</si>
  <si>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</si>
  <si>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</si>
  <si>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</si>
  <si>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</si>
  <si>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</si>
  <si>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</si>
  <si>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</si>
  <si>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</si>
  <si>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</si>
  <si>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</si>
  <si>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</si>
  <si>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</si>
  <si>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</si>
  <si>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</si>
  <si>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</si>
  <si>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</si>
  <si>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</si>
  <si>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</si>
  <si>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</si>
  <si>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</si>
  <si>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</si>
  <si>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</si>
  <si>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</si>
  <si>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</si>
  <si>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</si>
  <si>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</si>
  <si>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</si>
  <si>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</si>
  <si>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</si>
  <si>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</si>
  <si>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</si>
  <si>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</si>
  <si>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</si>
  <si>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</si>
  <si>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</si>
  <si>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</si>
  <si>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</si>
  <si>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</si>
  <si>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</si>
  <si>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</si>
  <si>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</si>
  <si>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</si>
  <si>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</si>
  <si>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</si>
  <si>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</si>
  <si>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</si>
  <si>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</si>
  <si>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</si>
  <si>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</si>
  <si>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</si>
  <si>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</si>
  <si>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</si>
  <si>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</si>
  <si>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</si>
  <si>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</si>
  <si>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</si>
  <si>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</si>
  <si>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</si>
  <si>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</si>
  <si>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</si>
  <si>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</si>
  <si>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</si>
  <si>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</si>
  <si>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</si>
  <si>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</si>
  <si>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</si>
  <si>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</si>
  <si>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</si>
  <si>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</si>
  <si>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</si>
  <si>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</si>
  <si>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</si>
  <si>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</si>
  <si>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</si>
  <si>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</si>
  <si>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</si>
  <si>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</si>
  <si>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</si>
  <si>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</si>
  <si>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</si>
  <si>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</si>
  <si>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</si>
  <si>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</si>
  <si>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</si>
  <si>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</si>
  <si>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</si>
  <si>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</si>
  <si>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</si>
  <si>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</si>
  <si>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</si>
  <si>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</si>
  <si>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</si>
  <si>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</si>
  <si>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</si>
  <si>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</si>
  <si>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</si>
  <si>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</si>
  <si>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</si>
  <si>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</si>
  <si>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</si>
  <si>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</si>
  <si>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</si>
  <si>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</si>
  <si>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</si>
  <si>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</si>
  <si>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</si>
  <si>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</si>
  <si>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</si>
  <si>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</si>
  <si>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</si>
  <si>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</si>
  <si>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</si>
  <si>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</si>
  <si>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</si>
  <si>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</si>
  <si>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</si>
  <si>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</si>
  <si>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</si>
  <si>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</si>
  <si>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</si>
  <si>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</si>
  <si>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</si>
  <si>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</si>
  <si>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</si>
  <si>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</si>
  <si>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</si>
  <si>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</si>
  <si>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</si>
  <si>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</si>
  <si>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</si>
  <si>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</si>
  <si>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</si>
  <si>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</si>
  <si>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</si>
  <si>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</si>
  <si>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</si>
  <si>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</si>
  <si>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</si>
  <si>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</si>
  <si>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</si>
  <si>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</si>
  <si>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</si>
  <si>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</si>
  <si>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</si>
  <si>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</si>
  <si>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</si>
  <si>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</si>
  <si>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</si>
  <si>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</si>
  <si>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</si>
  <si>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</si>
  <si>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</si>
  <si>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</si>
  <si>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</si>
  <si>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</si>
  <si>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</si>
  <si>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</si>
  <si>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</si>
  <si>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</si>
  <si>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</si>
  <si>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</si>
  <si>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</si>
  <si>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</si>
  <si>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</si>
  <si>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</si>
  <si>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</si>
  <si>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</si>
  <si>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</si>
  <si>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</si>
  <si>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</si>
  <si>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</si>
  <si>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</si>
  <si>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</si>
  <si>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</si>
  <si>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</si>
  <si>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</si>
  <si>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</si>
  <si>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</si>
  <si>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</si>
  <si>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</si>
  <si>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</si>
  <si>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</si>
  <si>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</si>
  <si>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</si>
  <si>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</si>
  <si>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</si>
  <si>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</si>
  <si>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</si>
  <si>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</si>
  <si>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</si>
  <si>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</si>
  <si>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</si>
  <si>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</si>
  <si>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</si>
  <si>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</si>
  <si>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</si>
  <si>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</si>
  <si>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</si>
  <si>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</si>
  <si>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</si>
  <si>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</si>
  <si>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</si>
  <si>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</si>
  <si>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</si>
  <si>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</si>
  <si>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</si>
  <si>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</si>
  <si>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</si>
  <si>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</si>
  <si>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</si>
  <si>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</si>
  <si>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</si>
  <si>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</si>
  <si>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</si>
  <si>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</si>
  <si>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</si>
  <si>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</si>
  <si>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</si>
  <si>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</si>
  <si>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</si>
  <si>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</si>
  <si>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</si>
  <si>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</si>
  <si>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</si>
  <si>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</si>
  <si>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</si>
  <si>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</si>
  <si>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</si>
  <si>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</si>
  <si>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</si>
  <si>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</si>
  <si>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</si>
  <si>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</si>
  <si>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</si>
  <si>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</si>
  <si>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</si>
  <si>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</si>
  <si>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</si>
  <si>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</si>
  <si>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</si>
  <si>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</si>
  <si>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</si>
  <si>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</si>
  <si>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</si>
  <si>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</si>
  <si>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</si>
  <si>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</si>
  <si>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</si>
  <si>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</si>
  <si>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</si>
  <si>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</si>
  <si>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</si>
  <si>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</si>
  <si>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</si>
  <si>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</si>
  <si>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</si>
  <si>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</si>
  <si>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</si>
  <si>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</si>
  <si>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</si>
  <si>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</si>
  <si>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</si>
  <si>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</si>
  <si>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</si>
  <si>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</si>
  <si>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</si>
  <si>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</si>
  <si>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</si>
  <si>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</si>
  <si>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</si>
  <si>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</si>
  <si>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</si>
  <si>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</si>
  <si>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</si>
  <si>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</si>
  <si>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</si>
  <si>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</si>
  <si>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</si>
  <si>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</si>
  <si>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</si>
  <si>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</si>
  <si>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</si>
  <si>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</si>
  <si>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</si>
  <si>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</si>
  <si>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</si>
  <si>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</si>
  <si>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</si>
  <si>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</si>
  <si>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</si>
  <si>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</si>
  <si>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</si>
  <si>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</si>
  <si>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</si>
  <si>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</si>
  <si>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</si>
  <si>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</si>
  <si>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</si>
  <si>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</si>
  <si>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</si>
  <si>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</si>
  <si>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</si>
  <si>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</si>
  <si>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</si>
  <si>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</si>
  <si>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</si>
  <si>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</si>
  <si>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</si>
  <si>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</si>
  <si>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</si>
  <si>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</si>
  <si>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</si>
  <si>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</si>
  <si>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</si>
  <si>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</si>
  <si>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</si>
  <si>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</si>
  <si>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</si>
  <si>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</si>
  <si>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</si>
  <si>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</si>
  <si>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</si>
  <si>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</si>
  <si>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</si>
  <si>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</si>
  <si>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</si>
  <si>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</si>
  <si>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</si>
  <si>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</si>
  <si>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</si>
  <si>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</si>
  <si>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</si>
  <si>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</si>
  <si>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</si>
  <si>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</si>
  <si>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</si>
  <si>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</si>
  <si>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</si>
  <si>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</si>
  <si>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</si>
  <si>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</si>
  <si>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</si>
  <si>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</si>
  <si>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</si>
  <si>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</si>
  <si>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</si>
  <si>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</si>
  <si>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</si>
  <si>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</si>
  <si>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</si>
  <si>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</si>
  <si>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</si>
  <si>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</si>
  <si>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</si>
  <si>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</si>
  <si>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</si>
  <si>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</si>
  <si>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</si>
  <si>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</si>
  <si>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</si>
  <si>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</si>
  <si>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</si>
  <si>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</si>
  <si>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</si>
  <si>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</si>
  <si>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</si>
  <si>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</si>
  <si>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</si>
  <si>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</si>
  <si>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</si>
  <si>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</si>
  <si>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</si>
  <si>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</si>
  <si>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</si>
  <si>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</si>
  <si>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</si>
  <si>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</si>
  <si>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</si>
  <si>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</si>
  <si>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</si>
  <si>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</si>
  <si>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</si>
  <si>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</si>
  <si>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</si>
  <si>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</si>
  <si>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</si>
  <si>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</si>
  <si>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</si>
  <si>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</si>
  <si>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</si>
  <si>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</si>
  <si>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</si>
  <si>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</si>
  <si>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</si>
  <si>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</si>
  <si>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</si>
  <si>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</si>
  <si>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</si>
  <si>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</si>
  <si>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</si>
  <si>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</si>
  <si>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</si>
  <si>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</si>
  <si>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</si>
  <si>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</si>
  <si>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</si>
  <si>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</si>
  <si>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</si>
  <si>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</si>
  <si>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</si>
  <si>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</si>
  <si>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</si>
  <si>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</si>
  <si>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</si>
  <si>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</si>
  <si>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</si>
  <si>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</si>
  <si>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</si>
  <si>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</si>
  <si>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</si>
  <si>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</si>
  <si>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</si>
  <si>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</si>
  <si>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</si>
  <si>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</si>
  <si>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</si>
  <si>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</si>
  <si>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</si>
  <si>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</si>
  <si>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</si>
  <si>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</si>
  <si>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</si>
  <si>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</si>
  <si>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</si>
  <si>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</si>
  <si>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</si>
  <si>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</si>
  <si>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</si>
  <si>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</si>
  <si>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</si>
  <si>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</si>
  <si>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</si>
  <si>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</si>
  <si>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</si>
  <si>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</si>
  <si>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</si>
  <si>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</si>
  <si>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</si>
  <si>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</si>
  <si>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</si>
  <si>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</si>
  <si>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</si>
  <si>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</si>
  <si>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</si>
  <si>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</si>
  <si>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</si>
  <si>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</si>
  <si>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</si>
  <si>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</si>
  <si>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</si>
  <si>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</si>
  <si>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</si>
  <si>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</si>
  <si>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</si>
  <si>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</si>
  <si>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</si>
  <si>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</si>
  <si>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</si>
  <si>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</si>
  <si>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</si>
  <si>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</si>
  <si>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</si>
  <si>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</si>
  <si>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</si>
  <si>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</si>
  <si>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</si>
  <si>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</si>
  <si>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</si>
  <si>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</si>
  <si>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</si>
  <si>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</si>
  <si>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</si>
  <si>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</si>
  <si>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</si>
  <si>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</si>
  <si>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</si>
  <si>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</si>
  <si>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</si>
  <si>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</si>
  <si>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</si>
  <si>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</si>
  <si>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</si>
  <si>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</si>
  <si>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</si>
  <si>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</si>
  <si>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</si>
  <si>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</si>
  <si>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</si>
  <si>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</si>
  <si>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</si>
  <si>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</si>
  <si>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</si>
  <si>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</si>
  <si>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</si>
  <si>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</si>
  <si>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</si>
  <si>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</si>
  <si>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</si>
  <si>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</si>
  <si>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</si>
  <si>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</si>
  <si>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</si>
  <si>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</si>
  <si>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</si>
  <si>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</si>
  <si>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</si>
  <si>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</si>
  <si>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</si>
  <si>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</si>
  <si>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</si>
  <si>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</si>
  <si>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</si>
  <si>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</si>
  <si>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</si>
  <si>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</si>
  <si>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</si>
  <si>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</si>
  <si>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</si>
  <si>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</si>
  <si>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</si>
  <si>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</si>
  <si>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</si>
  <si>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</si>
  <si>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</si>
  <si>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</si>
  <si>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</si>
  <si>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</si>
  <si>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</si>
  <si>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</si>
  <si>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</si>
  <si>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</si>
  <si>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</si>
  <si>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</si>
  <si>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</si>
  <si>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</si>
  <si>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</si>
  <si>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</si>
  <si>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</si>
  <si>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</si>
  <si>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</si>
  <si>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</si>
  <si>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</si>
  <si>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</si>
  <si>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</si>
  <si>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</si>
  <si>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</si>
  <si>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</si>
  <si>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</si>
  <si>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</si>
  <si>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</si>
  <si>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</si>
  <si>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</si>
  <si>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</si>
  <si>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</si>
  <si>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</si>
  <si>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</si>
  <si>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</si>
  <si>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</si>
  <si>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</si>
  <si>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</si>
  <si>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</si>
  <si>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</si>
  <si>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</si>
  <si>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</si>
  <si>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</si>
  <si>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</si>
  <si>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</si>
  <si>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</si>
  <si>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</si>
  <si>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</si>
  <si>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</si>
  <si>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</si>
  <si>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</si>
  <si>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</si>
  <si>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</si>
  <si>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</si>
  <si>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</si>
  <si>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</si>
  <si>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</si>
  <si>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</si>
  <si>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</si>
  <si>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</si>
  <si>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</si>
  <si>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</si>
  <si>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</si>
  <si>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</si>
  <si>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</si>
  <si>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</si>
  <si>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</si>
  <si>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</si>
  <si>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</si>
  <si>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</si>
  <si>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</si>
  <si>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</si>
  <si>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</si>
  <si>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</si>
  <si>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</si>
  <si>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</si>
  <si>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</si>
  <si>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</si>
  <si>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</si>
  <si>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</si>
  <si>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</si>
  <si>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</si>
  <si>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</si>
  <si>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</si>
  <si>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</si>
  <si>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</si>
  <si>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</si>
  <si>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</si>
  <si>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</si>
  <si>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</si>
  <si>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</si>
  <si>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</si>
  <si>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</si>
  <si>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</si>
  <si>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</si>
  <si>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</si>
  <si>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</si>
  <si>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</si>
  <si>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</si>
  <si>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</si>
  <si>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</si>
  <si>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</si>
  <si>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</si>
  <si>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</si>
  <si>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</si>
  <si>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</si>
  <si>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</si>
  <si>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</si>
  <si>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</si>
  <si>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</si>
  <si>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</si>
  <si>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</si>
  <si>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</si>
  <si>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</si>
  <si>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</si>
  <si>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</si>
  <si>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</si>
  <si>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</si>
  <si>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</si>
  <si>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</si>
  <si>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</si>
  <si>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</si>
  <si>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</si>
  <si>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</si>
  <si>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</si>
  <si>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</si>
  <si>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</si>
  <si>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</si>
  <si>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</si>
  <si>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</si>
  <si>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</si>
  <si>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</si>
  <si>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</si>
  <si>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</si>
  <si>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</si>
  <si>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</si>
  <si>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</si>
  <si>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</si>
  <si>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</si>
  <si>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</si>
  <si>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</si>
  <si>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</si>
  <si>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</si>
  <si>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</si>
  <si>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</si>
  <si>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</si>
  <si>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</si>
  <si>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</si>
  <si>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</si>
  <si>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</si>
  <si>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</si>
  <si>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</si>
  <si>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</si>
  <si>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</si>
  <si>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</si>
  <si>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</si>
  <si>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</si>
  <si>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</si>
  <si>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</si>
  <si>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</si>
  <si>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</si>
  <si>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</si>
  <si>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</si>
  <si>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</si>
  <si>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</si>
  <si>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</si>
  <si>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</si>
  <si>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</si>
  <si>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</si>
  <si>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</si>
  <si>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</si>
  <si>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</si>
  <si>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</si>
  <si>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</si>
  <si>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</si>
  <si>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</si>
  <si>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</si>
  <si>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</si>
  <si>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</si>
  <si>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</si>
  <si>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</si>
  <si>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</si>
  <si>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</si>
  <si>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</si>
  <si>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</si>
  <si>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</si>
  <si>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</si>
  <si>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</si>
  <si>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</si>
  <si>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</si>
  <si>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</si>
  <si>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</si>
  <si>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</si>
  <si>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</si>
  <si>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</si>
  <si>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</si>
  <si>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</si>
  <si>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</si>
  <si>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</si>
  <si>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</si>
  <si>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</si>
  <si>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</si>
  <si>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</si>
  <si>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</si>
  <si>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</si>
  <si>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</si>
  <si>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</si>
  <si>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</si>
  <si>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</si>
  <si>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</si>
  <si>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</si>
  <si>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</si>
  <si>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</si>
  <si>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</si>
  <si>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</si>
  <si>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</si>
  <si>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</si>
  <si>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</si>
  <si>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</si>
  <si>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</si>
  <si>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</si>
  <si>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</si>
  <si>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</si>
  <si>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</si>
  <si>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</si>
  <si>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</si>
  <si>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</si>
  <si>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</si>
  <si>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</si>
  <si>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</si>
  <si>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</si>
  <si>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</si>
  <si>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</si>
  <si>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</si>
  <si>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</si>
  <si>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</si>
  <si>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</si>
  <si>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</si>
  <si>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</si>
  <si>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</si>
  <si>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</si>
  <si>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</si>
  <si>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</si>
  <si>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</si>
  <si>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</si>
  <si>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</si>
  <si>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</si>
  <si>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</si>
  <si>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</si>
  <si>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</si>
  <si>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</si>
  <si>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</si>
  <si>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</si>
  <si>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</si>
  <si>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</si>
  <si>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</si>
  <si>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</si>
  <si>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</si>
  <si>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</si>
  <si>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</si>
  <si>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</si>
  <si>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</si>
  <si>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</si>
  <si>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</si>
  <si>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</si>
  <si>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</si>
  <si>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</si>
  <si>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</si>
  <si>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</si>
  <si>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</si>
  <si>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</si>
  <si>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</si>
  <si>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</si>
  <si>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</si>
  <si>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</si>
  <si>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</si>
  <si>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</si>
  <si>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</si>
  <si>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</si>
  <si>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</si>
  <si>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</si>
  <si>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</si>
  <si>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</si>
  <si>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</si>
  <si>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</si>
  <si>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</si>
  <si>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</si>
  <si>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</si>
  <si>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</si>
  <si>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</si>
  <si>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</si>
  <si>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</si>
  <si>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</si>
  <si>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</si>
  <si>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</si>
  <si>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</si>
  <si>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</si>
  <si>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</si>
  <si>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</si>
  <si>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</si>
  <si>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</si>
  <si>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</si>
  <si>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</si>
  <si>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</si>
  <si>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</si>
  <si>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</si>
  <si>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</si>
  <si>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</si>
  <si>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</si>
  <si>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</si>
  <si>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</si>
  <si>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</si>
  <si>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</si>
  <si>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</si>
  <si>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</si>
  <si>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</si>
  <si>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</si>
  <si>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</si>
  <si>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</si>
  <si>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</si>
  <si>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</si>
  <si>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</si>
  <si>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</si>
  <si>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</si>
  <si>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</si>
  <si>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</si>
  <si>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</si>
  <si>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</si>
  <si>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</si>
  <si>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</si>
  <si>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</si>
  <si>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</si>
  <si>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</si>
  <si>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</si>
  <si>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</si>
  <si>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</si>
  <si>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</si>
  <si>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</si>
  <si>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</si>
  <si>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</si>
  <si>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</si>
  <si>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</si>
  <si>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</si>
  <si>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</si>
  <si>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其他：</t>
  </si>
  <si>
    <t>企业</t>
  </si>
  <si>
    <t>江苏省南京市</t>
    <phoneticPr fontId="6" type="noConversion"/>
  </si>
  <si>
    <r>
      <rPr>
        <sz val="10"/>
        <color theme="9" tint="-0.249977111117893"/>
        <rFont val="宋体"/>
        <family val="3"/>
        <charset val="134"/>
      </rPr>
      <t>栖霞区元化路</t>
    </r>
    <r>
      <rPr>
        <sz val="10"/>
        <color theme="9" tint="-0.249977111117893"/>
        <rFont val="Arial"/>
        <family val="2"/>
      </rPr>
      <t>8</t>
    </r>
    <r>
      <rPr>
        <sz val="10"/>
        <color theme="9" tint="-0.249977111117893"/>
        <rFont val="宋体"/>
        <family val="3"/>
        <charset val="134"/>
      </rPr>
      <t>号</t>
    </r>
    <r>
      <rPr>
        <sz val="10"/>
        <color theme="9" tint="-0.249977111117893"/>
        <rFont val="Arial"/>
        <family val="2"/>
      </rPr>
      <t>2</t>
    </r>
    <r>
      <rPr>
        <sz val="10"/>
        <color theme="9" tint="-0.249977111117893"/>
        <rFont val="宋体"/>
        <family val="3"/>
        <charset val="134"/>
      </rPr>
      <t>幢</t>
    </r>
    <r>
      <rPr>
        <sz val="10"/>
        <color theme="9" tint="-0.249977111117893"/>
        <rFont val="Arial"/>
        <family val="2"/>
      </rPr>
      <t>101</t>
    </r>
    <r>
      <rPr>
        <sz val="10"/>
        <color theme="9" tint="-0.249977111117893"/>
        <rFont val="宋体"/>
        <family val="3"/>
        <charset val="134"/>
      </rPr>
      <t>室</t>
    </r>
    <phoneticPr fontId="6" type="noConversion"/>
  </si>
  <si>
    <t>苏（2018）宁栖不动产权第0011042号</t>
    <phoneticPr fontId="134" type="noConversion"/>
  </si>
  <si>
    <t>南京汇悦酒店管理有限公司</t>
    <phoneticPr fontId="134" type="noConversion"/>
  </si>
  <si>
    <t>楼层</t>
    <phoneticPr fontId="134" type="noConversion"/>
  </si>
  <si>
    <t>建筑面积</t>
    <phoneticPr fontId="134" type="noConversion"/>
  </si>
  <si>
    <t>1层</t>
    <phoneticPr fontId="134" type="noConversion"/>
  </si>
  <si>
    <t>2层</t>
    <phoneticPr fontId="134" type="noConversion"/>
  </si>
  <si>
    <t>3层</t>
    <phoneticPr fontId="134" type="noConversion"/>
  </si>
  <si>
    <t>4层</t>
  </si>
  <si>
    <t>5层</t>
  </si>
  <si>
    <t>6层</t>
  </si>
  <si>
    <t>合计</t>
    <phoneticPr fontId="134" type="noConversion"/>
  </si>
  <si>
    <t>用途：科教用地（科技研发）/其他服务设施</t>
    <phoneticPr fontId="134" type="noConversion"/>
  </si>
  <si>
    <t>终止日期：2061年12月4日</t>
    <phoneticPr fontId="134" type="noConversion"/>
  </si>
  <si>
    <t>账面值</t>
    <phoneticPr fontId="134" type="noConversion"/>
  </si>
  <si>
    <t>2018年评估值</t>
    <phoneticPr fontId="134" type="noConversion"/>
  </si>
  <si>
    <t>是</t>
  </si>
  <si>
    <t>地上</t>
  </si>
  <si>
    <t>酒店</t>
  </si>
  <si>
    <t>酒店</t>
    <phoneticPr fontId="7" type="noConversion"/>
  </si>
  <si>
    <t>成新度</t>
  </si>
  <si>
    <t>收益法</t>
  </si>
  <si>
    <t>利息：取LPR加浮动点数</t>
  </si>
  <si>
    <t>钢混</t>
  </si>
  <si>
    <t>非生产用房</t>
  </si>
  <si>
    <t>否</t>
  </si>
  <si>
    <t>综合</t>
  </si>
  <si>
    <t>科研</t>
  </si>
  <si>
    <t>科研</t>
    <phoneticPr fontId="30" type="noConversion"/>
  </si>
  <si>
    <t>科教</t>
  </si>
  <si>
    <t>科教</t>
    <phoneticPr fontId="30" type="noConversion"/>
  </si>
  <si>
    <t>较规则</t>
    <phoneticPr fontId="3" type="noConversion"/>
  </si>
  <si>
    <t>较适宜</t>
    <phoneticPr fontId="3" type="noConversion"/>
  </si>
  <si>
    <t>七通</t>
  </si>
  <si>
    <t>六通</t>
  </si>
  <si>
    <t>五通</t>
  </si>
  <si>
    <t>四通</t>
  </si>
  <si>
    <t>三通</t>
  </si>
  <si>
    <t>好</t>
  </si>
  <si>
    <t>较好</t>
  </si>
  <si>
    <t>一般</t>
  </si>
  <si>
    <t>较差</t>
  </si>
  <si>
    <t>差</t>
  </si>
  <si>
    <t>较规则</t>
  </si>
  <si>
    <t>较适宜</t>
  </si>
  <si>
    <t>成本法</t>
  </si>
  <si>
    <t>收益法-酒店模型</t>
  </si>
  <si>
    <t>中公汇悦酒店</t>
    <phoneticPr fontId="3"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</si>
  <si>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</si>
  <si>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</si>
  <si>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</si>
  <si>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</si>
  <si>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</si>
  <si>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</si>
  <si>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</si>
  <si>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</si>
  <si>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</si>
  <si>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</si>
  <si>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</si>
  <si>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</si>
  <si>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</si>
  <si>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</si>
  <si>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</si>
  <si>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</si>
  <si>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</si>
  <si>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</si>
  <si>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</si>
  <si>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</si>
  <si>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</si>
  <si>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</si>
  <si>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</si>
  <si>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</si>
  <si>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</si>
  <si>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</si>
  <si>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</si>
  <si>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</si>
  <si>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</si>
  <si>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</si>
  <si>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</si>
  <si>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</si>
  <si>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</si>
  <si>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</si>
  <si>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</si>
  <si>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</si>
  <si>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</si>
  <si>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</si>
  <si>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</si>
  <si>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</si>
  <si>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</si>
  <si>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</si>
  <si>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</si>
  <si>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</si>
  <si>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</si>
  <si>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</si>
  <si>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</si>
  <si>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</si>
  <si>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</si>
  <si>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</si>
  <si>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</si>
  <si>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</si>
  <si>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栖霞区文澜路以北地块</t>
  </si>
  <si>
    <t>南京市</t>
  </si>
  <si>
    <t>No.宁2023Y02</t>
  </si>
  <si>
    <t xml:space="preserve"> 江苏省</t>
  </si>
  <si>
    <t xml:space="preserve"> 栖霞区</t>
  </si>
  <si>
    <t xml:space="preserve"> 仙林中心</t>
  </si>
  <si>
    <t xml:space="preserve"> 栖霞区文澜路以北地块,东至现状;南至现状;西至天秤路;北至国有空地。</t>
  </si>
  <si>
    <t xml:space="preserve"> 其它用地</t>
  </si>
  <si>
    <t xml:space="preserve"> ≥1.8,≤2</t>
  </si>
  <si>
    <t xml:space="preserve"> 挂牌</t>
  </si>
  <si>
    <t xml:space="preserve"> 科研用地</t>
  </si>
  <si>
    <t xml:space="preserve">-- </t>
  </si>
  <si>
    <t xml:space="preserve"> -- </t>
  </si>
  <si>
    <t xml:space="preserve"> ≤45%</t>
  </si>
  <si>
    <t xml:space="preserve"> ≤24</t>
  </si>
  <si>
    <t xml:space="preserve"> --</t>
  </si>
  <si>
    <t xml:space="preserve"> 南京市本级挂[2023]年宁研第02号</t>
  </si>
  <si>
    <t xml:space="preserve"> 已成交</t>
  </si>
  <si>
    <t xml:space="preserve"> 江苏省计量科学研究院(江苏省 能源计量数据中心)  </t>
  </si>
  <si>
    <t>2023-02-13 16:00</t>
  </si>
  <si>
    <t xml:space="preserve"> 50年</t>
  </si>
  <si>
    <t>栖霞区广志路以南、元化路以东地块</t>
  </si>
  <si>
    <t>No.宁2023Y03</t>
  </si>
  <si>
    <t xml:space="preserve"> 仙林湖</t>
  </si>
  <si>
    <t xml:space="preserve"> 栖霞区广志路以南、元化路以东地块,东至现状山体;南至现状山体;西至元化路;北临广志路。</t>
  </si>
  <si>
    <t xml:space="preserve"> ≥1.8,≤2.1</t>
  </si>
  <si>
    <t xml:space="preserve"> ≤35</t>
  </si>
  <si>
    <t xml:space="preserve"> 江苏润环环境科技有限公司  </t>
  </si>
  <si>
    <t>南京经济技术开发区恒广路以南、兴德路以东地块(NJDBa010-14-20)</t>
  </si>
  <si>
    <t>No.宁2023Y01</t>
  </si>
  <si>
    <t xml:space="preserve"> 新尧</t>
  </si>
  <si>
    <t xml:space="preserve"> 南京经济技术开发区恒广路以南、兴德路以东地块(NJDBa010-14-20),东至国有土地;南至规划纬六路;西至规划兴德路;北至恒广路。</t>
  </si>
  <si>
    <t xml:space="preserve"> ≥2.5,≤3.5</t>
  </si>
  <si>
    <t xml:space="preserve"> ≤80</t>
  </si>
  <si>
    <t xml:space="preserve"> 南京市本级挂[2023]年宁研第01号</t>
  </si>
  <si>
    <t xml:space="preserve"> 江苏东交智汇项目管理有限公司  </t>
  </si>
  <si>
    <t>2023-02-09 16:00</t>
  </si>
  <si>
    <t>玄武区经二路以西、纬二路以北地块</t>
  </si>
  <si>
    <t>No.宁2022Y10</t>
  </si>
  <si>
    <t xml:space="preserve"> 玄武区经二路以西、纬二路以北地块,东至经二路;南至纬二路;西至香樟大道;北至经一路。</t>
  </si>
  <si>
    <t xml:space="preserve"> ≥2.5,≤2.6</t>
  </si>
  <si>
    <t xml:space="preserve"> ≤40%</t>
  </si>
  <si>
    <t xml:space="preserve"> ≤50</t>
  </si>
  <si>
    <t xml:space="preserve"> 南京市本级挂[2022]年宁研第07号</t>
  </si>
  <si>
    <t xml:space="preserve"> 南京矽力微电子技术有限公司  </t>
  </si>
  <si>
    <t>2022-10-27 16:00</t>
  </si>
  <si>
    <t>鼓楼区水吉路以东、丽地路以北地块(NJZCb022-02-05)</t>
  </si>
  <si>
    <t>No.宁2022Y07</t>
  </si>
  <si>
    <t xml:space="preserve"> 鼓楼区水吉路以东、丽地路以北地块(NJZCb022-02-05),东至规划02-06地块,南至丽地路,西至水吉路,北至闻经路。</t>
  </si>
  <si>
    <t xml:space="preserve"> ≥2.2,≤2.3</t>
  </si>
  <si>
    <t xml:space="preserve"> 南京市本级挂[2022]年宁研第05号</t>
  </si>
  <si>
    <t xml:space="preserve"> 南京中建鼓北城市发展有限公司  </t>
  </si>
  <si>
    <t>2022-08-03 16:00</t>
  </si>
  <si>
    <t>栖霞区南京经济技术开发区经十一路以东、恒广路以南地块(NJDBa010-05)</t>
  </si>
  <si>
    <t>No.宁2022Y06</t>
  </si>
  <si>
    <t xml:space="preserve"> 栖霞区南京经济技术开发区经十一路以东、恒广路以南地块(NJDBa010-05),东至规划经十一支路,南至现状,西至规划经十一路,北至恒广路。</t>
  </si>
  <si>
    <t xml:space="preserve"> ≥2.5,≤3</t>
  </si>
  <si>
    <t xml:space="preserve"> ≤100</t>
  </si>
  <si>
    <t xml:space="preserve"> 南京市本级挂[2022]年宁研第04号</t>
  </si>
  <si>
    <t xml:space="preserve"> 南京新港产业投资发展有限公司  </t>
  </si>
  <si>
    <t>2022-08-01 16:00</t>
  </si>
  <si>
    <t>纬地路北侧地块(EAc030-02-09)</t>
  </si>
  <si>
    <t>No.宁2022Y02</t>
  </si>
  <si>
    <t xml:space="preserve"> 纬地路北侧地块(EAc030-02-09),东至国有土地,南至纬地路,西至国有土地,北至国有土地。</t>
  </si>
  <si>
    <t xml:space="preserve"> ≤1.8</t>
  </si>
  <si>
    <t xml:space="preserve"> ≤30%</t>
  </si>
  <si>
    <t xml:space="preserve"> 南京市本级挂[2022]年宁研第02号</t>
  </si>
  <si>
    <t xml:space="preserve"> 南京科默生物医药有限公司  </t>
  </si>
  <si>
    <t>2022-05-23 16:00</t>
  </si>
  <si>
    <t>栖霞区南京经济技术开发区恒广路以南、经十八路以东地块(NJDBa010-14)</t>
  </si>
  <si>
    <t>No.宁2022Y03</t>
  </si>
  <si>
    <t xml:space="preserve"> 栖霞区南京经济技术开发区恒广路以南、经十八路以东地块(NJDBa010-14),东至国有土地,南至规划纬六路,西至规划经十八路,北至恒广路。</t>
  </si>
  <si>
    <t xml:space="preserve"> 南京经开区国有资产运营有限公司  </t>
  </si>
  <si>
    <t>栖霞区南京经济技术开发区仙新路以西、恒广路以南地块(NJDBa010-14)</t>
  </si>
  <si>
    <t>No.宁2022GY05</t>
  </si>
  <si>
    <t xml:space="preserve"> 栖霞区南京经济技术开发区仙新路以西、恒广路以南地块(NJDBa010-14),东至仙新路,南至国有土地,西至国有土地,北至恒广路。</t>
  </si>
  <si>
    <t xml:space="preserve"> 南京市本级工挂[2022]年宁工第02号</t>
  </si>
  <si>
    <t xml:space="preserve"> 江苏龙蟠科技股份有限公司  </t>
  </si>
  <si>
    <t>2022-04-12 16:00</t>
  </si>
  <si>
    <t>栖霞区太平山公园西侧地块</t>
  </si>
  <si>
    <t>No.宁2020GY06</t>
  </si>
  <si>
    <t xml:space="preserve"> 栖霞区太平山公园西侧地块</t>
  </si>
  <si>
    <t xml:space="preserve"> 科教用地</t>
  </si>
  <si>
    <t xml:space="preserve"> ≤24m</t>
  </si>
  <si>
    <t xml:space="preserve"> 2020年宁工第04号</t>
  </si>
  <si>
    <t xml:space="preserve"> 南京尧智汇科技产业发展有限公司  </t>
  </si>
  <si>
    <t>2020-10-09 16:00</t>
  </si>
  <si>
    <t>栖霞区仙林街道大浦塘北侧养老地块</t>
  </si>
  <si>
    <t>NO.2020G25</t>
  </si>
  <si>
    <t xml:space="preserve"> 灵山</t>
  </si>
  <si>
    <t xml:space="preserve"> 栖霞区仙林街道大浦塘北侧养老地块</t>
  </si>
  <si>
    <t xml:space="preserve"> ≤1.1</t>
  </si>
  <si>
    <t xml:space="preserve"> A6社会福利用地</t>
  </si>
  <si>
    <t xml:space="preserve"> ≤30</t>
  </si>
  <si>
    <t xml:space="preserve"> ≤15</t>
  </si>
  <si>
    <t xml:space="preserve"> 2020年宁出第06号</t>
  </si>
  <si>
    <t xml:space="preserve"> 中国太平洋人寿保险股份有限公司  </t>
  </si>
  <si>
    <t>2020-07-02 16:00</t>
  </si>
  <si>
    <t>栖霞区仙林街道灵山养老社区地块</t>
  </si>
  <si>
    <t>NO.2020G09</t>
  </si>
  <si>
    <t xml:space="preserve"> 栖霞区仙林街道灵山养老社区地块</t>
  </si>
  <si>
    <t xml:space="preserve"> ≤1.05</t>
  </si>
  <si>
    <t xml:space="preserve"> ≤35%</t>
  </si>
  <si>
    <t xml:space="preserve"> ≤18.5</t>
  </si>
  <si>
    <t xml:space="preserve"> 2020年宁出第03号</t>
  </si>
  <si>
    <t xml:space="preserve"> 南京泰康之家养老服务有限公司  </t>
  </si>
  <si>
    <t xml:space="preserve"> 泰康保险集团</t>
  </si>
  <si>
    <t xml:space="preserve"> 民营企业</t>
  </si>
  <si>
    <t>2020-04-28 16:00</t>
  </si>
  <si>
    <t>栖霞区仙林街道学子路南延东侧地块</t>
  </si>
  <si>
    <t>NO.2019G100</t>
  </si>
  <si>
    <t xml:space="preserve"> 栖霞区仙林街道学子路南延东侧地块</t>
  </si>
  <si>
    <t xml:space="preserve"> 1.0≤far≤1.25</t>
  </si>
  <si>
    <t xml:space="preserve"> 2019年宁出第13号</t>
  </si>
  <si>
    <t xml:space="preserve"> 南京泰医医疗管理有限公司  </t>
  </si>
  <si>
    <t>2019-12-30 16:00</t>
  </si>
  <si>
    <t>栖霞区燕子矶街道经五路二期东侧科教地块</t>
  </si>
  <si>
    <t>NO.2019G43</t>
  </si>
  <si>
    <t xml:space="preserve"> 燕子矶</t>
  </si>
  <si>
    <t xml:space="preserve"> 东至山水苑住宅小区,南至燕尧路,西至泰晤士国际学校,北至神农路。</t>
  </si>
  <si>
    <t xml:space="preserve"> ≤2.0</t>
  </si>
  <si>
    <t xml:space="preserve"> A3教育科研用地</t>
  </si>
  <si>
    <t xml:space="preserve"> 2019年宁出第06号</t>
  </si>
  <si>
    <t xml:space="preserve"> 南京泰晤士学校  </t>
  </si>
  <si>
    <t>2019-08-06 16:00</t>
  </si>
  <si>
    <t>栖霞区尧化村地块</t>
  </si>
  <si>
    <t>No.宁2018GY14</t>
  </si>
  <si>
    <t xml:space="preserve"> 北至宁芜铁路、东南西均至栖霞区尧化街道尧化村集体土地</t>
  </si>
  <si>
    <t xml:space="preserve"> 容积率≤1.30</t>
  </si>
  <si>
    <t xml:space="preserve"> 南京市本级工挂[2018]宁工第07号</t>
  </si>
  <si>
    <t xml:space="preserve"> 杭州恒生科技园运营管理有限公司  </t>
  </si>
  <si>
    <t>南京经济技术开发区湖圣路东侧D地块</t>
  </si>
  <si>
    <t>No.宁2016GY04</t>
  </si>
  <si>
    <t xml:space="preserve"> 汤山</t>
  </si>
  <si>
    <t xml:space="preserve"> 东至西岗桦墅社区,南至西岗桦墅社区,西至西岗桦墅社区,北至西岗桦墅社区</t>
  </si>
  <si>
    <t xml:space="preserve"> ≤2.50</t>
  </si>
  <si>
    <t xml:space="preserve"> 公共设施用地</t>
  </si>
  <si>
    <t xml:space="preserve"> ≤50%</t>
  </si>
  <si>
    <t xml:space="preserve"> ≤36</t>
  </si>
  <si>
    <t xml:space="preserve"> 宁工[2016]01号-4</t>
  </si>
  <si>
    <t xml:space="preserve"> 南京健然农业科技有限公司  </t>
  </si>
  <si>
    <t>南京经济技术开发区湖圣路东侧A地块</t>
  </si>
  <si>
    <t>No.宁2016GY01</t>
  </si>
  <si>
    <t xml:space="preserve"> 东至西岗桦墅社区,南至江宁区,西至江宁区、栖霞区西岗桦墅社区,北至西岗桦墅社区</t>
  </si>
  <si>
    <t xml:space="preserve"> ≤1.50</t>
  </si>
  <si>
    <t xml:space="preserve"> 宁工[2016]01号-1</t>
  </si>
  <si>
    <t>南京经济技术开发区湖圣路东侧C地块</t>
  </si>
  <si>
    <t>No.宁2016GY03</t>
  </si>
  <si>
    <t xml:space="preserve"> 东至西岗街道桦墅社区,南至西岗桦墅社区,西至西岗桦墅社区,北至西岗桦墅社区</t>
  </si>
  <si>
    <t xml:space="preserve"> ≤1</t>
  </si>
  <si>
    <t xml:space="preserve"> 宁工[2016]01号-3</t>
  </si>
  <si>
    <t>南京经济技术开发区湖圣路东侧B地块</t>
  </si>
  <si>
    <t>No.宁2016GY02</t>
  </si>
  <si>
    <t xml:space="preserve"> ≤2</t>
  </si>
  <si>
    <t xml:space="preserve"> 宁工[2016]01号-2</t>
  </si>
  <si>
    <t>紫金(新港)科技创业特别社区管理委员会李家山路西侧地块</t>
  </si>
  <si>
    <t>No.宁2015GY36</t>
  </si>
  <si>
    <t xml:space="preserve"> 栖霞山</t>
  </si>
  <si>
    <t xml:space="preserve"> 紫金(新港)科技创业特别社区管理委员会李家山路西侧地块</t>
  </si>
  <si>
    <t xml:space="preserve"> 容积率≤2.60</t>
  </si>
  <si>
    <t xml:space="preserve"> ≤35m</t>
  </si>
  <si>
    <t xml:space="preserve"> 宁工[2015]11号-3</t>
  </si>
  <si>
    <t xml:space="preserve"> 南京紫金(新港)科技创业特别社区建设发展有限公司  </t>
  </si>
  <si>
    <t>紫金(新港)科技创业特别社区管理委员会科创路东侧地块</t>
  </si>
  <si>
    <t>No.宁2015GY27</t>
  </si>
  <si>
    <t xml:space="preserve"> 东至李家山路,南至九龙山路,西至科创路,北至沪宁铁路</t>
  </si>
  <si>
    <t xml:space="preserve"> ≤2.20</t>
  </si>
  <si>
    <t xml:space="preserve"> ≤60</t>
  </si>
  <si>
    <t xml:space="preserve"> 宁工〔2015〕09号-3</t>
  </si>
  <si>
    <t>高新区2015gx-k001地块</t>
  </si>
  <si>
    <t>No.宁 2015GY16</t>
  </si>
  <si>
    <t xml:space="preserve"> 高新区2015gx-k001地块</t>
  </si>
  <si>
    <t xml:space="preserve"> ≤2..0</t>
  </si>
  <si>
    <t xml:space="preserve"> ≥35%</t>
  </si>
  <si>
    <t xml:space="preserve"> 宁工〔2015〕04号-2</t>
  </si>
  <si>
    <t xml:space="preserve"> 南京软件园经济发展有限公司  </t>
  </si>
  <si>
    <t xml:space="preserve"> 江北新区产业投资集团</t>
  </si>
  <si>
    <t xml:space="preserve"> 地方国有企业</t>
  </si>
  <si>
    <t>栖霞区仙林大学城麒麟片区临汾旅西侧科研地块</t>
  </si>
  <si>
    <t>No.宁 2015GY15</t>
  </si>
  <si>
    <t xml:space="preserve"> 栖霞区仙林大学城麒麟片区临汾旅西侧科研地块</t>
  </si>
  <si>
    <t xml:space="preserve"> 1.5≤容积率≤2.30</t>
  </si>
  <si>
    <t xml:space="preserve"> 科教用地(科技研发)</t>
  </si>
  <si>
    <t xml:space="preserve"> ≥30%</t>
  </si>
  <si>
    <t xml:space="preserve"> 宁工〔2015〕04号-1</t>
  </si>
  <si>
    <t xml:space="preserve"> 中国电子科技集团公司第二十八研究所  </t>
  </si>
  <si>
    <t>栖霞区仙尧路北侧二期地块</t>
  </si>
  <si>
    <t>NO.2014G44</t>
  </si>
  <si>
    <t xml:space="preserve"> 东至现状道路,南至南京大公机动车驾驶员培训学校有限公司一期用地,西至宁芜铁路,北至沪宁城际铁路。</t>
  </si>
  <si>
    <t xml:space="preserve"> 综合容积率:1.79</t>
  </si>
  <si>
    <t xml:space="preserve"> 特殊教育用地</t>
  </si>
  <si>
    <t xml:space="preserve"> 2014年第11号-1</t>
  </si>
  <si>
    <t xml:space="preserve"> 南京大公机动车驾驶员培训学校有限公司  </t>
  </si>
  <si>
    <t>南京栖霞区学府路以西科研设计地块</t>
  </si>
  <si>
    <t>No.宁2014GY26</t>
  </si>
  <si>
    <t xml:space="preserve"> 东至王子楼村集体土地、国有空地,南至国有空地,西至道路,北至国有空地</t>
  </si>
  <si>
    <t xml:space="preserve"> 1.1≤r≤1.5</t>
  </si>
  <si>
    <t xml:space="preserve"> 科教用地(科研设计)</t>
  </si>
  <si>
    <t xml:space="preserve"> ≤18</t>
  </si>
  <si>
    <t xml:space="preserve"> 宁工〔2014〕7号-1</t>
  </si>
  <si>
    <t xml:space="preserve"> 南京能瑞自动化设备股份有限公司  </t>
  </si>
  <si>
    <t>马群科技园P地块</t>
  </si>
  <si>
    <t>No.宁2013GY38</t>
  </si>
  <si>
    <t xml:space="preserve"> 东至上海铁路局,南至南京嘉元腾电力科技有限公司、天马路,西至天马路,北至国有空地</t>
  </si>
  <si>
    <t xml:space="preserve"> 1.2≤r≤1.5</t>
  </si>
  <si>
    <t xml:space="preserve"> 宁工〔2013〕14号</t>
  </si>
  <si>
    <t xml:space="preserve"> 南京建祥工程实业有限公司  </t>
  </si>
  <si>
    <t>恒泰路以南、仙新路以东地块</t>
  </si>
  <si>
    <t>No.宁2013GY41</t>
  </si>
  <si>
    <t xml:space="preserve"> 东至南京高科股份有限公司,南至弓箭玻璃器皿(南京)有限公司,西至仙新路,北至恒泰路</t>
  </si>
  <si>
    <t xml:space="preserve"> 1≤r≤4.5</t>
  </si>
  <si>
    <t>栖霞区迈皋桥合班村302号地块</t>
  </si>
  <si>
    <t>No.宁2013GY40</t>
  </si>
  <si>
    <t xml:space="preserve"> 东至中国能源建设集团江苏省电力建设第一工程公司,南至祥和佳园住宅小区,西至南京栖霞建设股份有限公司,北至中国能源建设集团江苏省电力建设第一工程公司</t>
  </si>
  <si>
    <t xml:space="preserve"> 1.2≤r≤2.5</t>
  </si>
  <si>
    <t xml:space="preserve"> 江苏省电力公司  </t>
  </si>
  <si>
    <t>仙林软件与服务外包产业园鲤鱼山D地块</t>
  </si>
  <si>
    <t>No.宁2013GY35</t>
  </si>
  <si>
    <t xml:space="preserve"> 东至栖霞区林山村集体土地,南至国有空地、栖霞区林山村集体土地,西至国有空地,北至道路</t>
  </si>
  <si>
    <t xml:space="preserve"> ≤3.8</t>
  </si>
  <si>
    <t xml:space="preserve"> 宁工〔2013〕12号</t>
  </si>
  <si>
    <t xml:space="preserve"> 南京紫金(仙林)科技创业特别社区建设发展有限公司  </t>
  </si>
  <si>
    <t>仙林软件与服务外包产业园北片区鲤鱼山E地块</t>
  </si>
  <si>
    <t>No.宁2013GY31</t>
  </si>
  <si>
    <t xml:space="preserve"> 东至规划道路,南至栖霞区林山村集体土地、国有空地,西至元化路,北至道路</t>
  </si>
  <si>
    <t xml:space="preserve"> ≤4.3</t>
  </si>
  <si>
    <t xml:space="preserve"> 宁工〔2013〕11号</t>
  </si>
  <si>
    <t>栖霞区仙林中心区羊山湖以北加油站地块</t>
  </si>
  <si>
    <t>NO.2013G15</t>
  </si>
  <si>
    <t xml:space="preserve"> 东至白家山,南至白家山,西至仙境路,北至白家山公墓。</t>
  </si>
  <si>
    <t xml:space="preserve"> ≤0.5</t>
  </si>
  <si>
    <t xml:space="preserve"> 公共加油站用地</t>
  </si>
  <si>
    <t xml:space="preserve"> ≤9.5</t>
  </si>
  <si>
    <t xml:space="preserve"> 2013年第06号-1</t>
  </si>
  <si>
    <t xml:space="preserve"> 南京澳通石油化工产品储运有限公司  </t>
  </si>
  <si>
    <t>大浦塘西侧一号地块</t>
  </si>
  <si>
    <t>No.宁2013GY10</t>
  </si>
  <si>
    <t xml:space="preserve"> 东至国有空地、规划道路,南至规划道路,西至规划道路,北至灵山北路</t>
  </si>
  <si>
    <t xml:space="preserve"> ≤1.5</t>
  </si>
  <si>
    <t xml:space="preserve"> 宁工〔2013〕4号-1</t>
  </si>
  <si>
    <t xml:space="preserve"> 江苏兰德数码科技有限公司  </t>
  </si>
  <si>
    <t>南京金港科技创业中心二期</t>
  </si>
  <si>
    <t>No.宁2012GY60</t>
  </si>
  <si>
    <t xml:space="preserve"> 东至南京金港投资有限公司一期用地,南至国有空地,西至仙新路,北至国有空地</t>
  </si>
  <si>
    <t xml:space="preserve"> ≤3.0</t>
  </si>
  <si>
    <t xml:space="preserve"> 南京市国有建设用地使用权公开出让公告宁工〔2012〕20号-4</t>
  </si>
  <si>
    <t xml:space="preserve"> 南京金港投资有限公司  </t>
  </si>
  <si>
    <t>长江以南、龙潭港一期以西地块</t>
  </si>
  <si>
    <t>No.宁2012GY59</t>
  </si>
  <si>
    <t xml:space="preserve"> 东至南京港有限公司等,西至南京市长江河道管理处,北至国有空地</t>
  </si>
  <si>
    <t xml:space="preserve"> 港口码头用地</t>
  </si>
  <si>
    <t xml:space="preserve"> 南京市国有建设用地使用权公开出让公告宁工〔2012〕20号-3</t>
  </si>
  <si>
    <t xml:space="preserve"> 南京港龙潭集装箱有限公司  </t>
  </si>
  <si>
    <t>紫金(玄武)科技创业特别社区聚宝山地块聚慧园项目</t>
  </si>
  <si>
    <t>No.宁2012GY57</t>
  </si>
  <si>
    <t xml:space="preserve"> 东至尧仙公路、南至玄武大道、西至新华日报、北至国有空地</t>
  </si>
  <si>
    <t xml:space="preserve"> ≤4.0</t>
  </si>
  <si>
    <t xml:space="preserve"> 南京市国有建设用地使用权公开出让公告宁工〔2012〕20号-1</t>
  </si>
  <si>
    <t xml:space="preserve"> 南京紫金(玄武)科技创业特别社区建设发展有限公司  </t>
  </si>
  <si>
    <t>疏港路以北、龙潭港一期以西地块</t>
  </si>
  <si>
    <t>No.宁2012GY58</t>
  </si>
  <si>
    <t xml:space="preserve"> 东至南京港(集团)有限公司,南至国有空地,西(104-112)号界址点至三官村集体土地,(112-113)号界址点至南京市长江河道管理处,(113-117)号点至三官村集体土地,北至南京市长江河道管理处</t>
  </si>
  <si>
    <t xml:space="preserve"> 南京市国有建设用地使用权公开出让公告宁工〔2012〕20号-2</t>
  </si>
  <si>
    <t>栖霞区栖霞大道与仙林路夹角加油站地块</t>
  </si>
  <si>
    <t>NO.2012G17</t>
  </si>
  <si>
    <t xml:space="preserve"> 东至现状;北至栖霞大道;西南至仙新路。</t>
  </si>
  <si>
    <t xml:space="preserve"> ≤0.4</t>
  </si>
  <si>
    <t xml:space="preserve"> 南京元通物资服务有限公司  </t>
  </si>
  <si>
    <t>栖霞区龙潭街道疏港大道1号十月加油站地块</t>
  </si>
  <si>
    <t>NO.2012G13</t>
  </si>
  <si>
    <t xml:space="preserve"> 龙潭</t>
  </si>
  <si>
    <t xml:space="preserve"> 西北至疏港大道;东南至南京中建钢结构公司;东北至现状;西南至现状。</t>
  </si>
  <si>
    <t>栖霞区栖霞街道摄山村</t>
  </si>
  <si>
    <t>No.宁2008GY18</t>
  </si>
  <si>
    <t xml:space="preserve"> 栖霞区栖霞街道摄山村</t>
  </si>
  <si>
    <t xml:space="preserve"> ≤21米</t>
  </si>
  <si>
    <t>南京市仙林新市区白象片区南大科学园地块</t>
  </si>
  <si>
    <t>No.宁2011GY51</t>
  </si>
  <si>
    <t xml:space="preserve"> 东至元化路,南至南京大学仙林校区,西至九乡河路,北至纬地路</t>
  </si>
  <si>
    <t xml:space="preserve"> 科教用地(信息电子、通讯、光电显示、环保科技类研发)</t>
  </si>
  <si>
    <t xml:space="preserve"> 南京仙林大学城科技园有限公司  </t>
  </si>
  <si>
    <t>八卦洲大同生态产业园A地块</t>
  </si>
  <si>
    <t>No.宁2012GY13</t>
  </si>
  <si>
    <t xml:space="preserve"> 东至南京市栖霞区人民政府八卦洲办事处用地;南至西延路;西至道路;北至道路。</t>
  </si>
  <si>
    <t xml:space="preserve"> ≤1.3</t>
  </si>
  <si>
    <t xml:space="preserve"> 南京武家嘴船舶制造有限公司  </t>
  </si>
  <si>
    <t>南京经济技术开发区东区府前路地块</t>
  </si>
  <si>
    <t>No.宁2012GY12</t>
  </si>
  <si>
    <t xml:space="preserve"> 东至空地;南至空地;西至空地;北至龙锦路。</t>
  </si>
  <si>
    <t xml:space="preserve"> 科教用地(生产研发)</t>
  </si>
  <si>
    <t xml:space="preserve"> 江苏林爵黄金有限公司  </t>
  </si>
  <si>
    <t>栖霞区马群科技园L地块</t>
  </si>
  <si>
    <t>No.宁2011GY54</t>
  </si>
  <si>
    <t xml:space="preserve"> 东至宁芜铁路;南至江苏远锦投资集团公司;西至天马路;北至空地。</t>
  </si>
  <si>
    <t xml:space="preserve"> r≤1.5</t>
  </si>
  <si>
    <t xml:space="preserve"> 科教用地(通用设备制造业生产研发)</t>
  </si>
  <si>
    <t xml:space="preserve"> 南京斯诺威尔流体技术有限公司  </t>
  </si>
  <si>
    <t>恒竞路以南、恒飞路以北、兴智路以东地块</t>
  </si>
  <si>
    <t>No.宁2012GY44</t>
  </si>
  <si>
    <t xml:space="preserve"> 东至南京新港高科技股份有限公司、南京紫金数字设备有限公司,南至恒发路,西至南京出口加工区中外运物流有限公司办公大楼,北至恒竞路</t>
  </si>
  <si>
    <t xml:space="preserve"> ≥1.2且≤5</t>
  </si>
  <si>
    <t xml:space="preserve"> ≤55%</t>
  </si>
  <si>
    <t>栖霞区尧化街道尧仙路北侧</t>
  </si>
  <si>
    <t>NO.2011G58</t>
  </si>
  <si>
    <t xml:space="preserve"> 栖霞区尧化街道尧仙路北侧</t>
  </si>
  <si>
    <t xml:space="preserve"> 特殊学校用地</t>
  </si>
  <si>
    <t>正常</t>
  </si>
  <si>
    <t>总价</t>
  </si>
  <si>
    <t>成本比率</t>
  </si>
  <si>
    <t>情况4</t>
  </si>
  <si>
    <t>转让取得</t>
  </si>
  <si>
    <t>非个人房产</t>
  </si>
  <si>
    <t>购房发票</t>
  </si>
  <si>
    <t>2016年5月1日后购买</t>
  </si>
  <si>
    <t>已包含在土地取得成本中</t>
  </si>
  <si>
    <t>未包含在土地购买价格中</t>
  </si>
  <si>
    <t>全部缴纳</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</si>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</sst>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0"/>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60" xfId="0" applyFont="1" applyFill="1" applyBorder="1" applyAlignment="1" applyProtection="1">
      <alignment vertical="center" wrapText="1"/>
      <protection locked="0"/>
    </xf>
    <xf numFmtId="0" fontId="107" fillId="0" borderId="0" xfId="0" applyFont="1">
      <alignment vertical="center"/>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07" fillId="5" borderId="0" xfId="0" applyFont="1" applyFill="1">
      <alignment vertical="center"/>
    </xf>
    <xf numFmtId="0" fontId="107" fillId="0" borderId="0" xfId="0" applyFont="1" applyFill="1">
      <alignment vertical="center"/>
    </xf>
    <xf numFmtId="9" fontId="113" fillId="0" borderId="5" xfId="0" applyNumberFormat="1" applyFont="1" applyFill="1" applyBorder="1" applyAlignment="1" applyProtection="1">
      <alignment horizontal="center" vertical="center"/>
      <protection locked="0"/>
    </xf>
    <xf numFmtId="188" fontId="53" fillId="5" borderId="1" xfId="4" applyNumberFormat="1" applyFont="1" applyFill="1" applyBorder="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0" fillId="0" borderId="0" xfId="19" applyNumberFormat="1" applyFont="1"/>
    <xf numFmtId="0" fontId="270" fillId="5" borderId="0" xfId="19" applyNumberFormat="1" applyFont="1" applyFill="1"/>
    <xf numFmtId="14" fontId="107" fillId="5" borderId="0" xfId="19" applyNumberFormat="1" applyFont="1" applyFill="1"/>
    <xf numFmtId="14" fontId="107" fillId="0" borderId="0" xfId="19" applyNumberFormat="1" applyFont="1"/>
    <xf numFmtId="0" fontId="270" fillId="0" borderId="0" xfId="19" applyNumberFormat="1" applyFont="1" applyFill="1"/>
    <xf numFmtId="14" fontId="107" fillId="0" borderId="0" xfId="19" applyNumberFormat="1" applyFont="1" applyFill="1"/>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45</xdr:row>
      <xdr:rowOff>103539</xdr:rowOff>
    </xdr:from>
    <xdr:to>
      <xdr:col>12</xdr:col>
      <xdr:colOff>400050</xdr:colOff>
      <xdr:row>61</xdr:row>
      <xdr:rowOff>18625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961539"/>
          <a:ext cx="5267325" cy="2353486"/>
        </a:xfrm>
        <a:prstGeom prst="rect">
          <a:avLst/>
        </a:prstGeom>
      </xdr:spPr>
    </xdr:pic>
    <xdr:clientData/>
  </xdr:twoCellAnchor>
  <xdr:twoCellAnchor editAs="oneCell">
    <xdr:from>
      <xdr:col>12</xdr:col>
      <xdr:colOff>609599</xdr:colOff>
      <xdr:row>46</xdr:row>
      <xdr:rowOff>137561</xdr:rowOff>
    </xdr:from>
    <xdr:to>
      <xdr:col>52</xdr:col>
      <xdr:colOff>218116</xdr:colOff>
      <xdr:row>61</xdr:row>
      <xdr:rowOff>85268</xdr:rowOff>
    </xdr:to>
    <xdr:pic>
      <xdr:nvPicPr>
        <xdr:cNvPr id="3" name="图片 2"/>
        <xdr:cNvPicPr>
          <a:picLocks noChangeAspect="1"/>
        </xdr:cNvPicPr>
      </xdr:nvPicPr>
      <xdr:blipFill>
        <a:blip xmlns:r="http://schemas.openxmlformats.org/officeDocument/2006/relationships" r:embed="rId2"/>
        <a:stretch>
          <a:fillRect/>
        </a:stretch>
      </xdr:blipFill>
      <xdr:spPr>
        <a:xfrm>
          <a:off x="5476874" y="7147961"/>
          <a:ext cx="4694867" cy="2233707"/>
        </a:xfrm>
        <a:prstGeom prst="rect">
          <a:avLst/>
        </a:prstGeom>
      </xdr:spPr>
    </xdr:pic>
    <xdr:clientData/>
  </xdr:twoCellAnchor>
  <xdr:twoCellAnchor editAs="oneCell">
    <xdr:from>
      <xdr:col>0</xdr:col>
      <xdr:colOff>0</xdr:colOff>
      <xdr:row>62</xdr:row>
      <xdr:rowOff>460</xdr:rowOff>
    </xdr:from>
    <xdr:to>
      <xdr:col>12</xdr:col>
      <xdr:colOff>523875</xdr:colOff>
      <xdr:row>76</xdr:row>
      <xdr:rowOff>94805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449260"/>
          <a:ext cx="5391150" cy="22279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484858</xdr:colOff>
      <xdr:row>18</xdr:row>
      <xdr:rowOff>28186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42858" cy="3114286"/>
        </a:xfrm>
        <a:prstGeom prst="rect">
          <a:avLst/>
        </a:prstGeom>
      </xdr:spPr>
    </xdr:pic>
    <xdr:clientData/>
  </xdr:twoCellAnchor>
  <xdr:twoCellAnchor editAs="oneCell">
    <xdr:from>
      <xdr:col>0</xdr:col>
      <xdr:colOff>0</xdr:colOff>
      <xdr:row>19</xdr:row>
      <xdr:rowOff>0</xdr:rowOff>
    </xdr:from>
    <xdr:to>
      <xdr:col>7</xdr:col>
      <xdr:colOff>285115</xdr:colOff>
      <xdr:row>59</xdr:row>
      <xdr:rowOff>103905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57550"/>
          <a:ext cx="5085715" cy="6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江苏省南京市栖霞区元化路8号2幢101室房地产抵押价值预评估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受贵公司委托，我公司对江苏省南京市栖霞区元化路8号2幢101室房地产抵押价值进行了预评估。</v>
      </c>
    </row>
    <row r="7" spans="1:2" s="1203" customFormat="1">
      <c r="A7" s="1201" t="s">
        <v>566</v>
      </c>
      <c r="B7" s="1202" t="str">
        <f>'预评函-1'!A7</f>
        <v>估价对象为江苏省南京市栖霞区元化路8号2幢101室房地产，为所有。根据《国有土地使用证》[]，估价对象（分摊）出让国有建设用地使用权面积为0平方米，建筑面积为17198.24平方米。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江苏省南京市栖霞区元化路8号2幢101室房地产,属开发建设的，该项目尚在开发建设中。根据《国有土地使用证》[]，估价对象（分摊）出让国有建设用地使用权面积为0平方米，规划建筑面积为17198.24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江苏省南京市栖霞区元化路8号2幢101室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2023年5月15日（评估专业人员实地查勘之日）</v>
      </c>
    </row>
    <row r="13" spans="1:2" s="1203" customFormat="1">
      <c r="A13" s="1201" t="s">
        <v>529</v>
      </c>
      <c r="B13" s="1202" t="str">
        <f>'预评函-1'!A18</f>
        <v>本次估价的“房地产价值”是指在正常市场情况下，在价值时点2023年5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29666</v>
      </c>
    </row>
    <row r="21" spans="1:2" s="1203" customFormat="1">
      <c r="A21" s="1201" t="s">
        <v>537</v>
      </c>
      <c r="B21" s="1202">
        <f ca="1">'预评函-2'!D7</f>
        <v>17249</v>
      </c>
    </row>
    <row r="22" spans="1:2" s="1203" customFormat="1">
      <c r="A22" s="1201" t="s">
        <v>538</v>
      </c>
      <c r="B22" s="1202" t="str">
        <f ca="1">'预评函-2'!D6</f>
        <v>贰亿玖仟陆佰陆拾陆万元整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29666</v>
      </c>
    </row>
    <row r="31" spans="1:2" s="1203" customFormat="1">
      <c r="A31" s="1201" t="s">
        <v>576</v>
      </c>
      <c r="B31" s="1202">
        <f ca="1">'预评函-2'!D15</f>
        <v>17249</v>
      </c>
    </row>
    <row r="32" spans="1:2" s="1203" customFormat="1">
      <c r="A32" s="1201" t="s">
        <v>543</v>
      </c>
      <c r="B32" s="1202" t="str">
        <f ca="1">'预评函-2'!D14</f>
        <v>贰亿玖仟陆佰陆拾陆万元整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29510</v>
      </c>
    </row>
    <row r="39" spans="1:2" s="1203" customFormat="1">
      <c r="A39" s="1201" t="s">
        <v>545</v>
      </c>
      <c r="B39" s="1202">
        <f ca="1">'预评函-2'!D21</f>
        <v>17159</v>
      </c>
    </row>
    <row r="40" spans="1:2" s="1203" customFormat="1">
      <c r="A40" s="1201" t="s">
        <v>546</v>
      </c>
      <c r="B40" s="1202" t="str">
        <f ca="1">'预评函-2'!D20</f>
        <v>贰亿玖仟伍佰壹拾万元整</v>
      </c>
    </row>
    <row r="41" spans="1:2" s="1203" customFormat="1">
      <c r="A41" s="1201" t="s">
        <v>592</v>
      </c>
      <c r="B41" s="1202" t="str">
        <f>'预评函-3'!A4</f>
        <v>江苏省南京市栖霞区元化路8号2幢101室房地产</v>
      </c>
    </row>
    <row r="42" spans="1:2" s="1203" customFormat="1">
      <c r="A42" s="1201" t="s">
        <v>590</v>
      </c>
      <c r="B42" s="1202" t="str">
        <f>'预评函-3'!B2</f>
        <v>建筑面积</v>
      </c>
    </row>
    <row r="43" spans="1:2" s="1203" customFormat="1">
      <c r="A43" s="1201" t="s">
        <v>591</v>
      </c>
      <c r="B43" s="1202">
        <f>'预评函-3'!B4</f>
        <v>17198.240000000002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5340</v>
      </c>
    </row>
    <row r="48" spans="1:2" s="1203" customFormat="1">
      <c r="A48" s="1201" t="s">
        <v>549</v>
      </c>
      <c r="B48" s="1202">
        <f ca="1">'预评函-3'!E4</f>
        <v>3105</v>
      </c>
    </row>
    <row r="49" spans="1:2" s="1203" customFormat="1">
      <c r="A49" s="1201" t="s">
        <v>550</v>
      </c>
      <c r="B49" s="1202" t="str">
        <f ca="1">'预评函-3'!D5</f>
        <v>伍仟叁佰肆拾万元整</v>
      </c>
    </row>
    <row r="50" spans="1:2" s="1203" customFormat="1">
      <c r="A50" s="1201" t="s">
        <v>574</v>
      </c>
      <c r="B50" s="1202" t="str">
        <f>'预评函-3'!F2</f>
        <v>在建建筑物价值</v>
      </c>
    </row>
    <row r="51" spans="1:2" s="1203" customFormat="1">
      <c r="A51" s="1201" t="s">
        <v>551</v>
      </c>
      <c r="B51" s="1202">
        <f ca="1">'预评函-3'!F4</f>
        <v>24326</v>
      </c>
    </row>
    <row r="52" spans="1:2" s="1203" customFormat="1">
      <c r="A52" s="1201" t="s">
        <v>552</v>
      </c>
      <c r="B52" s="1202">
        <f ca="1">'预评函-3'!G4</f>
        <v>14144</v>
      </c>
    </row>
    <row r="53" spans="1:2" s="1203" customFormat="1">
      <c r="A53" s="1201" t="s">
        <v>580</v>
      </c>
      <c r="B53" s="1202" t="str">
        <f ca="1">'预评函-3'!F5</f>
        <v>贰亿肆仟叁佰贰拾陆万元整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2579</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2580</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江苏省南京市栖霞区元化路8号2幢101室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B58" sqref="B58"/>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499" t="s">
        <v>2582</v>
      </c>
      <c r="J2" s="3499"/>
      <c r="K2" s="3499"/>
      <c r="L2" s="3499"/>
      <c r="M2" s="3499"/>
      <c r="N2" s="3499"/>
      <c r="O2" s="3499"/>
      <c r="P2" s="3499"/>
      <c r="Q2" s="3499"/>
      <c r="R2" s="3499"/>
    </row>
    <row r="3" spans="1:18">
      <c r="A3" s="3019" t="s">
        <v>2503</v>
      </c>
      <c r="B3" s="3020">
        <f>项目基本情况!D3</f>
        <v>45061</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3.6</v>
      </c>
      <c r="D5" s="3024">
        <f>IF(ISERROR(ROUND(POWER(1+E5,A5-C5)*(POWER(1+E5,C5)-1)/(POWER(1+E5,A5)-1),3)),0,ROUND(POWER(1+E5,A5-C5)*(POWER(1+E5,C5)-1)/(POWER(1+E5,A5)-1),4))</f>
        <v>0.1663</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13.6</v>
      </c>
      <c r="D6" s="3024">
        <f>IF(ISERROR(ROUND(POWER(1+E6,A6-C6)*(POWER(1+E6,C6)-1)/(POWER(1+E6,A6)-1),3)),0,ROUND(POWER(1+E6,A6-C6)*(POWER(1+E6,C6)-1)/(POWER(1+E6,A6)-1),4))</f>
        <v>0.48110000000000003</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33.619999999999997</v>
      </c>
      <c r="D7" s="3024">
        <f>IF(ISERROR(ROUND(POWER(1+E7,A7-C7)*(POWER(1+E7,C7)-1)/(POWER(1+E7,A7)-1),3)),0,ROUND(POWER(1+E7,A7-C7)*(POWER(1+E7,C7)-1)/(POWER(1+E7,A7)-1),4))</f>
        <v>0.78280000000000005</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44" sqref="G4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0" t="str">
        <f>IF(B10="北京市","北京市",C10)&amp;F10&amp;IF(结果表!G1="在建","出让国有建设用地使用权及在建建筑物",IF(结果表!G1="土地","出让国有建设用地使用权",))&amp;B9&amp;"预评估"</f>
        <v>江苏省南京市栖霞区元化路8号2幢101室房地产抵押价值预评估</v>
      </c>
      <c r="C1" s="3501"/>
      <c r="D1" s="3501"/>
      <c r="E1" s="3501"/>
      <c r="F1" s="3501"/>
      <c r="G1" s="3501"/>
      <c r="H1" s="3501"/>
      <c r="I1" s="3502"/>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江苏省南京市栖霞区元化路8号2幢101室房地产抵押价值</v>
      </c>
      <c r="T1" s="1745"/>
      <c r="U1" s="1745"/>
      <c r="V1" s="1745"/>
      <c r="W1" s="1745"/>
      <c r="X1" s="1745"/>
      <c r="Y1" s="1745"/>
      <c r="Z1" s="1745"/>
      <c r="AA1" s="1745"/>
      <c r="AB1" s="1745"/>
    </row>
    <row r="2" spans="1:30">
      <c r="A2" s="2367" t="s">
        <v>2168</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江苏省南京市栖霞区元化路8号2幢101室房地产</v>
      </c>
      <c r="T2" s="1745"/>
      <c r="U2" s="1745"/>
      <c r="V2" s="1745"/>
      <c r="W2" s="1745"/>
      <c r="X2" s="1745"/>
      <c r="Y2" s="1745"/>
      <c r="Z2" s="1745"/>
      <c r="AA2" s="1745"/>
      <c r="AB2" s="1745"/>
    </row>
    <row r="3" spans="1:30">
      <c r="A3" s="302" t="s">
        <v>2169</v>
      </c>
      <c r="B3" s="2373">
        <v>45061</v>
      </c>
      <c r="C3" s="2374" t="s">
        <v>2170</v>
      </c>
      <c r="D3" s="2373">
        <v>45061</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2174</v>
      </c>
      <c r="B7" s="2387"/>
      <c r="C7" s="2385"/>
      <c r="D7" s="2386"/>
      <c r="E7" s="2661"/>
      <c r="F7" s="2663"/>
      <c r="G7" s="2663"/>
      <c r="H7" s="2663"/>
      <c r="I7" s="2663"/>
      <c r="J7" s="2438"/>
      <c r="K7" s="2615"/>
      <c r="L7" s="2612"/>
      <c r="M7" s="2612"/>
      <c r="N7" s="2438"/>
      <c r="O7" s="2449"/>
      <c r="P7" s="2438"/>
      <c r="Q7" s="2438"/>
      <c r="R7" s="2438"/>
    </row>
    <row r="8" spans="1:30">
      <c r="A8" s="2388" t="s">
        <v>2175</v>
      </c>
      <c r="B8" s="2389" t="s">
        <v>3376</v>
      </c>
      <c r="C8" s="2390"/>
      <c r="D8" s="3503" t="s">
        <v>2176</v>
      </c>
      <c r="E8" s="2391" t="s">
        <v>3377</v>
      </c>
      <c r="F8" s="2392"/>
      <c r="G8" s="2662"/>
      <c r="H8" s="2662"/>
      <c r="I8" s="2662"/>
      <c r="J8" s="2438"/>
      <c r="K8" s="2613"/>
      <c r="L8" s="2612"/>
      <c r="M8" s="2612"/>
      <c r="N8" s="2438"/>
      <c r="O8" s="2449"/>
      <c r="P8" s="2438"/>
      <c r="Q8" s="2438"/>
      <c r="R8" s="2438"/>
    </row>
    <row r="9" spans="1:30" ht="13.5" thickBot="1">
      <c r="A9" s="2393" t="s">
        <v>2177</v>
      </c>
      <c r="B9" s="2394" t="s">
        <v>3377</v>
      </c>
      <c r="C9" s="2395"/>
      <c r="D9" s="3504"/>
      <c r="E9" s="2394" t="s">
        <v>587</v>
      </c>
      <c r="F9" s="2396"/>
      <c r="G9" s="2664"/>
      <c r="H9" s="2664"/>
      <c r="I9" s="2664"/>
      <c r="J9" s="2438"/>
      <c r="K9" s="2615"/>
      <c r="L9" s="2612"/>
      <c r="M9" s="2612"/>
      <c r="N9" s="2438"/>
      <c r="O9" s="2449"/>
      <c r="P9" s="2438"/>
      <c r="Q9" s="2438"/>
      <c r="R9" s="2438"/>
    </row>
    <row r="10" spans="1:30" ht="13.5" thickTop="1">
      <c r="A10" s="2397" t="s">
        <v>2178</v>
      </c>
      <c r="B10" s="2398" t="s">
        <v>3378</v>
      </c>
      <c r="C10" s="3449" t="s">
        <v>3380</v>
      </c>
      <c r="D10" s="2382"/>
      <c r="E10" s="2399" t="s">
        <v>2179</v>
      </c>
      <c r="F10" s="2665" t="s">
        <v>3381</v>
      </c>
      <c r="G10" s="2666"/>
      <c r="H10" s="2667"/>
      <c r="I10" s="2668"/>
      <c r="J10" s="2438"/>
      <c r="K10" s="2615"/>
      <c r="L10" s="2612"/>
      <c r="M10" s="2612"/>
      <c r="N10" s="2438"/>
      <c r="O10" s="2449"/>
      <c r="P10" s="2438"/>
      <c r="Q10" s="2438"/>
      <c r="R10" s="2438"/>
    </row>
    <row r="11" spans="1:30">
      <c r="A11" s="2400" t="s">
        <v>2180</v>
      </c>
      <c r="B11" s="2401" t="s">
        <v>3379</v>
      </c>
      <c r="C11" s="2402"/>
      <c r="D11" s="2403"/>
      <c r="E11" s="2370"/>
      <c r="F11" s="2370"/>
      <c r="G11" s="2370"/>
      <c r="H11" s="2370"/>
      <c r="I11" s="2370"/>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2578</v>
      </c>
      <c r="J12" s="3061"/>
      <c r="K12" s="2612"/>
      <c r="L12" s="2612"/>
      <c r="M12" s="2438"/>
      <c r="N12" s="2449"/>
      <c r="O12" s="2438"/>
      <c r="P12" s="2438"/>
      <c r="Q12" s="2438"/>
      <c r="AD12" s="1745"/>
    </row>
    <row r="13" spans="1:30">
      <c r="A13" s="3422" t="s">
        <v>3336</v>
      </c>
      <c r="B13" s="2406" t="s">
        <v>2189</v>
      </c>
      <c r="C13" s="856"/>
      <c r="D13" s="856"/>
      <c r="E13" s="856">
        <v>59144</v>
      </c>
      <c r="F13" s="856"/>
      <c r="G13" s="856"/>
      <c r="H13" s="856"/>
      <c r="I13" s="856"/>
      <c r="J13" s="3061"/>
      <c r="K13" s="2612"/>
      <c r="L13" s="2612"/>
      <c r="M13" s="2438"/>
      <c r="N13" s="2449"/>
      <c r="O13" s="2438"/>
      <c r="P13" s="2438"/>
      <c r="Q13" s="2438"/>
      <c r="AD13" s="1745"/>
    </row>
    <row r="14" spans="1:30">
      <c r="A14" s="1081"/>
      <c r="B14" s="2406" t="s">
        <v>2190</v>
      </c>
      <c r="C14" s="2407"/>
      <c r="D14" s="2407"/>
      <c r="E14" s="2407">
        <v>50</v>
      </c>
      <c r="F14" s="2407"/>
      <c r="G14" s="2407"/>
      <c r="H14" s="2407"/>
      <c r="I14" s="2407"/>
      <c r="J14" s="3062"/>
      <c r="K14" s="2612"/>
      <c r="L14" s="2612"/>
      <c r="M14" s="2438"/>
      <c r="N14" s="2449"/>
      <c r="O14" s="2438"/>
      <c r="P14" s="2438"/>
      <c r="Q14" s="2438"/>
      <c r="AD14" s="1745"/>
    </row>
    <row r="15" spans="1:30">
      <c r="A15" s="320"/>
      <c r="B15" s="2408" t="s">
        <v>2191</v>
      </c>
      <c r="C15" s="2409" t="str">
        <f>IF(A13="出让",IF(C13="","",ROUNDDOWN(MIN((C13-$D$3)/365,C14),2)),C14)</f>
        <v/>
      </c>
      <c r="D15" s="2409" t="str">
        <f>IF(A13="出让",IF(D13="","",ROUNDDOWN(MIN((D13-$D$3)/365,D14),2)),D14)</f>
        <v/>
      </c>
      <c r="E15" s="2409">
        <f>IF(A13="出让",IF(E13="","",ROUNDDOWN(MIN((E13-$D$3)/365,E14),2)),E14)</f>
        <v>38.58</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2192</v>
      </c>
      <c r="B16" s="3510"/>
      <c r="C16" s="3511"/>
      <c r="D16" s="3512"/>
      <c r="E16" s="2412" t="s">
        <v>2193</v>
      </c>
      <c r="F16" s="3513"/>
      <c r="G16" s="3514"/>
      <c r="H16" s="3514"/>
      <c r="I16" s="3515"/>
      <c r="J16" s="2438"/>
      <c r="K16" s="2616"/>
      <c r="L16" s="2450"/>
      <c r="M16" s="2450"/>
      <c r="N16" s="2508"/>
      <c r="O16" s="2450"/>
      <c r="P16" s="2508"/>
      <c r="Q16" s="2438"/>
      <c r="R16" s="2438"/>
    </row>
    <row r="17" spans="1:28">
      <c r="A17" s="313" t="s">
        <v>2194</v>
      </c>
      <c r="B17" s="302" t="s">
        <v>2195</v>
      </c>
      <c r="C17" s="8">
        <f>'数据-汇总表'!E3</f>
        <v>17198.240000000002</v>
      </c>
      <c r="D17" s="2322" t="s">
        <v>2196</v>
      </c>
      <c r="E17" s="3516" t="s">
        <v>2197</v>
      </c>
      <c r="F17" s="3517"/>
      <c r="G17" s="3517"/>
      <c r="H17" s="3517"/>
      <c r="I17" s="3518"/>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0</v>
      </c>
      <c r="D18" s="1092" t="s">
        <v>2200</v>
      </c>
      <c r="E18" s="3519" t="s">
        <v>2201</v>
      </c>
      <c r="F18" s="3520"/>
      <c r="G18" s="3520"/>
      <c r="H18" s="3520"/>
      <c r="I18" s="3521"/>
      <c r="J18" s="2438"/>
      <c r="K18" s="2617"/>
      <c r="L18" s="2450"/>
      <c r="M18" s="2450"/>
      <c r="N18" s="2508"/>
      <c r="O18" s="2450"/>
      <c r="P18" s="2508"/>
      <c r="Q18" s="2438"/>
      <c r="R18" s="2438"/>
      <c r="S18" s="2438"/>
      <c r="T18" s="2438"/>
      <c r="U18" s="2438"/>
      <c r="V18" s="2438"/>
    </row>
    <row r="19" spans="1:28" ht="37.5" thickTop="1" thickBot="1">
      <c r="A19" s="327" t="s">
        <v>1055</v>
      </c>
      <c r="B19" s="307" t="s">
        <v>2202</v>
      </c>
      <c r="C19" s="1563"/>
      <c r="D19" s="1564" t="s">
        <v>2203</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2204</v>
      </c>
      <c r="B20" s="3506" t="s">
        <v>2205</v>
      </c>
      <c r="C20" s="3507"/>
      <c r="D20" s="3508" t="s">
        <v>2206</v>
      </c>
      <c r="E20" s="3509"/>
      <c r="F20" s="2646" t="s">
        <v>1056</v>
      </c>
      <c r="G20" s="2663"/>
      <c r="H20" s="2663"/>
      <c r="I20" s="2663"/>
      <c r="J20" s="2438"/>
      <c r="K20" s="3505"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2208</v>
      </c>
      <c r="C21" s="2633" t="s">
        <v>1057</v>
      </c>
      <c r="D21" s="1568" t="s">
        <v>2209</v>
      </c>
      <c r="E21" s="2634" t="s">
        <v>1057</v>
      </c>
      <c r="F21" s="2647"/>
      <c r="G21" s="2663"/>
      <c r="H21" s="2663"/>
      <c r="I21" s="2663"/>
      <c r="J21" s="2438"/>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2210</v>
      </c>
      <c r="C22" s="2633" t="s">
        <v>1058</v>
      </c>
      <c r="D22" s="2662"/>
      <c r="E22" s="2662"/>
      <c r="F22" s="2662"/>
      <c r="G22" s="2663"/>
      <c r="H22" s="2663"/>
      <c r="I22" s="2663"/>
      <c r="J22" s="2438"/>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3"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3"/>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3"/>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4"/>
      <c r="B30" s="302" t="s">
        <v>2217</v>
      </c>
      <c r="C30" s="3525"/>
      <c r="D30" s="3526"/>
      <c r="E30" s="2663"/>
      <c r="F30" s="2663"/>
      <c r="G30" s="2663"/>
      <c r="H30" s="2663"/>
      <c r="I30" s="2663"/>
      <c r="J30" s="2438"/>
      <c r="K30" s="2615"/>
      <c r="L30" s="2612"/>
      <c r="M30" s="2612"/>
      <c r="N30" s="2438"/>
      <c r="O30" s="2449"/>
      <c r="P30" s="2438"/>
      <c r="Q30" s="2438"/>
      <c r="R30" s="2438"/>
      <c r="S30" s="2438"/>
      <c r="T30" s="2438"/>
      <c r="U30" s="2438"/>
      <c r="V30" s="2438"/>
    </row>
    <row r="31" spans="1:28">
      <c r="A31" s="3527" t="s">
        <v>2218</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28"/>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28"/>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6"/>
      <c r="C34" s="2026"/>
      <c r="D34" s="2026"/>
      <c r="E34" s="2026"/>
      <c r="F34" s="2026"/>
      <c r="G34" s="2026"/>
      <c r="H34" s="2026"/>
      <c r="I34" s="2663"/>
      <c r="J34" s="2438"/>
      <c r="K34" s="2426">
        <f>COUNTIF(B34:H34,"——")</f>
        <v>0</v>
      </c>
      <c r="L34" s="323" t="s">
        <v>2220</v>
      </c>
      <c r="M34" s="323" t="s">
        <v>2221</v>
      </c>
      <c r="N34" s="323" t="s">
        <v>2222</v>
      </c>
      <c r="O34" s="323" t="s">
        <v>2223</v>
      </c>
      <c r="P34" s="323" t="s">
        <v>2224</v>
      </c>
      <c r="Q34" s="323" t="s">
        <v>2225</v>
      </c>
      <c r="R34" s="323" t="s">
        <v>2226</v>
      </c>
      <c r="S34" s="3522" t="s">
        <v>2227</v>
      </c>
      <c r="T34" s="2427" t="str">
        <f>NUMBERSTRING(7-K34,1)&amp;"通"</f>
        <v>七通</v>
      </c>
      <c r="U34" s="2438"/>
      <c r="V34" s="2438"/>
    </row>
    <row r="35" spans="1:30" ht="25.5">
      <c r="A35" s="2428"/>
      <c r="B35" s="3529" t="s">
        <v>2228</v>
      </c>
      <c r="C35" s="3529"/>
      <c r="D35" s="3529"/>
      <c r="E35" s="3529"/>
      <c r="F35" s="664" t="str">
        <f>C10</f>
        <v>江苏省南京市</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2581</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2232</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15"/>
  <sheetViews>
    <sheetView workbookViewId="0">
      <selection activeCell="G37" sqref="G37"/>
    </sheetView>
  </sheetViews>
  <sheetFormatPr defaultRowHeight="13.5"/>
  <sheetData>
    <row r="1" spans="1:2">
      <c r="A1" s="3450" t="s">
        <v>3382</v>
      </c>
      <c r="B1" s="3450"/>
    </row>
    <row r="2" spans="1:2">
      <c r="A2" s="3450" t="s">
        <v>3383</v>
      </c>
      <c r="B2" s="3450"/>
    </row>
    <row r="3" spans="1:2">
      <c r="A3" s="3450" t="s">
        <v>3384</v>
      </c>
      <c r="B3" s="3450" t="s">
        <v>3385</v>
      </c>
    </row>
    <row r="4" spans="1:2">
      <c r="A4" s="3450" t="s">
        <v>3386</v>
      </c>
      <c r="B4" s="3450">
        <v>1789.64</v>
      </c>
    </row>
    <row r="5" spans="1:2">
      <c r="A5" s="3450" t="s">
        <v>3387</v>
      </c>
      <c r="B5" s="3450">
        <v>4344.99</v>
      </c>
    </row>
    <row r="6" spans="1:2">
      <c r="A6" s="3450" t="s">
        <v>3388</v>
      </c>
      <c r="B6" s="3450">
        <v>2725.76</v>
      </c>
    </row>
    <row r="7" spans="1:2">
      <c r="A7" s="3450" t="s">
        <v>3389</v>
      </c>
      <c r="B7" s="3450">
        <v>2779.26</v>
      </c>
    </row>
    <row r="8" spans="1:2">
      <c r="A8" s="3450" t="s">
        <v>3390</v>
      </c>
      <c r="B8" s="3450">
        <v>2779.33</v>
      </c>
    </row>
    <row r="9" spans="1:2">
      <c r="A9" s="3450" t="s">
        <v>3391</v>
      </c>
      <c r="B9" s="3450">
        <v>2779.26</v>
      </c>
    </row>
    <row r="10" spans="1:2">
      <c r="A10" s="3450" t="s">
        <v>3392</v>
      </c>
      <c r="B10" s="3450">
        <f>SUM(B4:B9)</f>
        <v>17198.239999999998</v>
      </c>
    </row>
    <row r="11" spans="1:2">
      <c r="A11" s="3450" t="s">
        <v>3393</v>
      </c>
      <c r="B11" s="3450"/>
    </row>
    <row r="12" spans="1:2">
      <c r="A12" s="3450" t="s">
        <v>3394</v>
      </c>
      <c r="B12" s="3450"/>
    </row>
    <row r="13" spans="1:2">
      <c r="A13" s="3450" t="s">
        <v>3395</v>
      </c>
      <c r="B13" s="3450">
        <v>13428.3</v>
      </c>
    </row>
    <row r="14" spans="1:2">
      <c r="A14" s="3450" t="s">
        <v>3396</v>
      </c>
      <c r="B14" s="3450">
        <v>39815.800000000003</v>
      </c>
    </row>
    <row r="15" spans="1:2">
      <c r="A15" s="3450"/>
      <c r="B15" s="3450"/>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17198.240000000002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17198.240000000002</v>
      </c>
      <c r="H5" s="13">
        <f t="shared" ref="H5:AT5" si="0">SUM(H13:H656)</f>
        <v>17198.240000000002</v>
      </c>
      <c r="I5" s="13">
        <f t="shared" si="0"/>
        <v>17198.240000000002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17198.240000000002</v>
      </c>
      <c r="BA5" s="15">
        <f t="shared" si="1"/>
        <v>17198.240000000002</v>
      </c>
      <c r="BB5" s="15">
        <f t="shared" si="1"/>
        <v>17198.240000000002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3399</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酒店</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3397</v>
      </c>
      <c r="E13" s="13">
        <f>IF($C$3="是",ROUND($A$3*G13/$B$3,2),ROUND($A$3*(G13-AT13)/$B$3,2))</f>
        <v>0</v>
      </c>
      <c r="F13" s="29"/>
      <c r="G13" s="30">
        <f>H13+AC13+AT13</f>
        <v>17198.240000000002</v>
      </c>
      <c r="H13" s="17">
        <f>SUMIF(I$12:AB$12,"总值",I13:AB13)</f>
        <v>17198.240000000002</v>
      </c>
      <c r="I13" s="1626">
        <v>17198.240000000002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17198.240000000002</v>
      </c>
      <c r="BA13" s="13">
        <f>SUM(BB13:BK13)</f>
        <v>17198.240000000002</v>
      </c>
      <c r="BB13" s="13">
        <f>IF($D13="是",I13-J13,0)</f>
        <v>17198.240000000002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4" sqref="F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9" t="s">
        <v>1131</v>
      </c>
      <c r="B2" s="3539"/>
      <c r="C2" s="3539"/>
      <c r="D2" s="796" t="s">
        <v>1107</v>
      </c>
      <c r="E2" s="1639" t="s">
        <v>1108</v>
      </c>
      <c r="F2" s="2658"/>
      <c r="G2" s="2649"/>
      <c r="H2" s="2650"/>
      <c r="I2" s="2325" t="s">
        <v>1132</v>
      </c>
      <c r="J2" s="2658"/>
      <c r="K2" s="2658"/>
      <c r="L2" s="2658"/>
      <c r="M2" s="2658"/>
      <c r="N2" s="2660"/>
      <c r="O2" s="2658"/>
      <c r="P2" s="2658"/>
    </row>
    <row r="3" spans="1:16" ht="15.75" thickBot="1">
      <c r="A3" s="3540" t="s">
        <v>1105</v>
      </c>
      <c r="B3" s="3540"/>
      <c r="C3" s="3540"/>
      <c r="D3" s="43">
        <f>'数据-基础表'!AY6</f>
        <v>0</v>
      </c>
      <c r="E3" s="43">
        <f>'数据-基础表'!AZ5</f>
        <v>17198.240000000002</v>
      </c>
      <c r="F3" s="2658"/>
      <c r="G3" s="1145"/>
      <c r="H3" s="1026" t="s">
        <v>1106</v>
      </c>
      <c r="I3" s="855" t="e">
        <f>ROUND('数据-基础表'!B3/'数据-基础表'!A3,2)</f>
        <v>#DIV/0!</v>
      </c>
      <c r="J3" s="2658"/>
      <c r="K3" s="2658"/>
      <c r="L3" s="2658"/>
      <c r="M3" s="2658"/>
      <c r="N3" s="2660"/>
      <c r="O3" s="2658"/>
      <c r="P3" s="2658"/>
    </row>
    <row r="4" spans="1:16" ht="15">
      <c r="A4" s="3541"/>
      <c r="B4" s="3542"/>
      <c r="C4" s="3543"/>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44" t="s">
        <v>1110</v>
      </c>
      <c r="C5" s="3544"/>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44" t="s">
        <v>1111</v>
      </c>
      <c r="C6" s="3544"/>
      <c r="D6" s="45">
        <f>ROUND($D$3*E6/$E$3,2)</f>
        <v>0</v>
      </c>
      <c r="E6" s="46">
        <f>E3-E5</f>
        <v>17198.240000000002</v>
      </c>
      <c r="F6" s="2658"/>
      <c r="G6" s="2652" t="s">
        <v>1112</v>
      </c>
      <c r="H6" s="1146" t="s">
        <v>1113</v>
      </c>
      <c r="I6" s="2653" t="e">
        <f>ROUND(F31/D31,2)</f>
        <v>#DIV/0!</v>
      </c>
      <c r="J6" s="2658"/>
      <c r="K6" s="2658"/>
      <c r="L6" s="2658"/>
      <c r="M6" s="2658"/>
      <c r="N6" s="2658"/>
      <c r="O6" s="2658"/>
      <c r="P6" s="2658"/>
    </row>
    <row r="7" spans="1:16" ht="15.75" thickBot="1">
      <c r="A7" s="3536"/>
      <c r="B7" s="3537"/>
      <c r="C7" s="3538"/>
      <c r="D7" s="1641" t="s">
        <v>1107</v>
      </c>
      <c r="E7" s="1645" t="s">
        <v>1114</v>
      </c>
      <c r="F7" s="2658"/>
      <c r="G7" s="2654" t="s">
        <v>1115</v>
      </c>
      <c r="H7" s="2655"/>
      <c r="I7" s="2656">
        <v>1.5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17198.240000000002</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17198.240000000002</v>
      </c>
      <c r="F16" s="2658"/>
      <c r="G16" s="2659"/>
      <c r="H16" s="1648" t="s">
        <v>1135</v>
      </c>
      <c r="I16" s="1649"/>
      <c r="J16" s="1139"/>
      <c r="K16" s="3533" t="s">
        <v>1135</v>
      </c>
      <c r="L16" s="3534"/>
      <c r="M16" s="3534"/>
      <c r="N16" s="3534"/>
      <c r="O16" s="3534"/>
      <c r="P16" s="3535"/>
    </row>
    <row r="17" spans="1:19" ht="15">
      <c r="A17" s="1650" t="s">
        <v>1136</v>
      </c>
      <c r="B17" s="1651" t="s">
        <v>1137</v>
      </c>
      <c r="C17" s="1652" t="s">
        <v>1138</v>
      </c>
      <c r="D17" s="1653" t="s">
        <v>1126</v>
      </c>
      <c r="E17" s="1654" t="s">
        <v>1127</v>
      </c>
      <c r="F17" s="1655"/>
      <c r="G17" s="1656"/>
      <c r="H17" s="1657" t="s">
        <v>1139</v>
      </c>
      <c r="I17" s="1658" t="s">
        <v>1124</v>
      </c>
      <c r="J17" s="1139"/>
      <c r="K17" s="3530" t="s">
        <v>1140</v>
      </c>
      <c r="L17" s="3531"/>
      <c r="M17" s="3532"/>
      <c r="N17" s="3530" t="s">
        <v>1141</v>
      </c>
      <c r="O17" s="3531"/>
      <c r="P17" s="353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3400</v>
      </c>
      <c r="D19" s="45">
        <f>ROUND($D$3*E19/$E$3,2)</f>
        <v>0</v>
      </c>
      <c r="E19" s="53">
        <f t="shared" ref="E19:E26" si="1">SUM(F19:G19)</f>
        <v>17198.240000000002</v>
      </c>
      <c r="F19" s="2794">
        <v>17198.240000000002</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17198.240000000002</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17198.240000000002</v>
      </c>
      <c r="F27" s="1140">
        <f>IF(SUM(F19:F26)=E8,SUM(F19:F26),"地上面积有误")</f>
        <v>17198.240000000002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17198.240000000002</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17198.240000000002</v>
      </c>
      <c r="F31" s="677">
        <f>F27+F30</f>
        <v>17198.240000000002</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Q6" activePane="bottomRight" state="frozen"/>
      <selection activeCell="C50" sqref="C50"/>
      <selection pane="topRight" activeCell="C50" sqref="C50"/>
      <selection pane="bottomLeft" activeCell="C50" sqref="C50"/>
      <selection pane="bottomRight" activeCell="Y29" sqref="Y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45061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酒店</v>
      </c>
      <c r="B6" s="1713" t="str">
        <f>IF(A6=0,"","经营性")</f>
        <v>经营性</v>
      </c>
      <c r="C6" s="1714" t="s">
        <v>21</v>
      </c>
      <c r="D6" s="858">
        <f>SUMIF(项目基本情况!C$12:I$12,C6,项目基本情况!C$14:I$14)</f>
        <v>50</v>
      </c>
      <c r="E6" s="857">
        <f>IF(B6="","",SUMIF(项目基本情况!C$12:I$12,C6,项目基本情况!C$13:I$13))</f>
        <v>59144</v>
      </c>
      <c r="F6" s="64">
        <f>SUMIF(项目基本情况!C$12:I$12,C6,项目基本情况!C$15:I$15)</f>
        <v>38.58</v>
      </c>
      <c r="G6" s="65">
        <f>IF(ISERROR(ROUND(POWER(1+H6,D6-F6)*(POWER(1+H6,F6)-1)/(POWER(1+H6,D6)-1),3)),0,ROUND(POWER(1+H6,D6-F6)*(POWER(1+H6,F6)-1)/(POWER(1+H6,D6)-1),3))</f>
        <v>0.92900000000000005</v>
      </c>
      <c r="H6" s="732">
        <v>0.05</v>
      </c>
      <c r="I6" s="732">
        <v>5.5E-2</v>
      </c>
      <c r="J6" s="66">
        <v>7.0000000000000007E-2</v>
      </c>
      <c r="K6" s="1030">
        <f>SUMIF('数据-汇总表'!C$19:C$33,A6,'数据-汇总表'!E$19:E$33)</f>
        <v>17198.240000000002</v>
      </c>
      <c r="L6" s="733">
        <v>7500</v>
      </c>
      <c r="M6" s="67">
        <f t="shared" ref="M6:M14" si="0">ROUND(K6*L6/10000,0)</f>
        <v>12899</v>
      </c>
      <c r="N6" s="731">
        <f>ROUND(1-(2023-2012)/60,2)</f>
        <v>0.82</v>
      </c>
      <c r="O6" s="67" t="str">
        <f>IF($N$5="成新度","——",ROUND(M6*N6,0))</f>
        <v>——</v>
      </c>
      <c r="P6" s="68" t="str">
        <f>IF($N$5="成新度","——",M6-O6)</f>
        <v>——</v>
      </c>
      <c r="Q6" s="3456">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c r="W6" s="70"/>
      <c r="X6" s="1040"/>
      <c r="Y6" s="71">
        <f>N6</f>
        <v>0.82</v>
      </c>
      <c r="Z6" s="72"/>
      <c r="AA6" s="66"/>
      <c r="AB6" s="66"/>
      <c r="AC6" s="1040"/>
      <c r="AD6" s="73"/>
      <c r="AE6" s="1041">
        <f ca="1">IF(AN6="",0,SUMIF(INDIRECT("'"&amp;AN6&amp;"'"&amp;"!E:E"),$AE$5,INDIRECT("'"&amp;AN6&amp;"'"&amp;"!F:F")))</f>
        <v>38.58</v>
      </c>
      <c r="AF6" s="1348"/>
      <c r="AG6" s="138">
        <f>IF(AF6="",0,AE6-AF6)</f>
        <v>0</v>
      </c>
      <c r="AH6" s="74"/>
      <c r="AI6" s="76">
        <v>365</v>
      </c>
      <c r="AJ6" s="77"/>
      <c r="AK6" s="78">
        <v>0.01</v>
      </c>
      <c r="AL6" s="79">
        <v>1.5E-3</v>
      </c>
      <c r="AM6" s="80">
        <v>0.01</v>
      </c>
      <c r="AN6" s="1715" t="s">
        <v>3402</v>
      </c>
      <c r="AO6" s="52">
        <f ca="1">SUMIF(INDIRECT("'"&amp;AN6&amp;"'"&amp;"!A:A"),"总价",INDIRECT("'"&amp;AN6&amp;"'"&amp;"!B:B"))</f>
        <v>-2847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0.92900000000000005</v>
      </c>
      <c r="H16" s="90">
        <f>ROUND(SUMPRODUCT(H6:H13,K6:K13)/SUMPRODUCT((H6:H13&gt;0)*(K6:K13)),3)</f>
        <v>0.05</v>
      </c>
      <c r="I16" s="91"/>
      <c r="J16" s="91"/>
      <c r="K16" s="92">
        <f>SUM(K6:K15)</f>
        <v>17198.240000000002</v>
      </c>
      <c r="L16" s="93">
        <f>ROUND(M16*10000/SUM(K6:K14),0)</f>
        <v>7500</v>
      </c>
      <c r="M16" s="93">
        <f>SUM(M6:M14)</f>
        <v>12899</v>
      </c>
      <c r="N16" s="94">
        <f>ROUND(SUMPRODUCT(M6:M14,N6:N14)/M16,3)</f>
        <v>0.82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2302</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150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258</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3403</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296</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v>5</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45" t="s">
        <v>2285</v>
      </c>
      <c r="B1" s="3546"/>
      <c r="C1" s="3546"/>
      <c r="D1" s="3546"/>
      <c r="E1" s="3546"/>
      <c r="F1" s="3546"/>
      <c r="G1" s="354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3"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1"/>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B1" zoomScale="80" zoomScaleNormal="80" zoomScaleSheetLayoutView="80" workbookViewId="0">
      <selection activeCell="F32" sqref="F32"/>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17198.240000000002</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45061</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29666</v>
      </c>
      <c r="C5" s="2511">
        <f ca="1">IF(B5=D14,结果表!H102,ROUND(B5*10000/$B$1,0))</f>
        <v>17249</v>
      </c>
      <c r="D5" s="2511" t="e">
        <f ca="1">ROUND(B5*10000/$B$2,0)</f>
        <v>#DIV/0!</v>
      </c>
      <c r="E5" s="2685"/>
      <c r="F5" s="2686"/>
      <c r="G5" s="2686"/>
      <c r="H5" s="2687"/>
      <c r="I5" s="2687"/>
      <c r="J5" s="2687"/>
      <c r="K5" s="2687"/>
    </row>
    <row r="6" spans="1:11" ht="16.5">
      <c r="A6" s="2511" t="s">
        <v>656</v>
      </c>
      <c r="B6" s="2511">
        <f ca="1">SUM(G14:G23)</f>
        <v>29666</v>
      </c>
      <c r="C6" s="2511">
        <f ca="1">IF(B6=G14,结果表!H108,ROUND(B6*10000/$B$1,0))</f>
        <v>17249</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 ca="1">SUM(I14:I23)</f>
        <v>29510</v>
      </c>
      <c r="C8" s="2511">
        <f ca="1">IF(B8=I14,结果表!H112,ROUND(B8*10000/$B$1,0))</f>
        <v>17159</v>
      </c>
      <c r="D8" s="2511" t="e">
        <f ca="1">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17198.240000000002</v>
      </c>
      <c r="C14" s="2517"/>
      <c r="D14" s="2517">
        <f ca="1">结果表!H118</f>
        <v>29666</v>
      </c>
      <c r="E14" s="2517">
        <f ca="1">ROUND(D14*10000/B14,0)</f>
        <v>17249</v>
      </c>
      <c r="F14" s="2517" t="e">
        <f ca="1">ROUND(D14*10000/C14,0)</f>
        <v>#DIV/0!</v>
      </c>
      <c r="G14" s="2517">
        <f ca="1">D14</f>
        <v>29666</v>
      </c>
      <c r="H14" s="2517"/>
      <c r="I14" s="2517">
        <f ca="1">结果表!D126</f>
        <v>29510</v>
      </c>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52" zoomScale="85" zoomScaleNormal="100" zoomScaleSheetLayoutView="85" zoomScalePageLayoutView="80" workbookViewId="0">
      <selection activeCell="I65" sqref="I6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4" t="str">
        <f>项目基本情况!S2</f>
        <v>江苏省南京市栖霞区元化路8号2幢101室房地产</v>
      </c>
      <c r="B2" s="3615"/>
      <c r="C2" s="3615"/>
      <c r="D2" s="3615"/>
      <c r="E2" s="3615"/>
      <c r="F2" s="3615"/>
      <c r="G2" s="3615"/>
      <c r="H2" s="3615"/>
      <c r="I2" s="3616"/>
    </row>
    <row r="3" spans="1:12" ht="12.75">
      <c r="A3" s="3618" t="s">
        <v>1264</v>
      </c>
      <c r="B3" s="3619"/>
      <c r="C3" s="3619"/>
      <c r="D3" s="3619"/>
      <c r="E3" s="3619"/>
      <c r="F3" s="3619"/>
      <c r="G3" s="3619"/>
      <c r="H3" s="3619"/>
      <c r="I3" s="3619"/>
    </row>
    <row r="4" spans="1:12" ht="14.25">
      <c r="A4" s="1754" t="s">
        <v>1265</v>
      </c>
      <c r="B4" s="1755" t="s">
        <v>1266</v>
      </c>
      <c r="C4" s="1756" t="s">
        <v>3426</v>
      </c>
      <c r="D4" s="1756" t="s">
        <v>3427</v>
      </c>
      <c r="E4" s="3623" t="s">
        <v>1267</v>
      </c>
      <c r="F4" s="3624"/>
      <c r="G4" s="3624"/>
      <c r="H4" s="3624"/>
      <c r="I4" s="362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617">
        <v>25</v>
      </c>
      <c r="C5" s="3620"/>
      <c r="D5" s="3608"/>
      <c r="E5" s="131" t="s">
        <v>1269</v>
      </c>
      <c r="F5" s="1757"/>
      <c r="G5" s="1757"/>
      <c r="H5" s="1757"/>
      <c r="I5" s="1373"/>
    </row>
    <row r="6" spans="1:12" ht="12.75">
      <c r="A6" s="3562"/>
      <c r="B6" s="3617"/>
      <c r="C6" s="3622"/>
      <c r="D6" s="3608"/>
      <c r="E6" s="131" t="s">
        <v>1270</v>
      </c>
      <c r="F6" s="1757"/>
      <c r="G6" s="1757"/>
      <c r="H6" s="1757"/>
      <c r="I6" s="1373"/>
    </row>
    <row r="7" spans="1:12" ht="12.75">
      <c r="A7" s="3562"/>
      <c r="B7" s="3617"/>
      <c r="C7" s="3621"/>
      <c r="D7" s="3608"/>
      <c r="E7" s="131" t="s">
        <v>1271</v>
      </c>
      <c r="F7" s="1757"/>
      <c r="G7" s="1757"/>
      <c r="H7" s="1757"/>
      <c r="I7" s="1373"/>
    </row>
    <row r="8" spans="1:12" ht="12.75">
      <c r="A8" s="3562" t="s">
        <v>1272</v>
      </c>
      <c r="B8" s="3617">
        <v>15</v>
      </c>
      <c r="C8" s="3620"/>
      <c r="D8" s="3608"/>
      <c r="E8" s="131" t="s">
        <v>1273</v>
      </c>
      <c r="F8" s="1757"/>
      <c r="G8" s="1757"/>
      <c r="H8" s="1757"/>
      <c r="I8" s="1373"/>
    </row>
    <row r="9" spans="1:12" ht="12.75">
      <c r="A9" s="3562"/>
      <c r="B9" s="3617"/>
      <c r="C9" s="3621"/>
      <c r="D9" s="3608"/>
      <c r="E9" s="131" t="s">
        <v>1274</v>
      </c>
      <c r="F9" s="1757"/>
      <c r="G9" s="1757"/>
      <c r="H9" s="1757"/>
      <c r="I9" s="1373"/>
    </row>
    <row r="10" spans="1:12" ht="12.75">
      <c r="A10" s="3562" t="s">
        <v>1275</v>
      </c>
      <c r="B10" s="3617">
        <v>15</v>
      </c>
      <c r="C10" s="3620"/>
      <c r="D10" s="3608"/>
      <c r="E10" s="131" t="s">
        <v>1276</v>
      </c>
      <c r="F10" s="1757"/>
      <c r="G10" s="1757"/>
      <c r="H10" s="1757"/>
      <c r="I10" s="1373"/>
    </row>
    <row r="11" spans="1:12" ht="12.75">
      <c r="A11" s="3562"/>
      <c r="B11" s="3617"/>
      <c r="C11" s="3621"/>
      <c r="D11" s="3608"/>
      <c r="E11" s="131" t="s">
        <v>1277</v>
      </c>
      <c r="F11" s="1757"/>
      <c r="G11" s="1757"/>
      <c r="H11" s="1757"/>
      <c r="I11" s="1373"/>
    </row>
    <row r="12" spans="1:12" ht="12.75">
      <c r="A12" s="3562" t="s">
        <v>1278</v>
      </c>
      <c r="B12" s="3617">
        <v>15</v>
      </c>
      <c r="C12" s="3620"/>
      <c r="D12" s="3608"/>
      <c r="E12" s="131" t="s">
        <v>1279</v>
      </c>
      <c r="F12" s="1757"/>
      <c r="G12" s="1757"/>
      <c r="H12" s="1757"/>
      <c r="I12" s="1373"/>
    </row>
    <row r="13" spans="1:12" ht="12.75">
      <c r="A13" s="3562"/>
      <c r="B13" s="3617"/>
      <c r="C13" s="3621"/>
      <c r="D13" s="3608"/>
      <c r="E13" s="131" t="s">
        <v>1280</v>
      </c>
      <c r="F13" s="1757"/>
      <c r="G13" s="1757"/>
      <c r="H13" s="1757"/>
      <c r="I13" s="1373"/>
    </row>
    <row r="14" spans="1:12" ht="12.75">
      <c r="A14" s="3562" t="s">
        <v>1281</v>
      </c>
      <c r="B14" s="3617">
        <v>30</v>
      </c>
      <c r="C14" s="3620">
        <v>3</v>
      </c>
      <c r="D14" s="3608">
        <v>7</v>
      </c>
      <c r="E14" s="131" t="s">
        <v>1282</v>
      </c>
      <c r="F14" s="1757"/>
      <c r="G14" s="1757"/>
      <c r="H14" s="1757"/>
      <c r="I14" s="1373"/>
    </row>
    <row r="15" spans="1:12" ht="12.75">
      <c r="A15" s="3562"/>
      <c r="B15" s="3617"/>
      <c r="C15" s="3622"/>
      <c r="D15" s="3608"/>
      <c r="E15" s="131" t="s">
        <v>1283</v>
      </c>
      <c r="F15" s="1757"/>
      <c r="G15" s="1757"/>
      <c r="H15" s="1757"/>
      <c r="I15" s="1373"/>
    </row>
    <row r="16" spans="1:12" ht="12.75">
      <c r="A16" s="3562"/>
      <c r="B16" s="3617"/>
      <c r="C16" s="3621"/>
      <c r="D16" s="3608"/>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639" t="s">
        <v>2130</v>
      </c>
      <c r="F18" s="3640"/>
      <c r="G18" s="3640"/>
      <c r="H18" s="3640"/>
      <c r="I18" s="3640"/>
      <c r="K18" s="302" t="s">
        <v>1289</v>
      </c>
      <c r="L18" s="302">
        <f>IF(C1="",'数据-汇总表'!E3,SUMIF(项目类型,C1,'数据-汇总表'!E17:E26)+SUMIF(项目类型,C1,'数据-汇总表'!I17:I26))</f>
        <v>17198.240000000002</v>
      </c>
      <c r="M18" s="302">
        <f>IF(C1="",'数据-汇总表'!E3,SUMIF(项目类型,C1,'数据-汇总表'!E17:E26))</f>
        <v>17198.240000000002</v>
      </c>
    </row>
    <row r="19" spans="1:36" ht="15">
      <c r="A19" s="1761" t="s">
        <v>1290</v>
      </c>
      <c r="B19" s="1762" t="s">
        <v>1291</v>
      </c>
      <c r="C19" s="134">
        <f ca="1">SUMIF(INDIRECT("'"&amp;C4&amp;"'"&amp;"!A:A"),结果表!B19,INDIRECT("'"&amp;C4&amp;"'"&amp;"!B:B"))</f>
        <v>18549</v>
      </c>
      <c r="D19" s="135">
        <f ca="1">SUMIF(INDIRECT("'"&amp;D4&amp;"'"&amp;"!A:A"),结果表!B19,INDIRECT("'"&amp;D4&amp;"'"&amp;"!B:B"))</f>
        <v>34430</v>
      </c>
      <c r="E19" s="1761" t="s">
        <v>1292</v>
      </c>
      <c r="F19" s="1762" t="s">
        <v>1291</v>
      </c>
      <c r="G19" s="136">
        <f ca="1">ROUND(C19*$C$18+D19*$D$18,0)</f>
        <v>29666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10785</v>
      </c>
      <c r="D20" s="138">
        <f ca="1">SUMIF(INDIRECT("'"&amp;D4&amp;"'"&amp;"!A:A"),结果表!B20,INDIRECT("'"&amp;D4&amp;"'"&amp;"!B:B"))</f>
        <v>20019</v>
      </c>
      <c r="E20" s="1764"/>
      <c r="F20" s="1026" t="s">
        <v>1295</v>
      </c>
      <c r="G20" s="139">
        <f ca="1">ROUND(C20*$C$18+D20*$D$18,0)</f>
        <v>17249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0.85616475281686344</v>
      </c>
      <c r="E22" s="129"/>
      <c r="F22" s="129"/>
      <c r="G22" s="129"/>
      <c r="H22" s="129"/>
      <c r="I22" s="129"/>
    </row>
    <row r="23" spans="1:36" ht="13.5" thickBot="1">
      <c r="A23" s="1747"/>
      <c r="B23" s="1747"/>
      <c r="C23" s="1747"/>
      <c r="D23" s="1747"/>
      <c r="E23" s="129"/>
      <c r="F23" s="129"/>
      <c r="G23" s="129"/>
      <c r="H23" s="129"/>
      <c r="I23" s="129"/>
    </row>
    <row r="24" spans="1:36" ht="14.25">
      <c r="A24" s="3632" t="s">
        <v>1299</v>
      </c>
      <c r="B24" s="1762" t="s">
        <v>1291</v>
      </c>
      <c r="C24" s="136">
        <f>IF(B30=0,0,D30)</f>
        <v>0</v>
      </c>
      <c r="D24" s="1769"/>
      <c r="E24" s="129"/>
      <c r="F24" s="129"/>
      <c r="G24" s="129"/>
      <c r="H24" s="129"/>
      <c r="I24" s="129"/>
    </row>
    <row r="25" spans="1:36" ht="14.25">
      <c r="A25" s="363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29666</v>
      </c>
      <c r="D32" s="1775" t="s">
        <v>3788</v>
      </c>
      <c r="E32" s="129"/>
      <c r="F32" s="129"/>
      <c r="G32" s="129"/>
      <c r="H32" s="129"/>
      <c r="I32" s="129"/>
    </row>
    <row r="33" spans="1:15" ht="15">
      <c r="A33" s="786" t="s">
        <v>1306</v>
      </c>
      <c r="B33" s="1776"/>
      <c r="C33" s="1777" t="s">
        <v>3789</v>
      </c>
      <c r="D33" s="1778" t="s">
        <v>3426</v>
      </c>
      <c r="E33" s="1779" t="s">
        <v>1307</v>
      </c>
      <c r="F33" s="1780" t="str">
        <f>IF(D32="楼面单价","取值（单价）","取值（总价）")</f>
        <v>取值（总价）</v>
      </c>
      <c r="G33" s="129"/>
      <c r="H33" s="129"/>
      <c r="I33" s="129"/>
    </row>
    <row r="34" spans="1:15" ht="15">
      <c r="A34" s="1781"/>
      <c r="B34" s="1782" t="s">
        <v>1308</v>
      </c>
      <c r="C34" s="148">
        <f ca="1">IF(C33="自定义",F34,C32-C35)</f>
        <v>5340</v>
      </c>
      <c r="D34" s="861">
        <f ca="1">IF(C33="自定义",ROUND(C34/C32,3),IF(C33="收益比率",SUMIF(INDIRECT("'"&amp;D33&amp;"'"&amp;"!b:b"),"土地收益比率",INDIRECT("'"&amp;D33&amp;"'"&amp;"!c:c")),SUMIF(INDIRECT("'"&amp;D33&amp;"'"&amp;"!b:b"),"土地成本比率",INDIRECT("'"&amp;D33&amp;"'"&amp;"!c:c"))))</f>
        <v>0.18000000000000005</v>
      </c>
      <c r="E34" s="1783" t="s">
        <v>1309</v>
      </c>
      <c r="F34" s="1330"/>
      <c r="G34" s="129"/>
      <c r="H34" s="129"/>
      <c r="I34" s="129"/>
    </row>
    <row r="35" spans="1:15" ht="15.75" thickBot="1">
      <c r="A35" s="1784"/>
      <c r="B35" s="1785" t="s">
        <v>1310</v>
      </c>
      <c r="C35" s="1170">
        <f ca="1">IF(C33="自定义",F35,ROUND(C32*D35,0))</f>
        <v>24326</v>
      </c>
      <c r="D35" s="1171">
        <f ca="1">IF(C33="自定义",ROUND(C35/C32,3),IF(C33="收益比率",SUMIF(INDIRECT("'"&amp;D33&amp;"'"&amp;"!b:b"),"建筑物收益比率",INDIRECT("'"&amp;D33&amp;"'"&amp;"!c:c")),SUMIF(INDIRECT("'"&amp;D33&amp;"'"&amp;"!b:b"),"建筑物成本比率",INDIRECT("'"&amp;D33&amp;"'"&amp;"!c:c"))))</f>
        <v>0.82</v>
      </c>
      <c r="E35" s="1786" t="s">
        <v>1311</v>
      </c>
      <c r="F35" s="154"/>
      <c r="G35" s="129"/>
      <c r="H35" s="129"/>
      <c r="I35" s="129"/>
    </row>
    <row r="36" spans="1:15" ht="15.75" thickBot="1">
      <c r="A36" s="3609" t="s">
        <v>1312</v>
      </c>
      <c r="B36" s="1787" t="s">
        <v>1313</v>
      </c>
      <c r="C36" s="145"/>
      <c r="D36" s="1788"/>
      <c r="E36" s="1789"/>
      <c r="F36" s="1790"/>
      <c r="G36" s="129"/>
      <c r="H36" s="129"/>
      <c r="I36" s="129"/>
    </row>
    <row r="37" spans="1:15" ht="15.75" thickBot="1">
      <c r="A37" s="3610"/>
      <c r="B37" s="1674" t="s">
        <v>1314</v>
      </c>
      <c r="C37" s="147"/>
      <c r="D37" s="1139"/>
      <c r="E37" s="1139"/>
      <c r="F37" s="1790"/>
      <c r="G37" s="129"/>
      <c r="H37" s="129"/>
      <c r="I37" s="129"/>
    </row>
    <row r="38" spans="1:15" ht="15.75" thickBot="1">
      <c r="A38" s="361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9" t="s">
        <v>1326</v>
      </c>
      <c r="B45" s="3630"/>
      <c r="C45" s="3631"/>
      <c r="D45" s="155">
        <f ca="1">ROUND(H101*F45,0)</f>
        <v>16613</v>
      </c>
      <c r="E45" s="156" t="s">
        <v>1327</v>
      </c>
      <c r="F45" s="157">
        <v>0.56000000000000005</v>
      </c>
      <c r="G45" s="158" t="s">
        <v>1328</v>
      </c>
      <c r="H45" s="129"/>
      <c r="I45" s="129"/>
      <c r="J45" s="3549" t="s">
        <v>1329</v>
      </c>
      <c r="K45" s="3549"/>
      <c r="L45" s="3549"/>
      <c r="M45" s="3549"/>
      <c r="N45" s="3549"/>
      <c r="O45" s="3549"/>
    </row>
    <row r="46" spans="1:15" ht="14.25" customHeight="1">
      <c r="A46" s="3626" t="s">
        <v>1330</v>
      </c>
      <c r="B46" s="3627"/>
      <c r="C46" s="3627"/>
      <c r="D46" s="3627"/>
      <c r="E46" s="3627"/>
      <c r="F46" s="3627"/>
      <c r="G46" s="3628"/>
      <c r="H46" s="1806"/>
      <c r="I46" s="159"/>
      <c r="J46" s="2522">
        <v>1</v>
      </c>
      <c r="K46" s="3550" t="s">
        <v>1331</v>
      </c>
      <c r="L46" s="3550"/>
      <c r="M46" s="3551"/>
      <c r="N46" s="3551"/>
      <c r="O46" s="3551"/>
    </row>
    <row r="47" spans="1:15" ht="12" customHeight="1">
      <c r="A47" s="160" t="s">
        <v>1332</v>
      </c>
      <c r="B47" s="161"/>
      <c r="C47" s="162"/>
      <c r="D47" s="1087" t="s">
        <v>1333</v>
      </c>
      <c r="E47" s="302" t="s">
        <v>1334</v>
      </c>
      <c r="F47" s="163" t="s">
        <v>1335</v>
      </c>
      <c r="G47" s="2545" t="s">
        <v>1336</v>
      </c>
      <c r="H47" s="2546"/>
      <c r="I47" s="159"/>
      <c r="J47" s="2522">
        <v>2</v>
      </c>
      <c r="K47" s="3550" t="s">
        <v>1337</v>
      </c>
      <c r="L47" s="3550"/>
      <c r="M47" s="3552">
        <f>'数据-取费表'!B2</f>
        <v>45061</v>
      </c>
      <c r="N47" s="3552"/>
      <c r="O47" s="3552"/>
    </row>
    <row r="48" spans="1:15" ht="25.5">
      <c r="A48" s="3612" t="s">
        <v>1338</v>
      </c>
      <c r="B48" s="3613"/>
      <c r="C48" s="3613"/>
      <c r="D48" s="2324">
        <f ca="1">IF(H48="情况1",0,IF(H48="情况2",D52,IF(H48="情况3",D53,IF(H48="情况4",D54))))</f>
        <v>148</v>
      </c>
      <c r="E48" s="2334" t="str">
        <f>IF(H48="情况4","(销售额-原购置价)×税（费）率","销售额×税（费）率")</f>
        <v>(销售额-原购置价)×税（费）率</v>
      </c>
      <c r="F48" s="2547">
        <f>IF(H48="情况1","免征",'数据-取费表'!B41)</f>
        <v>5.6000000000000001E-2</v>
      </c>
      <c r="G48" s="2548" t="s">
        <v>1339</v>
      </c>
      <c r="H48" s="2549" t="s">
        <v>3790</v>
      </c>
      <c r="I48" s="1806"/>
      <c r="J48" s="2522">
        <v>3</v>
      </c>
      <c r="K48" s="3550" t="s">
        <v>1340</v>
      </c>
      <c r="L48" s="3550"/>
      <c r="M48" s="3553">
        <f ca="1">H101</f>
        <v>29666</v>
      </c>
      <c r="N48" s="3553"/>
      <c r="O48" s="3553"/>
    </row>
    <row r="49" spans="1:35" ht="25.5" customHeight="1">
      <c r="A49" s="2333" t="s">
        <v>1341</v>
      </c>
      <c r="B49" s="3598" t="s">
        <v>1342</v>
      </c>
      <c r="C49" s="3598"/>
      <c r="D49" s="1590">
        <v>0</v>
      </c>
      <c r="E49" s="324" t="s">
        <v>1343</v>
      </c>
      <c r="F49" s="2423" t="s">
        <v>28</v>
      </c>
      <c r="G49" s="3581"/>
      <c r="H49" s="2310" t="s">
        <v>2133</v>
      </c>
      <c r="I49" s="2311"/>
      <c r="J49" s="2522">
        <v>4</v>
      </c>
      <c r="K49" s="3550" t="str">
        <f>IF(项目基本情况!E8="房地产抵押价值","房地产抵押价值","抵押担保权已注销时的房地产抵押价值")</f>
        <v>房地产抵押价值</v>
      </c>
      <c r="L49" s="3550"/>
      <c r="M49" s="3553">
        <f ca="1">IF(项目基本情况!E8="房地产抵押价值",H107,H109)</f>
        <v>29666</v>
      </c>
      <c r="N49" s="3553"/>
      <c r="O49" s="3553"/>
    </row>
    <row r="50" spans="1:35" ht="25.5" customHeight="1">
      <c r="A50" s="2550"/>
      <c r="B50" s="3598" t="s">
        <v>1344</v>
      </c>
      <c r="C50" s="3598"/>
      <c r="D50" s="2551"/>
      <c r="E50" s="332"/>
      <c r="F50" s="2423"/>
      <c r="G50" s="3582"/>
      <c r="H50" s="2312" t="s">
        <v>2134</v>
      </c>
      <c r="I50" s="2311"/>
      <c r="J50" s="3549" t="s">
        <v>1345</v>
      </c>
      <c r="K50" s="3549"/>
      <c r="L50" s="3549"/>
      <c r="M50" s="3549"/>
      <c r="N50" s="3549"/>
      <c r="O50" s="3549"/>
    </row>
    <row r="51" spans="1:35" ht="20.45" customHeight="1">
      <c r="A51" s="2552"/>
      <c r="B51" s="3598" t="s">
        <v>1346</v>
      </c>
      <c r="C51" s="3598"/>
      <c r="D51" s="1087"/>
      <c r="E51" s="327"/>
      <c r="F51" s="2423"/>
      <c r="G51" s="3583"/>
      <c r="H51" s="2312" t="s">
        <v>2135</v>
      </c>
      <c r="I51" s="2311"/>
      <c r="J51" s="2523" t="s">
        <v>1347</v>
      </c>
      <c r="K51" s="3550" t="s">
        <v>1348</v>
      </c>
      <c r="L51" s="3550"/>
      <c r="M51" s="2523" t="s">
        <v>1349</v>
      </c>
      <c r="N51" s="2523" t="s">
        <v>1350</v>
      </c>
      <c r="O51" s="2523" t="s">
        <v>1351</v>
      </c>
    </row>
    <row r="52" spans="1:35" ht="24" customHeight="1">
      <c r="A52" s="2335" t="s">
        <v>1352</v>
      </c>
      <c r="B52" s="3598" t="s">
        <v>1353</v>
      </c>
      <c r="C52" s="3598"/>
      <c r="D52" s="1087">
        <f ca="1">ROUND(D45*'数据-取费表'!B41/(1+'数据-取费表'!C42),0)</f>
        <v>886</v>
      </c>
      <c r="E52" s="2334" t="s">
        <v>1354</v>
      </c>
      <c r="F52" s="2553">
        <f>'数据-取费表'!B41</f>
        <v>5.6000000000000001E-2</v>
      </c>
      <c r="G52" s="2554"/>
      <c r="H52" s="2543"/>
      <c r="I52" s="1807"/>
      <c r="J52" s="2522">
        <v>1</v>
      </c>
      <c r="K52" s="3575" t="s">
        <v>1355</v>
      </c>
      <c r="L52" s="3575"/>
      <c r="M52" s="2524">
        <f ca="1">D48</f>
        <v>148</v>
      </c>
      <c r="N52" s="2522" t="str">
        <f>E48</f>
        <v>(销售额-原购置价)×税（费）率</v>
      </c>
      <c r="O52" s="2525">
        <f>F48</f>
        <v>5.6000000000000001E-2</v>
      </c>
    </row>
    <row r="53" spans="1:35" ht="12" customHeight="1">
      <c r="A53" s="2335" t="s">
        <v>1356</v>
      </c>
      <c r="B53" s="3599" t="s">
        <v>2290</v>
      </c>
      <c r="C53" s="3600"/>
      <c r="D53" s="1087">
        <f ca="1">ROUND(D45*'数据-取费表'!B41/(1+'数据-取费表'!C42),0)</f>
        <v>886</v>
      </c>
      <c r="E53" s="2334" t="s">
        <v>1354</v>
      </c>
      <c r="F53" s="2553">
        <f>'数据-取费表'!B41</f>
        <v>5.6000000000000001E-2</v>
      </c>
      <c r="G53" s="2554"/>
      <c r="H53" s="2543"/>
      <c r="I53" s="1807"/>
      <c r="J53" s="2522">
        <v>2</v>
      </c>
      <c r="K53" s="3575" t="s">
        <v>1357</v>
      </c>
      <c r="L53" s="3575"/>
      <c r="M53" s="2524">
        <f t="shared" ref="M53:O54" ca="1" si="0">D55</f>
        <v>8</v>
      </c>
      <c r="N53" s="2522" t="str">
        <f t="shared" si="0"/>
        <v>销售额×税（费）率</v>
      </c>
      <c r="O53" s="2525">
        <f t="shared" si="0"/>
        <v>5.0000000000000001E-4</v>
      </c>
    </row>
    <row r="54" spans="1:35" ht="12" customHeight="1">
      <c r="A54" s="2335" t="s">
        <v>1358</v>
      </c>
      <c r="B54" s="3599" t="s">
        <v>2291</v>
      </c>
      <c r="C54" s="3600"/>
      <c r="D54" s="1087">
        <f ca="1">C68</f>
        <v>148</v>
      </c>
      <c r="E54" s="327" t="s">
        <v>1359</v>
      </c>
      <c r="F54" s="2553">
        <f>'数据-取费表'!B41</f>
        <v>5.6000000000000001E-2</v>
      </c>
      <c r="G54" s="2554"/>
      <c r="H54" s="2555"/>
      <c r="I54" s="1807"/>
      <c r="J54" s="2522">
        <v>3</v>
      </c>
      <c r="K54" s="3575" t="s">
        <v>1360</v>
      </c>
      <c r="L54" s="3575"/>
      <c r="M54" s="2524">
        <f t="shared" ca="1" si="0"/>
        <v>0</v>
      </c>
      <c r="N54" s="2522" t="str">
        <f t="shared" si="0"/>
        <v>增值额×税（费）率</v>
      </c>
      <c r="O54" s="2526" t="str">
        <f t="shared" si="0"/>
        <v>——</v>
      </c>
    </row>
    <row r="55" spans="1:35" ht="24" customHeight="1">
      <c r="A55" s="3635" t="s">
        <v>1361</v>
      </c>
      <c r="B55" s="3613"/>
      <c r="C55" s="3613"/>
      <c r="D55" s="2324">
        <f ca="1">IF(H55="个人住宅",0,ROUND(D45*I55,0))</f>
        <v>8</v>
      </c>
      <c r="E55" s="2334" t="s">
        <v>1362</v>
      </c>
      <c r="F55" s="2553">
        <f>IF(H55="正常",I55,"免征")</f>
        <v>5.0000000000000001E-4</v>
      </c>
      <c r="G55" s="2554"/>
      <c r="H55" s="2549" t="s">
        <v>3787</v>
      </c>
      <c r="I55" s="165">
        <f>'数据-取费表'!B49</f>
        <v>5.0000000000000001E-4</v>
      </c>
      <c r="J55" s="2522" t="str">
        <f>IF(H59="非个人房产","",4)</f>
        <v/>
      </c>
      <c r="K55" s="3575" t="str">
        <f>IF(H59="非个人房产","——","个人所得税")</f>
        <v>——</v>
      </c>
      <c r="L55" s="3575"/>
      <c r="M55" s="2527" t="str">
        <f>D59</f>
        <v>——</v>
      </c>
      <c r="N55" s="2040" t="str">
        <f>E59</f>
        <v>——</v>
      </c>
      <c r="O55" s="2528" t="str">
        <f>F59</f>
        <v>——</v>
      </c>
    </row>
    <row r="56" spans="1:35" ht="24.75">
      <c r="A56" s="3635" t="s">
        <v>1363</v>
      </c>
      <c r="B56" s="3613"/>
      <c r="C56" s="3613"/>
      <c r="D56" s="2324">
        <f ca="1">IF(H56="个人住宅",D57,D58)</f>
        <v>0</v>
      </c>
      <c r="E56" s="2334" t="s">
        <v>1364</v>
      </c>
      <c r="F56" s="2553" t="str">
        <f>IF(H56="正常",F58,"免征")</f>
        <v>——</v>
      </c>
      <c r="G56" s="2556" t="s">
        <v>1365</v>
      </c>
      <c r="H56" s="2557" t="s">
        <v>3787</v>
      </c>
      <c r="I56" s="1808"/>
      <c r="J56" s="2522" t="str">
        <f>IF(项目基本情况!K6="上海银行",IF(J55="",4,J55+1),"")</f>
        <v/>
      </c>
      <c r="K56" s="3556" t="str">
        <f>IF(项目基本情况!K6="上海银行","其他处置费用","")</f>
        <v/>
      </c>
      <c r="L56" s="3557"/>
      <c r="M56" s="2524" t="str">
        <f>IF(项目基本情况!K6="上海银行",M69,"")</f>
        <v/>
      </c>
      <c r="N56" s="3556" t="str">
        <f>IF(项目基本情况!K6="上海银行","包含处置中涉及的律师、诉讼、拍卖、评估等费用","")</f>
        <v/>
      </c>
      <c r="O56" s="3559"/>
    </row>
    <row r="57" spans="1:35" ht="12.75">
      <c r="A57" s="2335" t="s">
        <v>1341</v>
      </c>
      <c r="B57" s="3599" t="s">
        <v>1366</v>
      </c>
      <c r="C57" s="3600"/>
      <c r="D57" s="1590">
        <v>0</v>
      </c>
      <c r="E57" s="324" t="s">
        <v>1343</v>
      </c>
      <c r="F57" s="302"/>
      <c r="G57" s="2554"/>
      <c r="H57" s="2558"/>
      <c r="I57" s="1808"/>
      <c r="J57" s="3575">
        <f>IF(AND(J55="",J56=""),4,IF(项目基本情况!K6="上海银行",结果表!J56+1,结果表!J55+1))</f>
        <v>4</v>
      </c>
      <c r="K57" s="3575" t="s">
        <v>1367</v>
      </c>
      <c r="L57" s="2529" t="s">
        <v>1368</v>
      </c>
      <c r="M57" s="2530"/>
      <c r="N57" s="2531">
        <f ca="1">SUMIF(M52:M56,"&lt;9e307")</f>
        <v>156</v>
      </c>
      <c r="O57" s="2532"/>
      <c r="P57" s="2689">
        <f ca="1">N57/M49</f>
        <v>5.2585451358457495E-3</v>
      </c>
    </row>
    <row r="58" spans="1:35" ht="24.75">
      <c r="A58" s="2335" t="s">
        <v>1352</v>
      </c>
      <c r="B58" s="3599" t="s">
        <v>1369</v>
      </c>
      <c r="C58" s="3598"/>
      <c r="D58" s="2324">
        <f ca="1">IF(H58="转让取得",C81,C97)</f>
        <v>0</v>
      </c>
      <c r="E58" s="2334" t="s">
        <v>1364</v>
      </c>
      <c r="F58" s="302" t="s">
        <v>28</v>
      </c>
      <c r="G58" s="2554"/>
      <c r="H58" s="2557" t="s">
        <v>3791</v>
      </c>
      <c r="I58" s="1808"/>
      <c r="J58" s="3575"/>
      <c r="K58" s="3575"/>
      <c r="L58" s="2529" t="s">
        <v>1370</v>
      </c>
      <c r="M58" s="2533"/>
      <c r="N58" s="2534" t="str">
        <f ca="1">NUMBERSTRING(INT(N57*10000),2)&amp;"元整"</f>
        <v>壹佰伍拾陆万元整</v>
      </c>
      <c r="O58" s="2535"/>
    </row>
    <row r="59" spans="1:35" ht="24.75" thickBot="1">
      <c r="A59" s="3579" t="s">
        <v>1371</v>
      </c>
      <c r="B59" s="3580"/>
      <c r="C59" s="3580"/>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4" t="s">
        <v>3792</v>
      </c>
      <c r="I59" s="2313" t="s">
        <v>2136</v>
      </c>
      <c r="J59" s="3577">
        <f>J57+1</f>
        <v>5</v>
      </c>
      <c r="K59" s="3575" t="s">
        <v>1372</v>
      </c>
      <c r="L59" s="2522" t="s">
        <v>1368</v>
      </c>
      <c r="M59" s="2536"/>
      <c r="N59" s="2537">
        <f ca="1">M49-N57</f>
        <v>29510</v>
      </c>
      <c r="O59" s="2538"/>
    </row>
    <row r="60" spans="1:35" ht="12" customHeight="1">
      <c r="A60" s="1809"/>
      <c r="B60" s="1747"/>
      <c r="C60" s="1747"/>
      <c r="D60" s="1747"/>
      <c r="E60" s="1578"/>
      <c r="F60" s="1808"/>
      <c r="G60" s="1808"/>
      <c r="H60" s="1810"/>
      <c r="I60" s="129"/>
      <c r="J60" s="3578"/>
      <c r="K60" s="3575"/>
      <c r="L60" s="2529" t="s">
        <v>1370</v>
      </c>
      <c r="M60" s="2533"/>
      <c r="N60" s="2534" t="str">
        <f ca="1">NUMBERSTRING(INT(N59*10000),2)&amp;"元整"</f>
        <v>贰亿玖仟伍佰壹拾万元整</v>
      </c>
      <c r="O60" s="2535"/>
    </row>
    <row r="61" spans="1:35" ht="13.5" thickBot="1">
      <c r="A61" s="3634" t="s">
        <v>1373</v>
      </c>
      <c r="B61" s="3634"/>
      <c r="C61" s="3634"/>
      <c r="D61" s="3634"/>
      <c r="E61" s="3634"/>
      <c r="F61" s="1808"/>
      <c r="G61" s="1808"/>
      <c r="H61" s="1810"/>
      <c r="I61" s="129"/>
      <c r="J61" s="2522">
        <f>J59+1</f>
        <v>6</v>
      </c>
      <c r="K61" s="3575" t="s">
        <v>1374</v>
      </c>
      <c r="L61" s="3575"/>
      <c r="M61" s="2539"/>
      <c r="N61" s="2540">
        <f ca="1">ROUND(N59*10000/'数据-汇总表'!E3,0)</f>
        <v>17159</v>
      </c>
      <c r="O61" s="2541"/>
    </row>
    <row r="62" spans="1:35" ht="12.75">
      <c r="A62" s="3594" t="s">
        <v>1375</v>
      </c>
      <c r="B62" s="3595"/>
      <c r="C62" s="2021"/>
      <c r="D62" s="2021" t="s">
        <v>1376</v>
      </c>
      <c r="E62" s="166" t="s">
        <v>1377</v>
      </c>
      <c r="F62" s="1808"/>
      <c r="G62" s="1808"/>
      <c r="H62" s="1810"/>
      <c r="I62" s="129"/>
    </row>
    <row r="63" spans="1:35" ht="12.75">
      <c r="A63" s="173" t="s">
        <v>330</v>
      </c>
      <c r="B63" s="167" t="s">
        <v>1378</v>
      </c>
      <c r="C63" s="2563">
        <f ca="1">ROUND((C64+C65)/(1+'数据-取费表'!C42),0)</f>
        <v>15822</v>
      </c>
      <c r="D63" s="167"/>
      <c r="E63" s="168"/>
      <c r="F63" s="1808"/>
      <c r="G63" s="1808"/>
      <c r="H63" s="1810"/>
      <c r="I63" s="129"/>
      <c r="J63" s="3558" t="s">
        <v>1379</v>
      </c>
      <c r="K63" s="1332" t="s">
        <v>1380</v>
      </c>
      <c r="L63" s="1332">
        <f ca="1">IF(M49&gt;10000,M49*0.5%,IF(AND(M49&gt;1000,M49&lt;=10000),M49*1%,IF(AND(M49&gt;100,M49&lt;=1000),M49*3%,IF(AND(M49&gt;10,M49&lt;=100),M49*5%,M49*8%))))</f>
        <v>148.33000000000001</v>
      </c>
      <c r="M63" s="302">
        <f ca="1">ROUND(L63,1)</f>
        <v>148.30000000000001</v>
      </c>
      <c r="N63" s="2542"/>
      <c r="Z63" s="1752"/>
      <c r="AI63" s="1753"/>
    </row>
    <row r="64" spans="1:35" ht="14.25" customHeight="1">
      <c r="A64" s="169" t="s">
        <v>325</v>
      </c>
      <c r="B64" s="170" t="s">
        <v>1381</v>
      </c>
      <c r="C64" s="2564">
        <f ca="1">D45</f>
        <v>16613</v>
      </c>
      <c r="D64" s="170" t="s">
        <v>26</v>
      </c>
      <c r="E64" s="172"/>
      <c r="F64" s="1808"/>
      <c r="G64" s="1808"/>
      <c r="H64" s="1810"/>
      <c r="I64" s="129"/>
      <c r="J64" s="3558"/>
      <c r="K64" s="1332" t="s">
        <v>1382</v>
      </c>
      <c r="L64" s="1332">
        <f ca="1">IF(M49&gt;2000,M49*0.5%,IF(AND(M49&gt;1000,M49&lt;=2000),M49*0.6%,IF(AND(M49&gt;500,M49&lt;=1000),M49*0.7%,IF(AND(M49&gt;200,M49&lt;=500),M49*0.8%,IF(AND(M49&gt;100,M49&lt;=200),M49*0.9%,IF(AND(M49&gt;50,M49&lt;=100),M49*1%,IF(AND(M49&gt;20,M49&lt;=50),M49*1.5%,IF(AND(M49&gt;10,M49&lt;=20),M49*2%,IF(AND(M49&gt;1,M49&lt;=10),M49*2.5%)))))))))</f>
        <v>148.33000000000001</v>
      </c>
      <c r="M64" s="302">
        <f t="shared" ref="M64:M65" ca="1" si="1">ROUND(L64,1)</f>
        <v>148.30000000000001</v>
      </c>
      <c r="N64" s="2543" t="s">
        <v>1383</v>
      </c>
      <c r="Z64" s="1752"/>
      <c r="AI64" s="1753"/>
    </row>
    <row r="65" spans="1:35" ht="14.25" customHeight="1">
      <c r="A65" s="169" t="s">
        <v>326</v>
      </c>
      <c r="B65" s="170" t="s">
        <v>1384</v>
      </c>
      <c r="C65" s="2565"/>
      <c r="D65" s="170"/>
      <c r="E65" s="172"/>
      <c r="F65" s="1808"/>
      <c r="G65" s="1808"/>
      <c r="H65" s="1810"/>
      <c r="I65" s="129"/>
      <c r="J65" s="3558"/>
      <c r="K65" s="1332" t="s">
        <v>1385</v>
      </c>
      <c r="L65" s="1332">
        <f ca="1">IF(M49&gt;1000,M49*0.1%,IF(AND(M49&gt;500,M49&lt;=1000),M49*0.5%,IF(AND(M49&gt;50,M49&lt;=500),M49*1%,IF(AND(M49&gt;1,M49&lt;=50),M49*1.5%))))</f>
        <v>29.666</v>
      </c>
      <c r="M65" s="302">
        <f t="shared" ca="1" si="1"/>
        <v>29.7</v>
      </c>
      <c r="N65" s="2543" t="s">
        <v>1383</v>
      </c>
      <c r="Z65" s="1752"/>
      <c r="AI65" s="1753"/>
    </row>
    <row r="66" spans="1:35" ht="14.25" customHeight="1">
      <c r="A66" s="173" t="s">
        <v>327</v>
      </c>
      <c r="B66" s="174" t="s">
        <v>1386</v>
      </c>
      <c r="C66" s="2566">
        <f>C75/1.05</f>
        <v>13180.994666666667</v>
      </c>
      <c r="D66" s="174" t="s">
        <v>26</v>
      </c>
      <c r="E66" s="1338" t="s">
        <v>671</v>
      </c>
      <c r="F66" s="1808"/>
      <c r="G66" s="1808"/>
      <c r="H66" s="1810"/>
      <c r="I66" s="129"/>
      <c r="J66" s="3558"/>
      <c r="K66" s="1332" t="s">
        <v>1387</v>
      </c>
      <c r="L66" s="1332">
        <f ca="1">M49*0.5%</f>
        <v>148.33000000000001</v>
      </c>
      <c r="M66" s="302">
        <f ca="1">IF(L66&gt;0.5,0.5,ROUND(L66,0))</f>
        <v>0.5</v>
      </c>
      <c r="N66" s="2543" t="s">
        <v>1388</v>
      </c>
      <c r="Z66" s="1752"/>
      <c r="AI66" s="1753"/>
    </row>
    <row r="67" spans="1:35" ht="14.25" customHeight="1">
      <c r="A67" s="173" t="s">
        <v>328</v>
      </c>
      <c r="B67" s="174" t="s">
        <v>1389</v>
      </c>
      <c r="C67" s="2567">
        <f ca="1">C63-C66</f>
        <v>2641.0053333333326</v>
      </c>
      <c r="D67" s="170" t="s">
        <v>26</v>
      </c>
      <c r="E67" s="172"/>
      <c r="F67" s="1808"/>
      <c r="G67" s="1808"/>
      <c r="H67" s="1810"/>
      <c r="I67" s="129"/>
      <c r="J67" s="3558"/>
      <c r="K67" s="1332" t="s">
        <v>1390</v>
      </c>
      <c r="L67" s="1332">
        <f ca="1">IF(M49&gt;=10000,(8.25+(M49-10000)*0.01%),IF(AND(M49&gt;=8000,M49&lt;10000),(7.85+(M49-8000)*0.02%),IF(AND(M49&gt;=5000,M49&lt;8000),(6.65+(M49-5000)*0.04%),IF(AND(M49&gt;=2000,M49&lt;5000),(4.25+(PM49-2000)*0.08%),IF(AND(M49&gt;=1000,M49&lt;2000),(2.75+(M49-1000)*0.15%),IF(AND(M49&gt;=100,M49&lt;1000),(0.5+(M49-100)*0.25%),IF(AND(M49&gt;0,M49&lt;100),M49*0.5%)))))))</f>
        <v>10.2166</v>
      </c>
      <c r="M67" s="302">
        <f ca="1">ROUND(L67*0.9,1)</f>
        <v>9.1999999999999993</v>
      </c>
      <c r="N67" s="2542"/>
      <c r="Z67" s="1752"/>
      <c r="AI67" s="1753"/>
    </row>
    <row r="68" spans="1:35" ht="14.25" customHeight="1" thickBot="1">
      <c r="A68" s="176" t="s">
        <v>329</v>
      </c>
      <c r="B68" s="177" t="s">
        <v>1391</v>
      </c>
      <c r="C68" s="2568">
        <f ca="1">IF(C67&lt;=0,0,ROUND(C67*D68,0))</f>
        <v>148</v>
      </c>
      <c r="D68" s="2569">
        <f>'数据-取费表'!B41</f>
        <v>5.6000000000000001E-2</v>
      </c>
      <c r="E68" s="178"/>
      <c r="F68" s="1808"/>
      <c r="G68" s="1808"/>
      <c r="H68" s="1810"/>
      <c r="I68" s="129"/>
      <c r="J68" s="3558"/>
      <c r="K68" s="1332" t="s">
        <v>1392</v>
      </c>
      <c r="L68" s="1332">
        <f ca="1">IF(M49&gt;10000,M49*0.5%,IF(AND(M49&gt;5000,M49&lt;=10000),M49*1%,IF(AND(M49&gt;1000,M49&lt;=5000),M49*2%,IF(AND(M49&gt;200,M49&lt;=1000),M49*3%,M49*5%))))</f>
        <v>148.33000000000001</v>
      </c>
      <c r="M68" s="302">
        <f ca="1">ROUND(L68,1)</f>
        <v>148.30000000000001</v>
      </c>
      <c r="N68" s="2542"/>
      <c r="Z68" s="1752"/>
      <c r="AI68" s="1753"/>
    </row>
    <row r="69" spans="1:35" s="1772" customFormat="1" ht="16.5" customHeight="1">
      <c r="A69" s="1811"/>
      <c r="B69" s="1812"/>
      <c r="C69" s="1813"/>
      <c r="D69" s="1814"/>
      <c r="E69" s="1815"/>
      <c r="F69" s="1578"/>
      <c r="G69" s="1578"/>
      <c r="H69" s="1577"/>
      <c r="I69" s="1747"/>
      <c r="J69" s="3558"/>
      <c r="K69" s="1332" t="s">
        <v>1393</v>
      </c>
      <c r="L69" s="1332"/>
      <c r="M69" s="302">
        <f ca="1">ROUND(SUM(M63:M68),0)</f>
        <v>484</v>
      </c>
      <c r="N69" s="2544">
        <f ca="1">M69/M49</f>
        <v>1.6314973370188095E-2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2" t="s">
        <v>1394</v>
      </c>
      <c r="B70" s="3603"/>
      <c r="C70" s="3603"/>
      <c r="D70" s="3603"/>
      <c r="E70" s="3603"/>
      <c r="F70" s="3603"/>
      <c r="G70" s="3603"/>
      <c r="H70" s="3603"/>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4" t="s">
        <v>1375</v>
      </c>
      <c r="B71" s="3595"/>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15822</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17138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17043</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v>13840.044400000001</v>
      </c>
      <c r="D75" s="170" t="s">
        <v>26</v>
      </c>
      <c r="E75" s="184" t="s">
        <v>1399</v>
      </c>
      <c r="F75" s="2571" t="s">
        <v>3793</v>
      </c>
      <c r="G75" s="184" t="s">
        <v>1400</v>
      </c>
      <c r="H75" s="2572">
        <v>5</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3460</v>
      </c>
      <c r="D76" s="2573">
        <v>0.05</v>
      </c>
      <c r="E76" s="3599" t="s">
        <v>1402</v>
      </c>
      <c r="F76" s="3598"/>
      <c r="G76" s="3598"/>
      <c r="H76" s="36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402</v>
      </c>
      <c r="D77" s="2574">
        <f>'数据-取费表'!B48+'数据-取费表'!B49</f>
        <v>3.0499999999999999E-2</v>
      </c>
      <c r="E77" s="2324" t="s">
        <v>1404</v>
      </c>
      <c r="F77" s="186"/>
      <c r="G77" s="1822" t="s">
        <v>3794</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95</v>
      </c>
      <c r="D78" s="2576">
        <f>'数据-取费表'!B43</f>
        <v>6.000000000000001E-3</v>
      </c>
      <c r="E78" s="3591" t="s">
        <v>1406</v>
      </c>
      <c r="F78" s="3592"/>
      <c r="G78" s="3592"/>
      <c r="H78" s="359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-1316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2" t="s">
        <v>1410</v>
      </c>
      <c r="B83" s="3603"/>
      <c r="C83" s="3603"/>
      <c r="D83" s="3603"/>
      <c r="E83" s="3603"/>
      <c r="F83" s="3603"/>
      <c r="G83" s="3603"/>
      <c r="H83" s="36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4" t="s">
        <v>1375</v>
      </c>
      <c r="B84" s="359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15822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95</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560" t="s">
        <v>2128</v>
      </c>
      <c r="H90" s="3561"/>
      <c r="I90" s="1821"/>
      <c r="J90" s="2520"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91" t="s">
        <v>1419</v>
      </c>
      <c r="F91" s="3592"/>
      <c r="G91" s="359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91" t="s">
        <v>1422</v>
      </c>
      <c r="F92" s="3592"/>
      <c r="G92" s="3592"/>
      <c r="H92" s="3593"/>
      <c r="I92" s="1821"/>
      <c r="J92" s="2521"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95</v>
      </c>
      <c r="D93" s="2576">
        <f>'数据-取费表'!B43</f>
        <v>6.000000000000001E-3</v>
      </c>
      <c r="E93" s="3591" t="s">
        <v>1406</v>
      </c>
      <c r="F93" s="3592"/>
      <c r="G93" s="3592"/>
      <c r="H93" s="359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36" t="s">
        <v>1426</v>
      </c>
      <c r="F94" s="3637"/>
      <c r="G94" s="3637"/>
      <c r="H94" s="363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15727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165.54736842105262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9403</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1" t="s">
        <v>1428</v>
      </c>
      <c r="B100" s="3542"/>
      <c r="C100" s="3542"/>
      <c r="D100" s="3576"/>
      <c r="E100" s="3542" t="s">
        <v>1429</v>
      </c>
      <c r="F100" s="3542"/>
      <c r="G100" s="3542"/>
      <c r="H100" s="3576"/>
      <c r="I100" s="129"/>
    </row>
    <row r="101" spans="1:35" ht="18.75" customHeight="1">
      <c r="A101" s="3584" t="s">
        <v>1430</v>
      </c>
      <c r="B101" s="3585"/>
      <c r="C101" s="2584" t="str">
        <f>C4</f>
        <v>成本法</v>
      </c>
      <c r="D101" s="2585" t="str">
        <f>D4</f>
        <v>收益法-酒店模型</v>
      </c>
      <c r="E101" s="3554" t="s">
        <v>1431</v>
      </c>
      <c r="F101" s="3555"/>
      <c r="G101" s="1827" t="s">
        <v>1432</v>
      </c>
      <c r="H101" s="2594">
        <f ca="1">H118</f>
        <v>29666</v>
      </c>
      <c r="I101" s="129"/>
    </row>
    <row r="102" spans="1:35" ht="18.75" customHeight="1">
      <c r="A102" s="3586" t="s">
        <v>1433</v>
      </c>
      <c r="B102" s="2583" t="s">
        <v>1432</v>
      </c>
      <c r="C102" s="2584">
        <f ca="1">IF(D32="楼面单价",ROUND(C19,0),C19)</f>
        <v>18549</v>
      </c>
      <c r="D102" s="2585">
        <f ca="1">IF(D32="楼面单价",ROUND(D19,0),D19)</f>
        <v>34430</v>
      </c>
      <c r="E102" s="3554"/>
      <c r="F102" s="3555"/>
      <c r="G102" s="1827" t="s">
        <v>1434</v>
      </c>
      <c r="H102" s="2554">
        <f ca="1">I118</f>
        <v>17249</v>
      </c>
      <c r="I102" s="129"/>
    </row>
    <row r="103" spans="1:35" ht="42.75" customHeight="1">
      <c r="A103" s="3586"/>
      <c r="B103" s="2583" t="s">
        <v>1434</v>
      </c>
      <c r="C103" s="2586">
        <f ca="1">C20</f>
        <v>10785</v>
      </c>
      <c r="D103" s="2587">
        <f ca="1">D20</f>
        <v>20019</v>
      </c>
      <c r="E103" s="3547" t="s">
        <v>1435</v>
      </c>
      <c r="F103" s="3548"/>
      <c r="G103" s="1828" t="s">
        <v>1436</v>
      </c>
      <c r="H103" s="2594">
        <f>IF(D36="正常操作",H104+H105+H106,H105+H106)</f>
        <v>0</v>
      </c>
      <c r="I103" s="129"/>
    </row>
    <row r="104" spans="1:35" ht="18.75" customHeight="1">
      <c r="A104" s="3586" t="s">
        <v>1437</v>
      </c>
      <c r="B104" s="2588" t="s">
        <v>1432</v>
      </c>
      <c r="C104" s="2589">
        <f ca="1">H118</f>
        <v>29666</v>
      </c>
      <c r="D104" s="2590"/>
      <c r="E104" s="1674" t="s">
        <v>1438</v>
      </c>
      <c r="F104" s="1666"/>
      <c r="G104" s="1828" t="s">
        <v>1436</v>
      </c>
      <c r="H104" s="2595">
        <f>IF(D36="同一抵押权人同一抵押物续贷",C36&amp;"（续贷，未扣减，详见特别提示）",C36)</f>
        <v>0</v>
      </c>
      <c r="I104" s="129"/>
    </row>
    <row r="105" spans="1:35" ht="18.75" customHeight="1" thickBot="1">
      <c r="A105" s="3596"/>
      <c r="B105" s="2591" t="s">
        <v>1434</v>
      </c>
      <c r="C105" s="2592">
        <f ca="1">I118</f>
        <v>17249</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7" t="str">
        <f>IF(项目基本情况!E8="已注销","——","3.房地产抵押价值")</f>
        <v>3.房地产抵押价值</v>
      </c>
      <c r="F107" s="3555"/>
      <c r="G107" s="1827" t="s">
        <v>1432</v>
      </c>
      <c r="H107" s="2594">
        <f ca="1">IF(E107="——","——",H101-H103)</f>
        <v>29666</v>
      </c>
      <c r="I107" s="129"/>
    </row>
    <row r="108" spans="1:35" ht="18.75" customHeight="1">
      <c r="A108" s="129"/>
      <c r="B108" s="129"/>
      <c r="C108" s="129"/>
      <c r="D108" s="129"/>
      <c r="E108" s="3587"/>
      <c r="F108" s="3555"/>
      <c r="G108" s="1827" t="s">
        <v>1434</v>
      </c>
      <c r="H108" s="2554">
        <f ca="1">IF(H107=H101,H102,ROUND(H107*10000/'数据-汇总表'!E3,0))</f>
        <v>17249</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55"/>
      <c r="G109" s="1827" t="s">
        <v>1432</v>
      </c>
      <c r="H109" s="2597" t="str">
        <f>IF(E109="——","——",H101-H105-H106)</f>
        <v>——</v>
      </c>
      <c r="I109" s="129"/>
    </row>
    <row r="110" spans="1:35" ht="18.75" customHeight="1">
      <c r="A110" s="129"/>
      <c r="B110" s="129"/>
      <c r="C110" s="129"/>
      <c r="D110" s="129"/>
      <c r="E110" s="3587"/>
      <c r="F110" s="3555"/>
      <c r="G110" s="1827" t="s">
        <v>1434</v>
      </c>
      <c r="H110" s="2554" t="str">
        <f>IF(H109="——","——",ROUND(H109*10000/'数据-汇总表'!E3,0))</f>
        <v>——</v>
      </c>
      <c r="I110" s="129"/>
    </row>
    <row r="111" spans="1:35" ht="18.75" customHeight="1">
      <c r="A111" s="129"/>
      <c r="B111" s="129"/>
      <c r="C111" s="129"/>
      <c r="D111" s="129"/>
      <c r="E111" s="3588" t="str">
        <f>IF(项目基本情况!E9="抵押净值",IF(OR(项目基本情况!E8="已注销",项目基本情况!E8="房地产抵押价值"),"4.抵押净值","5.抵押净值"),"——")</f>
        <v>4.抵押净值</v>
      </c>
      <c r="F111" s="3574"/>
      <c r="G111" s="1827" t="s">
        <v>1432</v>
      </c>
      <c r="H111" s="2594">
        <f ca="1">IF(E111="——","——",N59)</f>
        <v>29510</v>
      </c>
      <c r="I111" s="129"/>
    </row>
    <row r="112" spans="1:35" ht="18.75" customHeight="1" thickBot="1">
      <c r="A112" s="129"/>
      <c r="B112" s="129"/>
      <c r="C112" s="129"/>
      <c r="D112" s="129"/>
      <c r="E112" s="3589"/>
      <c r="F112" s="3590"/>
      <c r="G112" s="1830" t="s">
        <v>1434</v>
      </c>
      <c r="H112" s="2598">
        <f ca="1">IF(E111="——","——",N61)</f>
        <v>17159</v>
      </c>
      <c r="I112" s="129"/>
    </row>
    <row r="113" spans="1:27" ht="18.75" customHeight="1">
      <c r="A113" s="129"/>
      <c r="B113" s="129"/>
      <c r="C113" s="129"/>
      <c r="D113" s="129"/>
      <c r="E113" s="3597" t="s">
        <v>1440</v>
      </c>
      <c r="F113" s="3597"/>
      <c r="G113" s="3597"/>
      <c r="H113" s="3597"/>
      <c r="I113" s="129"/>
    </row>
    <row r="114" spans="1:27" ht="3.75" customHeight="1">
      <c r="A114" s="1747"/>
      <c r="B114" s="1747"/>
      <c r="C114" s="1747"/>
      <c r="D114" s="1747"/>
      <c r="E114" s="1809"/>
      <c r="F114" s="1809"/>
      <c r="G114" s="1809"/>
      <c r="H114" s="1809"/>
      <c r="I114" s="1747"/>
    </row>
    <row r="115" spans="1:27" ht="18.75" customHeight="1">
      <c r="A115" s="3605" t="s">
        <v>1442</v>
      </c>
      <c r="B115" s="3606"/>
      <c r="C115" s="3606"/>
      <c r="D115" s="3606"/>
      <c r="E115" s="3606"/>
      <c r="F115" s="3606"/>
      <c r="G115" s="3606"/>
      <c r="H115" s="3606"/>
      <c r="I115" s="3607"/>
    </row>
    <row r="116" spans="1:27" ht="27" customHeight="1">
      <c r="A116" s="3562" t="s">
        <v>1443</v>
      </c>
      <c r="B116" s="3566" t="s">
        <v>1444</v>
      </c>
      <c r="C116" s="3566" t="s">
        <v>1445</v>
      </c>
      <c r="D116" s="3572" t="s">
        <v>1446</v>
      </c>
      <c r="E116" s="3573"/>
      <c r="F116" s="3604" t="s">
        <v>1447</v>
      </c>
      <c r="G116" s="3604"/>
      <c r="H116" s="3562" t="s">
        <v>1448</v>
      </c>
      <c r="I116" s="3562"/>
    </row>
    <row r="117" spans="1:27" ht="18.75" customHeight="1">
      <c r="A117" s="3562"/>
      <c r="B117" s="3567"/>
      <c r="C117" s="3567"/>
      <c r="D117" s="2329" t="s">
        <v>1449</v>
      </c>
      <c r="E117" s="2329" t="s">
        <v>1450</v>
      </c>
      <c r="F117" s="2329" t="s">
        <v>1449</v>
      </c>
      <c r="G117" s="2329" t="s">
        <v>1451</v>
      </c>
      <c r="H117" s="2329" t="s">
        <v>1449</v>
      </c>
      <c r="I117" s="2329" t="s">
        <v>1451</v>
      </c>
    </row>
    <row r="118" spans="1:27" ht="24.75" customHeight="1">
      <c r="A118" s="2599" t="str">
        <f>项目基本情况!S2</f>
        <v>江苏省南京市栖霞区元化路8号2幢101室房地产</v>
      </c>
      <c r="B118" s="2329">
        <f>M18</f>
        <v>17198.240000000002</v>
      </c>
      <c r="C118" s="2329">
        <f>M19</f>
        <v>0</v>
      </c>
      <c r="D118" s="2329">
        <f ca="1">ROUND(IF(D32="总价",C34,E118*B118/10000),0)</f>
        <v>5340</v>
      </c>
      <c r="E118" s="2329">
        <f ca="1">ROUND(IF(C33="自定义",IF(D32="楼面单价",C34,D118*10000/B118),I118-G118),0)</f>
        <v>3105</v>
      </c>
      <c r="F118" s="2329">
        <f ca="1">ROUND(IF(D32="总价",C35,G118*B118/10000),0)</f>
        <v>24326</v>
      </c>
      <c r="G118" s="2329">
        <f ca="1">ROUND(IF(D32="楼面单价",C35,F118*10000/B118),0)</f>
        <v>14144</v>
      </c>
      <c r="H118" s="2329">
        <f ca="1">ROUND(IF(D32="总价",C32,I118*B118/10000),0)</f>
        <v>29666</v>
      </c>
      <c r="I118" s="2329">
        <f ca="1">ROUND(IF(D32="楼面单价",C32,H118*10000/B118),0)</f>
        <v>17249</v>
      </c>
    </row>
    <row r="119" spans="1:27" ht="18.75" customHeight="1">
      <c r="A119" s="3562" t="s">
        <v>1452</v>
      </c>
      <c r="B119" s="3562"/>
      <c r="C119" s="3562"/>
      <c r="D119" s="3568" t="str">
        <f ca="1">NUMBERSTRING(INT(D118*10000),2)&amp;"元整"</f>
        <v>伍仟叁佰肆拾万元整</v>
      </c>
      <c r="E119" s="3569"/>
      <c r="F119" s="3568" t="str">
        <f ca="1">NUMBERSTRING(INT(F118*10000),2)&amp;"元整"</f>
        <v>贰亿肆仟叁佰贰拾陆万元整</v>
      </c>
      <c r="G119" s="3569"/>
      <c r="H119" s="3568" t="str">
        <f ca="1">NUMBERSTRING(INT(H118*10000),2)&amp;"元整"</f>
        <v>贰亿玖仟陆佰陆拾陆万元整</v>
      </c>
      <c r="I119" s="3569"/>
    </row>
    <row r="120" spans="1:27" ht="18.75" customHeight="1">
      <c r="A120" s="3563" t="str">
        <f>IF(项目基本情况!B9="房地产市场价值","",MID(E103,3,LEN(E103)-2))</f>
        <v>估价师知悉的法定优先受偿款</v>
      </c>
      <c r="B120" s="3564"/>
      <c r="C120" s="3565"/>
      <c r="D120" s="3563">
        <f>H103</f>
        <v>0</v>
      </c>
      <c r="E120" s="3564"/>
      <c r="F120" s="3564"/>
      <c r="G120" s="3564"/>
      <c r="H120" s="3564"/>
      <c r="I120" s="356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8" t="s">
        <v>1452</v>
      </c>
      <c r="B121" s="3570"/>
      <c r="C121" s="3569"/>
      <c r="D121" s="3568" t="str">
        <f>IF(D120=0,"零元整",NUMBERSTRING(INT(D120*10000),2)&amp;"元整")</f>
        <v>零元整</v>
      </c>
      <c r="E121" s="3570"/>
      <c r="F121" s="3570"/>
      <c r="G121" s="3570"/>
      <c r="H121" s="3570"/>
      <c r="I121" s="3569"/>
      <c r="AA121" s="725"/>
    </row>
    <row r="122" spans="1:27" ht="18.75" customHeight="1">
      <c r="A122" s="3574" t="str">
        <f>IF(项目基本情况!B9="房地产市场价值","",MID(E107,3,LEN(E107)-2))</f>
        <v>房地产抵押价值</v>
      </c>
      <c r="B122" s="3574"/>
      <c r="C122" s="3574"/>
      <c r="D122" s="3563">
        <f ca="1">H107</f>
        <v>29666</v>
      </c>
      <c r="E122" s="3564"/>
      <c r="F122" s="3564"/>
      <c r="G122" s="3564"/>
      <c r="H122" s="3564"/>
      <c r="I122" s="3565"/>
      <c r="AA122" s="725"/>
    </row>
    <row r="123" spans="1:27" ht="18.75" customHeight="1">
      <c r="A123" s="3562" t="s">
        <v>1452</v>
      </c>
      <c r="B123" s="3562"/>
      <c r="C123" s="3562"/>
      <c r="D123" s="3568" t="str">
        <f ca="1">NUMBERSTRING(INT(D122*10000),2)&amp;"元整"</f>
        <v>贰亿玖仟陆佰陆拾陆万元整</v>
      </c>
      <c r="E123" s="3570"/>
      <c r="F123" s="3570"/>
      <c r="G123" s="3570"/>
      <c r="H123" s="3570"/>
      <c r="I123" s="3569"/>
      <c r="AA123" s="725"/>
    </row>
    <row r="124" spans="1:27" ht="18.75" customHeight="1">
      <c r="A124" s="3574" t="str">
        <f>IF(项目基本情况!B9="房地产市场价值","",MID(E109,3,LEN(E109)-2))</f>
        <v/>
      </c>
      <c r="B124" s="3574"/>
      <c r="C124" s="3574"/>
      <c r="D124" s="3563" t="str">
        <f>H109</f>
        <v>——</v>
      </c>
      <c r="E124" s="3564"/>
      <c r="F124" s="3564"/>
      <c r="G124" s="3564"/>
      <c r="H124" s="3564"/>
      <c r="I124" s="3565"/>
      <c r="AA124" s="725"/>
    </row>
    <row r="125" spans="1:27" ht="18.75" customHeight="1">
      <c r="A125" s="3562" t="s">
        <v>1452</v>
      </c>
      <c r="B125" s="3562"/>
      <c r="C125" s="3562"/>
      <c r="D125" s="3568" t="e">
        <f>NUMBERSTRING(INT(D124*10000),2)&amp;"元整"</f>
        <v>#VALUE!</v>
      </c>
      <c r="E125" s="3570"/>
      <c r="F125" s="3570"/>
      <c r="G125" s="3570"/>
      <c r="H125" s="3570"/>
      <c r="I125" s="3569"/>
      <c r="AA125" s="725"/>
    </row>
    <row r="126" spans="1:27" ht="18.75" customHeight="1">
      <c r="A126" s="3574" t="str">
        <f>IF(项目基本情况!B9="房地产市场价值","",MID(E111,3,LEN(E111)-2))</f>
        <v>抵押净值</v>
      </c>
      <c r="B126" s="3574"/>
      <c r="C126" s="3574"/>
      <c r="D126" s="3563">
        <f ca="1">H111</f>
        <v>29510</v>
      </c>
      <c r="E126" s="3564"/>
      <c r="F126" s="3564"/>
      <c r="G126" s="3564"/>
      <c r="H126" s="3564"/>
      <c r="I126" s="3565"/>
      <c r="AA126" s="725"/>
    </row>
    <row r="127" spans="1:27" ht="18.75" customHeight="1">
      <c r="A127" s="3562" t="s">
        <v>1452</v>
      </c>
      <c r="B127" s="3562"/>
      <c r="C127" s="3562"/>
      <c r="D127" s="3568" t="str">
        <f ca="1">NUMBERSTRING(INT(D126*10000),2)&amp;"元整"</f>
        <v>贰亿玖仟伍佰壹拾万元整</v>
      </c>
      <c r="E127" s="3570"/>
      <c r="F127" s="3570"/>
      <c r="G127" s="3570"/>
      <c r="H127" s="3570"/>
      <c r="I127" s="3569"/>
      <c r="AA127" s="725"/>
    </row>
    <row r="128" spans="1:27" ht="21.75" customHeight="1">
      <c r="A128" s="3571" t="s">
        <v>1453</v>
      </c>
      <c r="B128" s="3571"/>
      <c r="C128" s="3571"/>
      <c r="D128" s="3571"/>
      <c r="E128" s="3571"/>
      <c r="F128" s="3571"/>
      <c r="G128" s="3571"/>
      <c r="H128" s="3571"/>
      <c r="I128" s="357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江苏省南京市栖霞区元化路8号2幢101室房地产抵押价值预评估</v>
      </c>
      <c r="C37" s="3458"/>
      <c r="D37" s="3458"/>
      <c r="E37" s="3458"/>
      <c r="F37" s="3458"/>
      <c r="G37" s="3458"/>
      <c r="H37" s="3458"/>
      <c r="I37" s="345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18549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10785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2452</v>
      </c>
      <c r="D5" s="211" t="s">
        <v>1469</v>
      </c>
      <c r="E5" s="212" t="s">
        <v>1470</v>
      </c>
      <c r="F5" s="212" t="s">
        <v>1471</v>
      </c>
      <c r="G5" s="213"/>
    </row>
    <row r="6" spans="1:9" s="214" customFormat="1" ht="13.5" customHeight="1">
      <c r="A6" s="778" t="s">
        <v>1472</v>
      </c>
      <c r="B6" s="215" t="s">
        <v>1473</v>
      </c>
      <c r="C6" s="216">
        <f>'土地比较法-住宅、综合'!F56</f>
        <v>2129</v>
      </c>
      <c r="D6" s="217"/>
      <c r="E6" s="218"/>
      <c r="F6" s="218"/>
      <c r="G6" s="219"/>
    </row>
    <row r="7" spans="1:9" s="214" customFormat="1" ht="13.5" customHeight="1">
      <c r="A7" s="778" t="s">
        <v>1474</v>
      </c>
      <c r="B7" s="215" t="s">
        <v>1475</v>
      </c>
      <c r="C7" s="220">
        <f>ROUND(C6*F7,0)</f>
        <v>65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258</v>
      </c>
      <c r="D8" s="222"/>
      <c r="E8" s="220"/>
      <c r="F8" s="221"/>
      <c r="G8" s="1856" t="s">
        <v>3796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3797</v>
      </c>
      <c r="H9" s="1137"/>
      <c r="I9" s="1858" t="s">
        <v>1479</v>
      </c>
    </row>
    <row r="10" spans="1:9" s="214" customFormat="1" ht="13.5" customHeight="1">
      <c r="A10" s="779" t="s">
        <v>356</v>
      </c>
      <c r="B10" s="224" t="s">
        <v>1480</v>
      </c>
      <c r="C10" s="225">
        <f ca="1">ROUND(D10*E10/10000,0)</f>
        <v>258</v>
      </c>
      <c r="D10" s="845">
        <f ca="1">IF(B1="",'数据-汇总表'!E6,IF(INDIRECT("'数据-取费表'!c"&amp;$G$1)="住宅",INDIRECT("'数据-取费表'!s"&amp;$G$1),INDIRECT("'数据-取费表'!k"&amp;$G$1)+INDIRECT("'数据-取费表'!s"&amp;$G$1)))</f>
        <v>17198.240000000002</v>
      </c>
      <c r="E10" s="225">
        <f>'数据-取费表'!B28</f>
        <v>150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17198.240000000002</v>
      </c>
      <c r="E19" s="211">
        <f>'数据-取费表'!B31</f>
        <v>200</v>
      </c>
      <c r="F19" s="231"/>
      <c r="G19" s="1856" t="s">
        <v>3795</v>
      </c>
    </row>
    <row r="20" spans="1:7" s="214" customFormat="1" ht="13.5" customHeight="1">
      <c r="A20" s="255" t="s">
        <v>1493</v>
      </c>
      <c r="B20" s="210" t="s">
        <v>1494</v>
      </c>
      <c r="C20" s="232">
        <f ca="1">ROUND((C5+C19)*F20,0)</f>
        <v>49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210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208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375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375</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3344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14081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12899</v>
      </c>
      <c r="D34" s="217"/>
      <c r="E34" s="220"/>
      <c r="F34" s="257">
        <f ca="1">IF('数据-取费表'!B24=0,1,IF(B1="",'数据-取费表'!N16,INDIRECT("'数据-取费表'!n"&amp;$G$1)))</f>
        <v>1</v>
      </c>
      <c r="G34" s="219" t="s">
        <v>1526</v>
      </c>
    </row>
    <row r="35" spans="1:7" ht="13.5" customHeight="1">
      <c r="A35" s="780" t="s">
        <v>351</v>
      </c>
      <c r="B35" s="215" t="s">
        <v>1527</v>
      </c>
      <c r="C35" s="220">
        <f ca="1">ROUND(C34*F35,0)</f>
        <v>645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344</v>
      </c>
      <c r="D37" s="217">
        <f ca="1">D19</f>
        <v>17198.240000000002</v>
      </c>
      <c r="E37" s="249">
        <f>'数据-取费表'!B35</f>
        <v>200</v>
      </c>
      <c r="F37" s="259"/>
      <c r="G37" s="261" t="s">
        <v>1532</v>
      </c>
    </row>
    <row r="38" spans="1:7" ht="13.5" customHeight="1">
      <c r="A38" s="780" t="s">
        <v>354</v>
      </c>
      <c r="B38" s="215" t="s">
        <v>1533</v>
      </c>
      <c r="C38" s="220">
        <f ca="1">ROUND(C34*F38,0)</f>
        <v>193</v>
      </c>
      <c r="D38" s="220"/>
      <c r="E38" s="220"/>
      <c r="F38" s="259">
        <f>'数据-取费表'!B36</f>
        <v>1.4999999999999999E-2</v>
      </c>
      <c r="G38" s="219" t="s">
        <v>1528</v>
      </c>
    </row>
    <row r="39" spans="1:7" s="214" customFormat="1" ht="13.5" customHeight="1">
      <c r="A39" s="255" t="s">
        <v>1534</v>
      </c>
      <c r="B39" s="210" t="s">
        <v>1535</v>
      </c>
      <c r="C39" s="232">
        <f ca="1">ROUND(C33*F20,0)</f>
        <v>282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596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584</v>
      </c>
      <c r="D42" s="238"/>
      <c r="E42" s="238"/>
      <c r="F42" s="239"/>
      <c r="G42" s="3641" t="s">
        <v>1544</v>
      </c>
    </row>
    <row r="43" spans="1:7" ht="13.5" customHeight="1">
      <c r="A43" s="780" t="s">
        <v>347</v>
      </c>
      <c r="B43" s="215" t="s">
        <v>1545</v>
      </c>
      <c r="C43" s="238">
        <f ca="1">ROUND(IF('数据-取费表'!B22&lt;=1,C39*F22*'数据-取费表'!B21/2,C39*(POWER((1+F22),'数据-取费表'!B21/2)-1)),0)</f>
        <v>12</v>
      </c>
      <c r="D43" s="238"/>
      <c r="E43" s="238"/>
      <c r="F43" s="239"/>
      <c r="G43" s="3642"/>
    </row>
    <row r="44" spans="1:7" ht="13.5" customHeight="1">
      <c r="A44" s="780" t="s">
        <v>348</v>
      </c>
      <c r="B44" s="215" t="s">
        <v>1546</v>
      </c>
      <c r="C44" s="238">
        <f ca="1">ROUND(IF('数据-取费表'!B22&lt;=1,C40*F22*'数据-取费表'!B21/2,C40*(POWER((1+F22),'数据-取费表'!B21/2)-1)),4)</f>
        <v>8.0000000000000004E-4</v>
      </c>
      <c r="D44" s="238"/>
      <c r="E44" s="238"/>
      <c r="F44" s="239"/>
      <c r="G44" s="3643"/>
    </row>
    <row r="45" spans="1:7" s="214" customFormat="1" ht="13.5" customHeight="1">
      <c r="A45" s="255" t="s">
        <v>1547</v>
      </c>
      <c r="B45" s="244" t="s">
        <v>1513</v>
      </c>
      <c r="C45" s="245">
        <f ca="1">C46</f>
        <v>2154</v>
      </c>
      <c r="D45" s="235">
        <f ca="1">C47</f>
        <v>3.0000000000000001E-3</v>
      </c>
      <c r="E45" s="236" t="s">
        <v>1539</v>
      </c>
      <c r="F45" s="246">
        <f ca="1">F27</f>
        <v>0.15</v>
      </c>
      <c r="G45" s="247" t="s">
        <v>1548</v>
      </c>
    </row>
    <row r="46" spans="1:7" s="214" customFormat="1" ht="13.5" customHeight="1">
      <c r="A46" s="780" t="s">
        <v>346</v>
      </c>
      <c r="B46" s="248" t="s">
        <v>1549</v>
      </c>
      <c r="C46" s="249">
        <f ca="1">ROUND((C33+C39)*F27,0)</f>
        <v>2154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18543</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15205</v>
      </c>
      <c r="D51" s="232"/>
      <c r="E51" s="232"/>
      <c r="F51" s="264"/>
      <c r="G51" s="234" t="s">
        <v>1560</v>
      </c>
    </row>
    <row r="52" spans="1:7" s="208" customFormat="1" ht="16.5" thickBot="1">
      <c r="A52" s="265" t="s">
        <v>1561</v>
      </c>
      <c r="B52" s="266"/>
      <c r="C52" s="267">
        <f ca="1">C31+C51</f>
        <v>18549</v>
      </c>
      <c r="D52" s="266"/>
      <c r="E52" s="266"/>
      <c r="F52" s="266"/>
      <c r="G52" s="268"/>
    </row>
    <row r="55" spans="1:7" ht="15">
      <c r="B55" s="270" t="s">
        <v>1562</v>
      </c>
      <c r="C55" s="271"/>
    </row>
    <row r="56" spans="1:7">
      <c r="B56" s="273" t="s">
        <v>802</v>
      </c>
      <c r="C56" s="275">
        <f ca="1">1-C57</f>
        <v>0.18000000000000005</v>
      </c>
    </row>
    <row r="57" spans="1:7">
      <c r="B57" s="273" t="s">
        <v>803</v>
      </c>
      <c r="C57" s="274">
        <f ca="1">ROUND(C51/C52,3)</f>
        <v>0.82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16025.940399999999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9318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2579736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2579736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2579736</v>
      </c>
      <c r="D10" s="845">
        <f ca="1">IF(B1="",'数据-汇总表'!E6,IF(INDIRECT("'数据-取费表'!c"&amp;$G$1)="住宅",INDIRECT("'数据-取费表'!s"&amp;$G$1),INDIRECT("'数据-取费表'!k"&amp;$G$1)+INDIRECT("'数据-取费表'!s"&amp;$G$1)))</f>
        <v>17198.240000000002</v>
      </c>
      <c r="E10" s="225">
        <f>'数据-取费表'!B28</f>
        <v>150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3439648</v>
      </c>
      <c r="D19" s="849">
        <f ca="1">D9+D10</f>
        <v>17198.240000000002</v>
      </c>
      <c r="E19" s="211">
        <f>'数据-取费表'!B31</f>
        <v>200</v>
      </c>
      <c r="F19" s="231"/>
      <c r="G19" s="1856"/>
    </row>
    <row r="20" spans="1:7" s="214" customFormat="1" ht="13.5" customHeight="1">
      <c r="A20" s="255" t="s">
        <v>1574</v>
      </c>
      <c r="B20" s="210" t="s">
        <v>1575</v>
      </c>
      <c r="C20" s="232">
        <f ca="1">ROUND((C5+C19)*F20,0)</f>
        <v>120388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514972</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218561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291415</v>
      </c>
      <c r="D24" s="238"/>
      <c r="E24" s="238"/>
      <c r="F24" s="239"/>
      <c r="G24" s="240" t="s">
        <v>1586</v>
      </c>
    </row>
    <row r="25" spans="1:7" s="214" customFormat="1" ht="24">
      <c r="A25" s="780" t="s">
        <v>1476</v>
      </c>
      <c r="B25" s="215" t="s">
        <v>1587</v>
      </c>
      <c r="C25" s="1128">
        <f ca="1">ROUND(IF('数据-取费表'!B22&lt;=1,C20*F22*'数据-取费表'!B22/2,C20*(POWER((1+F22),'数据-取费表'!B22/2)-1)),0)</f>
        <v>4996</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920966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920966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8208592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140810590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128986800</v>
      </c>
      <c r="D34" s="217"/>
      <c r="E34" s="220"/>
      <c r="F34" s="257"/>
      <c r="G34" s="219"/>
    </row>
    <row r="35" spans="1:7" ht="13.5" customHeight="1">
      <c r="A35" s="780" t="s">
        <v>351</v>
      </c>
      <c r="B35" s="215" t="s">
        <v>1527</v>
      </c>
      <c r="C35" s="220">
        <f ca="1">ROUND(C34*F35,0)</f>
        <v>6449340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3439648</v>
      </c>
      <c r="D37" s="217">
        <f ca="1">D19</f>
        <v>17198.240000000002</v>
      </c>
      <c r="E37" s="249">
        <f>'数据-取费表'!B35</f>
        <v>200</v>
      </c>
      <c r="F37" s="259"/>
      <c r="G37" s="261"/>
    </row>
    <row r="38" spans="1:7" ht="13.5" customHeight="1">
      <c r="A38" s="780" t="s">
        <v>354</v>
      </c>
      <c r="B38" s="215" t="s">
        <v>1533</v>
      </c>
      <c r="C38" s="220">
        <f ca="1">ROUND(C34*F38,0)</f>
        <v>1934802</v>
      </c>
      <c r="D38" s="220"/>
      <c r="E38" s="220"/>
      <c r="F38" s="259">
        <f>'数据-取费表'!B36</f>
        <v>1.4999999999999999E-2</v>
      </c>
      <c r="G38" s="219" t="s">
        <v>1528</v>
      </c>
    </row>
    <row r="39" spans="1:7" s="214" customFormat="1" ht="13.5" customHeight="1">
      <c r="A39" s="255" t="s">
        <v>1534</v>
      </c>
      <c r="B39" s="210" t="s">
        <v>1535</v>
      </c>
      <c r="C39" s="232">
        <f ca="1">ROUND(C33*F20,0)</f>
        <v>2816212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5960512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5843639</v>
      </c>
      <c r="D42" s="238"/>
      <c r="E42" s="238"/>
      <c r="F42" s="239"/>
      <c r="G42" s="3641" t="s">
        <v>1591</v>
      </c>
    </row>
    <row r="43" spans="1:7" ht="13.5" customHeight="1">
      <c r="A43" s="780" t="s">
        <v>347</v>
      </c>
      <c r="B43" s="215" t="s">
        <v>1545</v>
      </c>
      <c r="C43" s="238">
        <f ca="1">ROUND(IF('数据-取费表'!B22&lt;=1,C39*F22*'数据-取费表'!B20/2,C39*(POWER((1+F22),'数据-取费表'!B20/2)-1)),0)</f>
        <v>116873</v>
      </c>
      <c r="D43" s="238"/>
      <c r="E43" s="238"/>
      <c r="F43" s="239"/>
      <c r="G43" s="3642"/>
    </row>
    <row r="44" spans="1:7" ht="13.5" customHeight="1">
      <c r="A44" s="780" t="s">
        <v>348</v>
      </c>
      <c r="B44" s="215" t="s">
        <v>1546</v>
      </c>
      <c r="C44" s="238">
        <f ca="1">ROUND(IF('数据-取费表'!B22&lt;=1,C40*F22*'数据-取费表'!B20/2,C40*(POWER((1+F22),'数据-取费表'!B20/2)-1)),4)</f>
        <v>8.0000000000000004E-4</v>
      </c>
      <c r="D44" s="238"/>
      <c r="E44" s="238"/>
      <c r="F44" s="239"/>
      <c r="G44" s="3643"/>
    </row>
    <row r="45" spans="1:7" s="214" customFormat="1" ht="13.5" customHeight="1">
      <c r="A45" s="255" t="s">
        <v>1547</v>
      </c>
      <c r="B45" s="244" t="s">
        <v>1513</v>
      </c>
      <c r="C45" s="245">
        <f ca="1">C46</f>
        <v>21544020</v>
      </c>
      <c r="D45" s="235">
        <f ca="1">C47</f>
        <v>3.0000000000000001E-3</v>
      </c>
      <c r="E45" s="236" t="s">
        <v>1539</v>
      </c>
      <c r="F45" s="246">
        <f ca="1">F27</f>
        <v>0.15</v>
      </c>
      <c r="G45" s="247" t="s">
        <v>1548</v>
      </c>
    </row>
    <row r="46" spans="1:7" s="214" customFormat="1" ht="13.5" customHeight="1">
      <c r="A46" s="780" t="s">
        <v>346</v>
      </c>
      <c r="B46" s="248" t="s">
        <v>1549</v>
      </c>
      <c r="C46" s="249">
        <f ca="1">ROUND((C33+C39)*F27,0)</f>
        <v>21544020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185427819</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152050812</v>
      </c>
      <c r="D51" s="232"/>
      <c r="E51" s="232"/>
      <c r="F51" s="264"/>
      <c r="G51" s="234" t="s">
        <v>1560</v>
      </c>
    </row>
    <row r="52" spans="1:7" s="208" customFormat="1" ht="16.5" thickBot="1">
      <c r="A52" s="265" t="s">
        <v>1561</v>
      </c>
      <c r="B52" s="266"/>
      <c r="C52" s="267">
        <f ca="1">C31+C51</f>
        <v>160259404</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17198.240000000002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17198.240000000002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258</v>
      </c>
      <c r="D20" s="846">
        <f ca="1">IF(C1="",'数据-汇总表'!E6,IF(INDIRECT("'数据-取费表'!c"&amp;$K$1)="住宅",INDIRECT("'数据-取费表'!s"&amp;$K$1),INDIRECT("'数据-取费表'!k"&amp;$K$1)+INDIRECT("'数据-取费表'!s"&amp;$K$1)))</f>
        <v>17198.240000000002</v>
      </c>
      <c r="E20" s="21">
        <f>'数据-取费表'!B28</f>
        <v>150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3399</v>
      </c>
      <c r="D1" s="1362" t="s">
        <v>43</v>
      </c>
      <c r="E1" s="1363" t="s">
        <v>678</v>
      </c>
      <c r="F1" s="1062">
        <f ca="1">J53</f>
        <v>38.58</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-2847</v>
      </c>
      <c r="C2" s="1387" t="s">
        <v>805</v>
      </c>
      <c r="D2" s="1387"/>
      <c r="E2" s="1388"/>
      <c r="F2" s="1389"/>
      <c r="G2" s="2705"/>
      <c r="H2" s="2694"/>
      <c r="I2" s="2694"/>
      <c r="J2" s="2694"/>
      <c r="K2" s="2695"/>
      <c r="L2" s="2694"/>
      <c r="M2" s="2694"/>
    </row>
    <row r="3" spans="1:37" ht="18" customHeight="1" thickBot="1">
      <c r="A3" s="1390" t="s">
        <v>806</v>
      </c>
      <c r="B3" s="1391">
        <f ca="1">IF(ISERROR(B2*10000/F43),0,ROUND(B2*10000/F43,0))</f>
        <v>-1655</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6" t="s">
        <v>694</v>
      </c>
      <c r="C6" s="1074">
        <f ca="1">ROUND(F6*F8*F7*(1-F9)/10000,0)</f>
        <v>0</v>
      </c>
      <c r="D6" s="155" t="s">
        <v>2108</v>
      </c>
      <c r="E6" s="302" t="s">
        <v>696</v>
      </c>
      <c r="F6" s="303">
        <f ca="1">INDIRECT("'数据-取费表'!u"&amp;$G$1)</f>
        <v>0</v>
      </c>
      <c r="G6" s="1384"/>
      <c r="H6" s="1069" t="s">
        <v>398</v>
      </c>
      <c r="I6" s="3646" t="s">
        <v>694</v>
      </c>
      <c r="J6" s="301">
        <f ca="1">ROUND(M6*M8*M7*(1-M9)/10000,0)</f>
        <v>0</v>
      </c>
      <c r="K6" s="155" t="s">
        <v>2107</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17198.240000000002</v>
      </c>
      <c r="G7" s="1384"/>
      <c r="H7" s="304"/>
      <c r="I7" s="3647"/>
      <c r="J7" s="306"/>
      <c r="K7" s="307"/>
      <c r="L7" s="302" t="s">
        <v>697</v>
      </c>
      <c r="M7" s="303">
        <f ca="1">F7</f>
        <v>17198.240000000002</v>
      </c>
    </row>
    <row r="8" spans="1:37" ht="18" customHeight="1">
      <c r="A8" s="304"/>
      <c r="B8" s="3647"/>
      <c r="C8" s="306"/>
      <c r="D8" s="307"/>
      <c r="E8" s="302" t="s">
        <v>698</v>
      </c>
      <c r="F8" s="303">
        <f ca="1">INDIRECT("'数据-取费表'!ai"&amp;$G$1)</f>
        <v>365</v>
      </c>
      <c r="G8" s="1384"/>
      <c r="H8" s="304"/>
      <c r="I8" s="3647"/>
      <c r="J8" s="306"/>
      <c r="K8" s="307"/>
      <c r="L8" s="302" t="s">
        <v>698</v>
      </c>
      <c r="M8" s="303">
        <f ca="1">INDIRECT("'数据-取费表'!ai"&amp;$G$1)</f>
        <v>365</v>
      </c>
    </row>
    <row r="9" spans="1:37" ht="18" customHeight="1">
      <c r="A9" s="304"/>
      <c r="B9" s="3648"/>
      <c r="C9" s="306"/>
      <c r="D9" s="307"/>
      <c r="E9" s="302" t="s">
        <v>699</v>
      </c>
      <c r="F9" s="312">
        <f ca="1">INDIRECT("'数据-取费表'!w"&amp;$G$1)</f>
        <v>0</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3798</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15205</v>
      </c>
      <c r="D13" s="1081" t="s">
        <v>705</v>
      </c>
      <c r="E13" s="108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12899</v>
      </c>
      <c r="D14" s="1345" t="s">
        <v>708</v>
      </c>
      <c r="E14" s="1342"/>
      <c r="F14" s="319"/>
      <c r="G14" s="1384"/>
      <c r="H14" s="982" t="s">
        <v>398</v>
      </c>
      <c r="I14" s="302" t="s">
        <v>709</v>
      </c>
      <c r="J14" s="21">
        <f ca="1">C29</f>
        <v>18543</v>
      </c>
      <c r="K14" s="12"/>
      <c r="L14" s="807"/>
      <c r="M14" s="808"/>
    </row>
    <row r="15" spans="1:37" s="1397" customFormat="1" ht="18" customHeight="1" thickBot="1">
      <c r="A15" s="982" t="s">
        <v>399</v>
      </c>
      <c r="B15" s="302" t="s">
        <v>710</v>
      </c>
      <c r="C15" s="21">
        <f ca="1">ROUND(C14*F15,0)</f>
        <v>645</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185</v>
      </c>
      <c r="K16" s="1087" t="s">
        <v>715</v>
      </c>
      <c r="L16" s="1088"/>
      <c r="M16" s="1072"/>
    </row>
    <row r="17" spans="1:37" s="1397" customFormat="1" ht="18" customHeight="1">
      <c r="A17" s="982" t="s">
        <v>681</v>
      </c>
      <c r="B17" s="302" t="s">
        <v>716</v>
      </c>
      <c r="C17" s="21">
        <f ca="1">ROUND(F17*(F43+INDIRECT("'数据-取费表'!S"&amp;$G$1))/10000,0)</f>
        <v>344</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193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14081</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282</v>
      </c>
      <c r="D20" s="323" t="s">
        <v>729</v>
      </c>
      <c r="E20" s="302" t="s">
        <v>712</v>
      </c>
      <c r="F20" s="322">
        <f>'数据-取费表'!B37</f>
        <v>0.02</v>
      </c>
      <c r="G20" s="1396"/>
      <c r="H20" s="982" t="s">
        <v>680</v>
      </c>
      <c r="I20" s="155" t="s">
        <v>730</v>
      </c>
      <c r="J20" s="22">
        <f ca="1">ROUND(M20*M21/10000,2)</f>
        <v>0</v>
      </c>
      <c r="K20" s="324" t="s">
        <v>731</v>
      </c>
      <c r="L20" s="302" t="s">
        <v>732</v>
      </c>
      <c r="M20" s="325">
        <f>'数据-取费表'!B52</f>
        <v>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185.43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596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-185</v>
      </c>
      <c r="K25" s="1095" t="s">
        <v>753</v>
      </c>
      <c r="L25" s="1096"/>
      <c r="M25" s="1097"/>
    </row>
    <row r="26" spans="1:37">
      <c r="A26" s="982" t="s">
        <v>397</v>
      </c>
      <c r="B26" s="302" t="s">
        <v>754</v>
      </c>
      <c r="C26" s="21">
        <f ca="1">ROUND((C19+C20)*F26,0)</f>
        <v>2154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18543</v>
      </c>
      <c r="D29" s="1092"/>
      <c r="E29" s="1090"/>
      <c r="F29" s="1093"/>
      <c r="G29" s="1396"/>
      <c r="H29" s="334" t="s">
        <v>396</v>
      </c>
      <c r="I29" s="335" t="s">
        <v>768</v>
      </c>
      <c r="J29" s="336">
        <f ca="1">ROUND(J26/(1+F40)^F41,0)</f>
        <v>0</v>
      </c>
      <c r="K29" s="337" t="s">
        <v>769</v>
      </c>
      <c r="L29" s="338"/>
      <c r="M29" s="339">
        <f ca="1">INDIRECT("'数据-取费表'!k"&amp;$G$1)</f>
        <v>17198.240000000002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208</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7" t="s">
        <v>2309</v>
      </c>
      <c r="I31" s="1398"/>
      <c r="J31" s="1399"/>
      <c r="K31" s="2474"/>
      <c r="L31" s="2697"/>
      <c r="M31" s="2698"/>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185.43</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ROUND(C13*F37,2)</f>
        <v>22.81</v>
      </c>
      <c r="D37" s="1344" t="s">
        <v>743</v>
      </c>
      <c r="E37" s="302" t="s">
        <v>744</v>
      </c>
      <c r="F37" s="330">
        <f ca="1">INDIRECT("'数据-取费表'!Al"&amp;$G$1)</f>
        <v>1.5E-3</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-208</v>
      </c>
      <c r="D39" s="1095" t="s">
        <v>773</v>
      </c>
      <c r="E39" s="1096"/>
      <c r="F39" s="1097"/>
      <c r="G39" s="1384"/>
      <c r="H39" s="2699"/>
      <c r="I39" s="1398"/>
      <c r="J39" s="1399"/>
      <c r="K39" s="2703"/>
      <c r="L39" s="2699"/>
      <c r="M39" s="2699"/>
    </row>
    <row r="40" spans="1:18" ht="18" customHeight="1">
      <c r="A40" s="299" t="s">
        <v>395</v>
      </c>
      <c r="B40" s="300" t="s">
        <v>774</v>
      </c>
      <c r="C40" s="301">
        <f ca="1">ROUND(C39*(1-((1+F42)/(1+F40))^F41)/(F40-F42),0)</f>
        <v>-3303</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38.58</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f ca="1">ROUND(C40*10000/F43,0)</f>
        <v>-1921</v>
      </c>
      <c r="D43" s="337" t="s">
        <v>777</v>
      </c>
      <c r="E43" s="338" t="s">
        <v>778</v>
      </c>
      <c r="F43" s="339">
        <f ca="1">INDIRECT("'数据-取费表'!k"&amp;$G$1)</f>
        <v>17198.240000000002</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0</v>
      </c>
      <c r="D46" s="1406" t="str">
        <f>C2</f>
        <v>万元</v>
      </c>
      <c r="E46" s="1400"/>
      <c r="F46" s="1400"/>
      <c r="I46" s="1407" t="s">
        <v>810</v>
      </c>
      <c r="J46" s="1408"/>
      <c r="K46" s="1409"/>
      <c r="L46" s="1410">
        <f ca="1">IF(M47="住宅",0,IF(L48&gt;J51,L60,J60))</f>
        <v>456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3404</v>
      </c>
      <c r="K47" s="1416" t="s">
        <v>816</v>
      </c>
      <c r="L47" s="1417">
        <f ca="1">INDIRECT("'数据-取费表'!d"&amp;$G$1)</f>
        <v>50</v>
      </c>
      <c r="M47" s="1380" t="str">
        <f>IF(ISNUMBER(FIND("住宅",C1)),"住宅","非住宅")</f>
        <v>非住宅</v>
      </c>
      <c r="O47" s="1418" t="s">
        <v>403</v>
      </c>
      <c r="P47" s="1419" t="s">
        <v>817</v>
      </c>
      <c r="Q47" s="1420">
        <f ca="1">C40+J29</f>
        <v>-3303</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38.58</v>
      </c>
      <c r="O48" s="1418" t="s">
        <v>404</v>
      </c>
      <c r="P48" s="1419" t="s">
        <v>821</v>
      </c>
      <c r="Q48" s="1420">
        <f ca="1">J60</f>
        <v>456</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2012</v>
      </c>
      <c r="K49" s="1423" t="s">
        <v>824</v>
      </c>
      <c r="L49" s="1427"/>
      <c r="O49" s="1428" t="s">
        <v>405</v>
      </c>
      <c r="P49" s="1419" t="s">
        <v>825</v>
      </c>
      <c r="Q49" s="1420">
        <f ca="1">C29</f>
        <v>18543</v>
      </c>
      <c r="R49" s="1420" t="s">
        <v>818</v>
      </c>
    </row>
    <row r="50" spans="1:18" s="1384" customFormat="1" ht="13.5" thickBot="1">
      <c r="A50" s="976"/>
      <c r="B50" s="979"/>
      <c r="C50" s="1118"/>
      <c r="D50" s="953"/>
      <c r="E50" s="1056" t="s">
        <v>697</v>
      </c>
      <c r="F50" s="1057">
        <f ca="1">F7</f>
        <v>17198.240000000002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49</v>
      </c>
      <c r="K51" s="1434" t="s">
        <v>830</v>
      </c>
      <c r="L51" s="1435">
        <f ca="1">ROUND(-PV(INDIRECT("'数据-取费表'!h"&amp;$G$1),J51,(C39-C13*C76),0),0)</f>
        <v>-23117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38.58</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38.58</v>
      </c>
      <c r="K53" s="3644" t="s">
        <v>837</v>
      </c>
      <c r="L53" s="3645"/>
      <c r="O53" s="1418" t="s">
        <v>409</v>
      </c>
      <c r="P53" s="1419" t="s">
        <v>838</v>
      </c>
      <c r="Q53" s="1420">
        <f ca="1">Q47+Q48</f>
        <v>-2847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0.17399999999999999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15205</v>
      </c>
      <c r="D56" s="1447"/>
      <c r="E56" s="1448"/>
      <c r="F56" s="1440"/>
      <c r="I56" s="1449" t="s">
        <v>842</v>
      </c>
      <c r="J56" s="1450" t="s">
        <v>3406</v>
      </c>
      <c r="K56" s="1421" t="s">
        <v>843</v>
      </c>
      <c r="L56" s="1424" t="str">
        <f ca="1">IF(L48&lt;J51,"——",L48-J53)</f>
        <v>——</v>
      </c>
      <c r="O56" s="1418" t="s">
        <v>403</v>
      </c>
      <c r="P56" s="1419" t="s">
        <v>817</v>
      </c>
      <c r="Q56" s="1420">
        <f ca="1">C40+J29</f>
        <v>-3303</v>
      </c>
      <c r="R56" s="1420" t="s">
        <v>818</v>
      </c>
    </row>
    <row r="57" spans="1:18" s="1384" customFormat="1" ht="24.75" thickBot="1">
      <c r="A57" s="1451"/>
      <c r="B57" s="950" t="s">
        <v>767</v>
      </c>
      <c r="C57" s="238">
        <f ca="1">C29</f>
        <v>18543</v>
      </c>
      <c r="D57" s="1452"/>
      <c r="E57" s="1453"/>
      <c r="F57" s="1454"/>
      <c r="I57" s="1455" t="s">
        <v>844</v>
      </c>
      <c r="J57" s="1456">
        <f ca="1">IF(OR(M47="住宅",J51&lt;L48,J56="是"),"——",J51-L48)</f>
        <v>10.420000000000002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208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7417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456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5</v>
      </c>
      <c r="I62" s="1462" t="s">
        <v>858</v>
      </c>
      <c r="J62" s="1463" t="s">
        <v>859</v>
      </c>
      <c r="K62" s="1463" t="s">
        <v>860</v>
      </c>
      <c r="L62" s="1463" t="s">
        <v>861</v>
      </c>
      <c r="M62" s="1464" t="s">
        <v>862</v>
      </c>
      <c r="O62" s="1418" t="s">
        <v>409</v>
      </c>
      <c r="P62" s="1419" t="s">
        <v>863</v>
      </c>
      <c r="Q62" s="1420">
        <f ca="1">Q56+Q57</f>
        <v>-3303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185.43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22.81</v>
      </c>
      <c r="D65" s="964" t="s">
        <v>743</v>
      </c>
      <c r="E65" s="950" t="s">
        <v>744</v>
      </c>
      <c r="F65" s="330">
        <f t="shared" ca="1" si="0"/>
        <v>1.5E-3</v>
      </c>
      <c r="I65" s="1462" t="s">
        <v>867</v>
      </c>
      <c r="J65" s="1463">
        <v>40</v>
      </c>
      <c r="K65" s="1463">
        <v>30</v>
      </c>
      <c r="L65" s="1463">
        <v>50</v>
      </c>
      <c r="M65" s="1465">
        <v>0.02</v>
      </c>
      <c r="O65" s="1418" t="s">
        <v>403</v>
      </c>
      <c r="P65" s="1419" t="s">
        <v>868</v>
      </c>
      <c r="Q65" s="1420">
        <f ca="1">C40+J29</f>
        <v>-3303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-208</v>
      </c>
      <c r="D67" s="963" t="s">
        <v>753</v>
      </c>
      <c r="E67" s="968"/>
      <c r="F67" s="969"/>
      <c r="O67" s="1428" t="s">
        <v>405</v>
      </c>
      <c r="P67" s="1419" t="s">
        <v>850</v>
      </c>
      <c r="Q67" s="1466">
        <f ca="1">L51</f>
        <v>-23117</v>
      </c>
      <c r="R67" s="1420" t="s">
        <v>870</v>
      </c>
    </row>
    <row r="68" spans="1:18" s="1384" customFormat="1" ht="16.5" thickBot="1">
      <c r="A68" s="947" t="s">
        <v>395</v>
      </c>
      <c r="B68" s="948" t="s">
        <v>774</v>
      </c>
      <c r="C68" s="301">
        <f ca="1">ROUND(C67*(1-((1+F70)/(1+F68))^F69)/(F68-F70),0)</f>
        <v>-3303</v>
      </c>
      <c r="D68" s="965" t="s">
        <v>758</v>
      </c>
      <c r="E68" s="950" t="s">
        <v>759</v>
      </c>
      <c r="F68" s="312">
        <f ca="1">F40</f>
        <v>5.5E-2</v>
      </c>
      <c r="O68" s="1428" t="s">
        <v>406</v>
      </c>
      <c r="P68" s="1467" t="s">
        <v>871</v>
      </c>
      <c r="Q68" s="1420">
        <f ca="1">ROUND(Q69-Q70*Q71,0)</f>
        <v>-1272</v>
      </c>
      <c r="R68" s="1420" t="s">
        <v>414</v>
      </c>
    </row>
    <row r="69" spans="1:18" s="1384" customFormat="1" ht="13.5" thickBot="1">
      <c r="A69" s="951"/>
      <c r="B69" s="952"/>
      <c r="C69" s="306"/>
      <c r="D69" s="970" t="s">
        <v>762</v>
      </c>
      <c r="E69" s="950" t="s">
        <v>763</v>
      </c>
      <c r="F69" s="333">
        <f ca="1">F41</f>
        <v>38.58</v>
      </c>
      <c r="O69" s="1428" t="s">
        <v>411</v>
      </c>
      <c r="P69" s="1467" t="s">
        <v>872</v>
      </c>
      <c r="Q69" s="1420">
        <f ca="1">C39</f>
        <v>-208</v>
      </c>
      <c r="R69" s="1420" t="s">
        <v>818</v>
      </c>
    </row>
    <row r="70" spans="1:18" s="1384" customFormat="1" ht="13.5" thickBot="1">
      <c r="A70" s="954"/>
      <c r="B70" s="955"/>
      <c r="C70" s="310"/>
      <c r="D70" s="966"/>
      <c r="E70" s="950" t="s">
        <v>766</v>
      </c>
      <c r="F70" s="1054"/>
      <c r="O70" s="1428" t="s">
        <v>412</v>
      </c>
      <c r="P70" s="1467" t="s">
        <v>873</v>
      </c>
      <c r="Q70" s="1420">
        <f ca="1">C13</f>
        <v>15205</v>
      </c>
      <c r="R70" s="1420" t="s">
        <v>818</v>
      </c>
    </row>
    <row r="71" spans="1:18" s="1384" customFormat="1" ht="13.5" thickBot="1">
      <c r="A71" s="971" t="s">
        <v>396</v>
      </c>
      <c r="B71" s="972" t="s">
        <v>776</v>
      </c>
      <c r="C71" s="336">
        <f ca="1">ROUND(C68*10000/F71,0)</f>
        <v>-1921</v>
      </c>
      <c r="D71" s="973" t="s">
        <v>777</v>
      </c>
      <c r="E71" s="974" t="s">
        <v>778</v>
      </c>
      <c r="F71" s="339">
        <f ca="1">F43</f>
        <v>17198.240000000002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1064</v>
      </c>
      <c r="D75" s="1384"/>
      <c r="E75" s="1384"/>
      <c r="F75" s="1384"/>
      <c r="K75" s="1402"/>
      <c r="L75" s="1384"/>
      <c r="O75" s="1418" t="s">
        <v>409</v>
      </c>
      <c r="P75" s="1419" t="s">
        <v>838</v>
      </c>
      <c r="Q75" s="1420">
        <f ca="1">Q65+Q66</f>
        <v>-3303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6.1150000000000002</v>
      </c>
    </row>
    <row r="80" spans="1:18">
      <c r="B80" s="340" t="s">
        <v>800</v>
      </c>
      <c r="C80" s="274">
        <f ca="1">ROUND(C75/C39,3)</f>
        <v>-5.1150000000000002</v>
      </c>
    </row>
    <row r="81" spans="2:3">
      <c r="B81" s="270" t="s">
        <v>801</v>
      </c>
      <c r="C81" s="238"/>
    </row>
    <row r="82" spans="2:3">
      <c r="B82" s="273" t="s">
        <v>802</v>
      </c>
      <c r="C82" s="275">
        <f ca="1">1-C83</f>
        <v>5.6029999999999998</v>
      </c>
    </row>
    <row r="83" spans="2:3">
      <c r="B83" s="273" t="s">
        <v>803</v>
      </c>
      <c r="C83" s="274">
        <f ca="1">ROUND(C13/C40,3)</f>
        <v>-4.6029999999999998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6" t="s">
        <v>694</v>
      </c>
      <c r="C6" s="1074">
        <f ca="1">ROUND(F6*F8*F7*(1-F9),0)</f>
        <v>0</v>
      </c>
      <c r="D6" s="155" t="s">
        <v>2105</v>
      </c>
      <c r="E6" s="302" t="s">
        <v>696</v>
      </c>
      <c r="F6" s="303">
        <f ca="1">INDIRECT("'数据-取费表'!u"&amp;$G$1)</f>
        <v>0</v>
      </c>
      <c r="G6" s="1384"/>
      <c r="H6" s="1069" t="s">
        <v>398</v>
      </c>
      <c r="I6" s="3646" t="s">
        <v>694</v>
      </c>
      <c r="J6" s="301">
        <f ca="1">ROUND(M6*M8*M7*(1-M9),0)</f>
        <v>0</v>
      </c>
      <c r="K6" s="1376" t="s">
        <v>2106</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0</v>
      </c>
      <c r="G7" s="1384"/>
      <c r="H7" s="304"/>
      <c r="I7" s="3647"/>
      <c r="J7" s="306"/>
      <c r="K7" s="307"/>
      <c r="L7" s="302" t="s">
        <v>697</v>
      </c>
      <c r="M7" s="303">
        <f ca="1">F7</f>
        <v>0</v>
      </c>
    </row>
    <row r="8" spans="1:37" ht="18" customHeight="1">
      <c r="A8" s="304"/>
      <c r="B8" s="3647"/>
      <c r="C8" s="306"/>
      <c r="D8" s="307"/>
      <c r="E8" s="302" t="s">
        <v>698</v>
      </c>
      <c r="F8" s="303">
        <f ca="1">INDIRECT("'数据-取费表'!ai"&amp;$G$1)</f>
        <v>0</v>
      </c>
      <c r="G8" s="1384"/>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2309</v>
      </c>
      <c r="I31" s="1398"/>
      <c r="J31" s="1399"/>
      <c r="K31" s="2474"/>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3356</v>
      </c>
      <c r="B45" s="1400"/>
      <c r="C45" s="1472" t="e">
        <f ca="1">ROUND((C68-C40)/10000,4)</f>
        <v>#DIV/0!</v>
      </c>
      <c r="D45" s="3431"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44" t="s">
        <v>837</v>
      </c>
      <c r="L53" s="364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46" sqref="G46"/>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5" t="s">
        <v>2317</v>
      </c>
      <c r="B2" s="2842">
        <f ca="1">IF(D2="——",C40,C40+E2)</f>
        <v>34430</v>
      </c>
      <c r="C2" s="2843" t="s">
        <v>2318</v>
      </c>
      <c r="D2" s="3442" t="s">
        <v>43</v>
      </c>
      <c r="E2" s="3443"/>
      <c r="F2" s="2845"/>
      <c r="G2" s="2846"/>
      <c r="H2" s="2847"/>
      <c r="I2" s="2848"/>
      <c r="J2" s="3649" t="s">
        <v>2319</v>
      </c>
      <c r="K2" s="3650"/>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f ca="1">ROUND(B2*10000/B4,0)</f>
        <v>20019</v>
      </c>
      <c r="C3" s="2843" t="s">
        <v>2328</v>
      </c>
      <c r="D3" s="2843"/>
      <c r="E3" s="2844"/>
      <c r="F3" s="2845"/>
      <c r="G3" s="2846"/>
      <c r="H3" s="2847"/>
      <c r="I3" s="2848"/>
      <c r="J3" s="3651" t="s">
        <v>2329</v>
      </c>
      <c r="K3" s="3652"/>
      <c r="L3" s="2855"/>
      <c r="M3" s="2855"/>
      <c r="N3" s="2855"/>
      <c r="O3" s="2855"/>
      <c r="P3" s="2855"/>
      <c r="Q3" s="2856"/>
      <c r="R3" s="2857">
        <f>SUM(L3:Q3)</f>
        <v>0</v>
      </c>
      <c r="S3" s="2840"/>
      <c r="T3" s="2840"/>
      <c r="U3" s="2840"/>
      <c r="V3" s="2848"/>
    </row>
    <row r="4" spans="1:22" s="2852" customFormat="1" ht="13.15" customHeight="1">
      <c r="A4" s="2858" t="s">
        <v>2330</v>
      </c>
      <c r="B4" s="2859">
        <f>'数据-汇总表'!F19</f>
        <v>17198.240000000002</v>
      </c>
      <c r="C4" s="2843"/>
      <c r="D4" s="2843"/>
      <c r="E4" s="2844"/>
      <c r="F4" s="2845"/>
      <c r="G4" s="2846"/>
      <c r="H4" s="2847"/>
      <c r="I4" s="2848"/>
      <c r="J4" s="3651" t="s">
        <v>2331</v>
      </c>
      <c r="K4" s="3652"/>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3414</v>
      </c>
      <c r="S5" s="2840"/>
      <c r="T5" s="2840" t="s">
        <v>2334</v>
      </c>
      <c r="U5" s="2840" t="e">
        <f>ROUND(R5*10000/365/R3,1)</f>
        <v>#DIV/0!</v>
      </c>
      <c r="V5" s="2848"/>
    </row>
    <row r="6" spans="1:22" s="2852" customFormat="1" ht="13.15" customHeight="1" thickBot="1">
      <c r="A6" s="3653" t="s">
        <v>2335</v>
      </c>
      <c r="B6" s="3654"/>
      <c r="C6" s="3655"/>
      <c r="D6" s="2869">
        <f>R5</f>
        <v>3414</v>
      </c>
      <c r="E6" s="2870"/>
      <c r="F6" s="2871"/>
      <c r="G6" s="2872"/>
      <c r="H6" s="2847"/>
      <c r="I6" s="2848"/>
      <c r="J6" s="3656">
        <v>1</v>
      </c>
      <c r="K6" s="3657"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 ca="1">SUM(D9,D10,D11,D17,0)</f>
        <v>1817.18</v>
      </c>
      <c r="E7" s="2879">
        <f ca="1">E9+E10+E11+E17</f>
        <v>0.53227885178676038</v>
      </c>
      <c r="F7" s="2880"/>
      <c r="G7" s="2881"/>
      <c r="H7" s="2847"/>
      <c r="I7" s="2848"/>
      <c r="J7" s="3656"/>
      <c r="K7" s="3658"/>
      <c r="L7" s="2882" t="s">
        <v>2346</v>
      </c>
      <c r="M7" s="2883">
        <v>1</v>
      </c>
      <c r="N7" s="2859">
        <v>3999</v>
      </c>
      <c r="O7" s="2884">
        <v>0.8</v>
      </c>
      <c r="P7" s="2884">
        <v>0.2</v>
      </c>
      <c r="Q7" s="2885">
        <v>365</v>
      </c>
      <c r="R7" s="2886">
        <f>ROUND(M7*N7*O7*P7*Q7/10000,0)</f>
        <v>23</v>
      </c>
      <c r="S7" s="2840"/>
      <c r="T7" s="2840" t="s">
        <v>2347</v>
      </c>
      <c r="U7" s="2840"/>
      <c r="V7" s="2848"/>
    </row>
    <row r="8" spans="1:22" s="2852" customFormat="1" ht="13.15" customHeight="1">
      <c r="A8" s="2887" t="s">
        <v>2348</v>
      </c>
      <c r="B8" s="3660" t="s">
        <v>2349</v>
      </c>
      <c r="C8" s="3661"/>
      <c r="D8" s="2888" t="s">
        <v>2350</v>
      </c>
      <c r="E8" s="2889" t="s">
        <v>2351</v>
      </c>
      <c r="F8" s="2890" t="s">
        <v>2352</v>
      </c>
      <c r="G8" s="2891"/>
      <c r="H8" s="2847"/>
      <c r="I8" s="2848"/>
      <c r="J8" s="3656"/>
      <c r="K8" s="3658"/>
      <c r="L8" s="2882" t="s">
        <v>2353</v>
      </c>
      <c r="M8" s="2883">
        <v>7</v>
      </c>
      <c r="N8" s="2859">
        <v>740</v>
      </c>
      <c r="O8" s="2884">
        <v>1</v>
      </c>
      <c r="P8" s="2884">
        <v>0.4</v>
      </c>
      <c r="Q8" s="2885">
        <v>365</v>
      </c>
      <c r="R8" s="2886">
        <f t="shared" ref="R8:R13" si="0">ROUND(M8*N8*O8*P8*Q8/10000,0)</f>
        <v>76</v>
      </c>
      <c r="S8" s="2840"/>
      <c r="T8" s="2840" t="s">
        <v>2354</v>
      </c>
      <c r="U8" s="2840"/>
      <c r="V8" s="2848"/>
    </row>
    <row r="9" spans="1:22" s="2852" customFormat="1" ht="13.15" customHeight="1">
      <c r="A9" s="2887">
        <v>1</v>
      </c>
      <c r="B9" s="3660" t="s">
        <v>2355</v>
      </c>
      <c r="C9" s="3661"/>
      <c r="D9" s="2888">
        <f>ROUND(D6*E9,0)</f>
        <v>512</v>
      </c>
      <c r="E9" s="2892">
        <v>0.15</v>
      </c>
      <c r="F9" s="2893" t="s">
        <v>2356</v>
      </c>
      <c r="G9" s="2872"/>
      <c r="H9" s="2847"/>
      <c r="I9" s="2848"/>
      <c r="J9" s="3656"/>
      <c r="K9" s="3658"/>
      <c r="L9" s="2882" t="s">
        <v>2357</v>
      </c>
      <c r="M9" s="2883">
        <v>35</v>
      </c>
      <c r="N9" s="2859">
        <v>420</v>
      </c>
      <c r="O9" s="2884">
        <v>1</v>
      </c>
      <c r="P9" s="2884">
        <v>0.7</v>
      </c>
      <c r="Q9" s="2885">
        <v>365</v>
      </c>
      <c r="R9" s="2886">
        <f t="shared" si="0"/>
        <v>376</v>
      </c>
      <c r="S9" s="2840"/>
      <c r="T9" s="2840"/>
      <c r="U9" s="2840"/>
      <c r="V9" s="2848"/>
    </row>
    <row r="10" spans="1:22" s="2852" customFormat="1" ht="13.15" customHeight="1">
      <c r="A10" s="2887">
        <v>2</v>
      </c>
      <c r="B10" s="3660" t="s">
        <v>2358</v>
      </c>
      <c r="C10" s="3661"/>
      <c r="D10" s="2888">
        <f>ROUND(D6*E10,0)</f>
        <v>785</v>
      </c>
      <c r="E10" s="2892">
        <v>0.23</v>
      </c>
      <c r="F10" s="2893" t="s">
        <v>2359</v>
      </c>
      <c r="G10" s="2872"/>
      <c r="H10" s="2847"/>
      <c r="I10" s="2848"/>
      <c r="J10" s="3656"/>
      <c r="K10" s="3658"/>
      <c r="L10" s="2882" t="s">
        <v>2360</v>
      </c>
      <c r="M10" s="2883">
        <v>152</v>
      </c>
      <c r="N10" s="2859">
        <v>380</v>
      </c>
      <c r="O10" s="2884">
        <v>1</v>
      </c>
      <c r="P10" s="2884">
        <v>0.7</v>
      </c>
      <c r="Q10" s="2885">
        <v>365</v>
      </c>
      <c r="R10" s="2886">
        <f t="shared" si="0"/>
        <v>1476</v>
      </c>
      <c r="S10" s="2840"/>
      <c r="T10" s="2840"/>
      <c r="U10" s="2840"/>
      <c r="V10" s="2848"/>
    </row>
    <row r="11" spans="1:22" s="2852" customFormat="1" ht="13.15" customHeight="1">
      <c r="A11" s="2887">
        <v>3</v>
      </c>
      <c r="B11" s="3660" t="s">
        <v>2361</v>
      </c>
      <c r="C11" s="3661"/>
      <c r="D11" s="2888">
        <f ca="1">D12+D14+D15+D16</f>
        <v>349.18</v>
      </c>
      <c r="E11" s="2894">
        <f ca="1">D11/D6</f>
        <v>0.1022788517867604</v>
      </c>
      <c r="F11" s="2890"/>
      <c r="G11" s="2891"/>
      <c r="H11" s="2847"/>
      <c r="I11" s="2848"/>
      <c r="J11" s="3656"/>
      <c r="K11" s="3658"/>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662" t="s">
        <v>2364</v>
      </c>
      <c r="C12" s="3663"/>
      <c r="D12" s="2896">
        <f ca="1">ROUND(D13*1.2%*(1-30%),0)</f>
        <v>156</v>
      </c>
      <c r="E12" s="2897">
        <v>1.2E-2</v>
      </c>
      <c r="F12" s="2890" t="s">
        <v>2365</v>
      </c>
      <c r="G12" s="2891"/>
      <c r="H12" s="2847"/>
      <c r="I12" s="2848"/>
      <c r="J12" s="3656"/>
      <c r="K12" s="3658"/>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f ca="1">收益法!C29</f>
        <v>18543</v>
      </c>
      <c r="E13" s="2901"/>
      <c r="F13" s="2890"/>
      <c r="G13" s="2891"/>
      <c r="H13" s="2847"/>
      <c r="I13" s="2848"/>
      <c r="J13" s="3656"/>
      <c r="K13" s="3658"/>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662" t="s">
        <v>2370</v>
      </c>
      <c r="C14" s="3663"/>
      <c r="D14" s="3457">
        <f>ROUND(5452.63*4/10000,2)</f>
        <v>2.1800000000000002</v>
      </c>
      <c r="E14" s="2885"/>
      <c r="F14" s="2890" t="s">
        <v>2371</v>
      </c>
      <c r="G14" s="2891"/>
      <c r="H14" s="2847"/>
      <c r="I14" s="2848"/>
      <c r="J14" s="3656"/>
      <c r="K14" s="3659"/>
      <c r="L14" s="2902" t="s">
        <v>2372</v>
      </c>
      <c r="M14" s="2903">
        <f>SUM(M7:M13)</f>
        <v>195</v>
      </c>
      <c r="N14" s="2903">
        <f>ROUND((N7*M7+N8*M8+N9*M9+N10*M10+N11*M11+N12*M12+N13*M13)/M14,0)</f>
        <v>419</v>
      </c>
      <c r="O14" s="2904"/>
      <c r="P14" s="2904"/>
      <c r="Q14" s="2905"/>
      <c r="R14" s="2851">
        <f>SUM(R7:R13)</f>
        <v>1951</v>
      </c>
      <c r="S14" s="2840"/>
      <c r="T14" s="2840"/>
      <c r="U14" s="2840"/>
      <c r="V14" s="2848"/>
    </row>
    <row r="15" spans="1:22" s="2852" customFormat="1" ht="13.15" customHeight="1">
      <c r="A15" s="2895" t="s">
        <v>2373</v>
      </c>
      <c r="B15" s="3662" t="s">
        <v>2374</v>
      </c>
      <c r="C15" s="3663"/>
      <c r="D15" s="2896">
        <f>ROUND(D6*E15,0)</f>
        <v>191</v>
      </c>
      <c r="E15" s="2897">
        <f>'数据-取费表'!B41</f>
        <v>5.6000000000000001E-2</v>
      </c>
      <c r="F15" s="2890" t="s">
        <v>2375</v>
      </c>
      <c r="G15" s="2872"/>
      <c r="H15" s="2847"/>
      <c r="I15" s="2848"/>
      <c r="J15" s="3656">
        <v>2</v>
      </c>
      <c r="K15" s="3657"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662" t="s">
        <v>2383</v>
      </c>
      <c r="C16" s="3663"/>
      <c r="D16" s="2907">
        <f>D6*E16</f>
        <v>0</v>
      </c>
      <c r="E16" s="2908"/>
      <c r="F16" s="2893" t="s">
        <v>2384</v>
      </c>
      <c r="G16" s="2872"/>
      <c r="H16" s="2847"/>
      <c r="I16" s="2848"/>
      <c r="J16" s="3656"/>
      <c r="K16" s="3658"/>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664" t="s">
        <v>2386</v>
      </c>
      <c r="C17" s="3665"/>
      <c r="D17" s="2910">
        <f>ROUND(D6*E17,0)</f>
        <v>171</v>
      </c>
      <c r="E17" s="2911">
        <v>0.05</v>
      </c>
      <c r="F17" s="2912" t="s">
        <v>2387</v>
      </c>
      <c r="G17" s="2872"/>
      <c r="H17" s="2847"/>
      <c r="I17" s="2848"/>
      <c r="J17" s="3656"/>
      <c r="K17" s="3658"/>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171</v>
      </c>
      <c r="E18" s="2914">
        <v>0.05</v>
      </c>
      <c r="F18" s="2915" t="s">
        <v>2390</v>
      </c>
      <c r="G18" s="2872"/>
      <c r="H18" s="2847"/>
      <c r="I18" s="2848"/>
      <c r="J18" s="3656"/>
      <c r="K18" s="3658"/>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656"/>
      <c r="K19" s="3659"/>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6">
        <v>3</v>
      </c>
      <c r="K20" s="3657"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656"/>
      <c r="K21" s="3658"/>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656"/>
      <c r="K22" s="3658"/>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3414</v>
      </c>
      <c r="D23" s="2933">
        <f>C23*(1+D24)</f>
        <v>3414</v>
      </c>
      <c r="E23" s="2934">
        <f>D23*(1+E24)</f>
        <v>3414</v>
      </c>
      <c r="F23" s="2935"/>
      <c r="G23" s="2936"/>
      <c r="H23" s="2847"/>
      <c r="I23" s="2848"/>
      <c r="J23" s="3656"/>
      <c r="K23" s="3658"/>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656"/>
      <c r="K24" s="3659"/>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0.75</v>
      </c>
      <c r="R25" s="2918">
        <f>ROUND(R14*Q25,0)</f>
        <v>1463</v>
      </c>
      <c r="S25" s="2840"/>
      <c r="T25" s="2840"/>
      <c r="U25" s="2840"/>
      <c r="V25" s="2948"/>
    </row>
    <row r="26" spans="1:22" s="2949" customFormat="1" ht="13.15" customHeight="1">
      <c r="A26" s="2930">
        <v>2</v>
      </c>
      <c r="B26" s="2931" t="s">
        <v>2413</v>
      </c>
      <c r="C26" s="2932">
        <f ca="1">D7</f>
        <v>1817.18</v>
      </c>
      <c r="D26" s="2933">
        <f ca="1">D23*D27</f>
        <v>1817.1999999999998</v>
      </c>
      <c r="E26" s="2934">
        <f ca="1">E23*E27</f>
        <v>1817.1999999999998</v>
      </c>
      <c r="F26" s="2935"/>
      <c r="G26" s="2936"/>
      <c r="H26" s="2847"/>
      <c r="I26" s="2848"/>
      <c r="J26" s="3666">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f ca="1">E7</f>
        <v>0.53227885178676038</v>
      </c>
      <c r="D27" s="2940">
        <f ca="1">C27</f>
        <v>0.53227885178676038</v>
      </c>
      <c r="E27" s="2941">
        <f ca="1">C27</f>
        <v>0.53227885178676038</v>
      </c>
      <c r="F27" s="2942"/>
      <c r="G27" s="2936"/>
      <c r="H27" s="2957"/>
      <c r="I27" s="2948"/>
      <c r="J27" s="366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170.70000000000002</v>
      </c>
      <c r="D29" s="2933">
        <f>D23*C30</f>
        <v>170.70000000000002</v>
      </c>
      <c r="E29" s="2934">
        <f>E23*C30</f>
        <v>170.70000000000002</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0.05</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 ca="1">C23-C26-C29</f>
        <v>1426.12</v>
      </c>
      <c r="D32" s="2933">
        <f ca="1">D23-D26-D29</f>
        <v>1426.1000000000001</v>
      </c>
      <c r="E32" s="2934">
        <f ca="1">E23-E26-E29</f>
        <v>1426.1000000000001</v>
      </c>
      <c r="F32" s="2935"/>
      <c r="G32" s="2929"/>
      <c r="H32" s="2847"/>
      <c r="I32" s="2848"/>
      <c r="J32" s="3649" t="s">
        <v>2319</v>
      </c>
      <c r="K32" s="3650"/>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651" t="s">
        <v>2329</v>
      </c>
      <c r="K33" s="3652"/>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f>'数据-取费表'!I6</f>
        <v>5.5E-2</v>
      </c>
      <c r="D34" s="2977">
        <f>C34</f>
        <v>5.5E-2</v>
      </c>
      <c r="E34" s="2978">
        <f>C34</f>
        <v>5.5E-2</v>
      </c>
      <c r="F34" s="2935"/>
      <c r="G34" s="2929"/>
      <c r="H34" s="2957"/>
      <c r="I34" s="2948"/>
      <c r="J34" s="3651" t="s">
        <v>2331</v>
      </c>
      <c r="K34" s="365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v>0.03</v>
      </c>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f>项目基本情况!E15</f>
        <v>38.58</v>
      </c>
      <c r="D36" s="2987"/>
      <c r="E36" s="2988"/>
      <c r="F36" s="2989">
        <f>C36+D36+E36</f>
        <v>38.58</v>
      </c>
      <c r="G36" s="2929"/>
      <c r="H36" s="2847"/>
      <c r="I36" s="2848"/>
      <c r="J36" s="3656">
        <v>1</v>
      </c>
      <c r="K36" s="3657"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56"/>
      <c r="K37" s="3658"/>
      <c r="L37" s="2882"/>
      <c r="M37" s="2883"/>
      <c r="N37" s="2859"/>
      <c r="O37" s="2884"/>
      <c r="P37" s="2884"/>
      <c r="Q37" s="2885"/>
      <c r="R37" s="2886"/>
      <c r="S37" s="2921"/>
      <c r="T37" s="2840" t="s">
        <v>2347</v>
      </c>
      <c r="U37" s="2840"/>
      <c r="V37" s="2848"/>
    </row>
    <row r="38" spans="1:23" s="2852" customFormat="1" ht="13.15" customHeight="1">
      <c r="A38" s="2930">
        <v>8</v>
      </c>
      <c r="B38" s="2931"/>
      <c r="C38" s="2888">
        <f ca="1">ROUND(C32*(1-((1+C35)/(1+C34))^C36)/(C34-C35),0)</f>
        <v>34430</v>
      </c>
      <c r="D38" s="2888">
        <f ca="1">IF(D23=0,0,ROUND(D32*(1-((1+D35)/(1+D34))^D36)/(D34-D35),0))</f>
        <v>0</v>
      </c>
      <c r="E38" s="2888">
        <f ca="1">IF(E23=0,0,ROUND(E32*(1-((1+E35)/(1+E34))^E36)/(E34-E35),0))</f>
        <v>0</v>
      </c>
      <c r="F38" s="2935"/>
      <c r="G38" s="2929"/>
      <c r="H38" s="2847"/>
      <c r="I38" s="2848"/>
      <c r="J38" s="3656"/>
      <c r="K38" s="3658"/>
      <c r="L38" s="2882"/>
      <c r="M38" s="2883"/>
      <c r="N38" s="2859"/>
      <c r="O38" s="2884"/>
      <c r="P38" s="2884"/>
      <c r="Q38" s="2885"/>
      <c r="R38" s="2886"/>
      <c r="S38" s="2921"/>
      <c r="T38" s="2840" t="s">
        <v>2354</v>
      </c>
      <c r="U38" s="2840"/>
      <c r="V38" s="2848"/>
    </row>
    <row r="39" spans="1:23" s="2852" customFormat="1" ht="13.15" customHeight="1">
      <c r="A39" s="2930">
        <v>9</v>
      </c>
      <c r="B39" s="2931" t="s">
        <v>2432</v>
      </c>
      <c r="C39" s="2896">
        <f ca="1">C38</f>
        <v>34430</v>
      </c>
      <c r="D39" s="2931">
        <f ca="1">D38/(1+D34)^C36</f>
        <v>0</v>
      </c>
      <c r="E39" s="2931">
        <f ca="1">E38/(1+E34)^(C36+D36)</f>
        <v>0</v>
      </c>
      <c r="F39" s="2935"/>
      <c r="G39" s="2990"/>
      <c r="H39" s="2847"/>
      <c r="I39" s="2848"/>
      <c r="J39" s="3656"/>
      <c r="K39" s="3658"/>
      <c r="L39" s="2882"/>
      <c r="M39" s="2883"/>
      <c r="N39" s="2859"/>
      <c r="O39" s="2884"/>
      <c r="P39" s="2884"/>
      <c r="Q39" s="2885"/>
      <c r="R39" s="2886"/>
      <c r="S39" s="2921"/>
      <c r="T39" s="2840"/>
      <c r="U39" s="2840"/>
      <c r="V39" s="2848"/>
    </row>
    <row r="40" spans="1:23" s="2852" customFormat="1" ht="13.15" customHeight="1">
      <c r="A40" s="2991">
        <v>10</v>
      </c>
      <c r="B40" s="2931" t="s">
        <v>2433</v>
      </c>
      <c r="C40" s="2992">
        <f ca="1">C39+D39+E39</f>
        <v>34430</v>
      </c>
      <c r="D40" s="2993"/>
      <c r="E40" s="2993"/>
      <c r="F40" s="2994"/>
      <c r="G40" s="2929"/>
      <c r="H40" s="2847"/>
      <c r="I40" s="2848"/>
      <c r="J40" s="3656"/>
      <c r="K40" s="3659"/>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f ca="1">ROUND(C40*10000/B4,0)</f>
        <v>20019</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6">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66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disablePrompts="1"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-2847</v>
      </c>
      <c r="C2" s="1872" t="s">
        <v>1651</v>
      </c>
      <c r="D2" s="1873" t="s">
        <v>1652</v>
      </c>
      <c r="E2" s="2606">
        <f>SUM(E6:E13)</f>
        <v>17198.240000000002</v>
      </c>
      <c r="F2" s="2706"/>
      <c r="G2" s="1489"/>
      <c r="H2" s="1489"/>
      <c r="I2" s="1489"/>
      <c r="J2" s="1489"/>
      <c r="K2" s="1489"/>
      <c r="L2" s="1489"/>
      <c r="M2" s="1489"/>
      <c r="N2" s="1489"/>
      <c r="O2" s="1489"/>
      <c r="P2" s="1489"/>
      <c r="Q2" s="1489"/>
      <c r="R2" s="1489"/>
      <c r="S2" s="1489"/>
    </row>
    <row r="3" spans="1:22" ht="15.75">
      <c r="A3" s="1870" t="s">
        <v>686</v>
      </c>
      <c r="B3" s="2600">
        <f ca="1">ROUND(B2*10000/E2,0)</f>
        <v>-1655</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68" t="s">
        <v>1654</v>
      </c>
      <c r="C5" s="3669"/>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v>
      </c>
      <c r="B6" s="2601">
        <f ca="1">IF(F6="是",'数据-取费表'!AO6,0)</f>
        <v>-2847</v>
      </c>
      <c r="C6" s="1872" t="s">
        <v>1651</v>
      </c>
      <c r="D6" s="2708"/>
      <c r="E6" s="2605">
        <f>IF(OR(A6=0,F6="否"),0,'数据-取费表'!K6+'数据-取费表'!S6)</f>
        <v>17198.240000000002</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17198.240000000002</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88" t="s">
        <v>1667</v>
      </c>
      <c r="D4" s="3689"/>
      <c r="E4" s="3690" t="s">
        <v>1668</v>
      </c>
      <c r="F4" s="3691"/>
      <c r="G4" s="3688" t="s">
        <v>1669</v>
      </c>
      <c r="H4" s="3689"/>
      <c r="I4" s="3688" t="s">
        <v>1670</v>
      </c>
      <c r="J4" s="3689"/>
      <c r="K4" s="1889" t="s">
        <v>1671</v>
      </c>
      <c r="L4" s="2714"/>
      <c r="M4" s="2715"/>
      <c r="N4" s="2715"/>
      <c r="O4" s="2715"/>
      <c r="P4" s="3692" t="s">
        <v>1672</v>
      </c>
      <c r="Q4" s="3693"/>
      <c r="R4" s="3675" t="s">
        <v>1668</v>
      </c>
      <c r="S4" s="3676"/>
      <c r="T4" s="3675" t="s">
        <v>1669</v>
      </c>
      <c r="U4" s="3676"/>
      <c r="V4" s="3700" t="s">
        <v>1670</v>
      </c>
      <c r="W4" s="3700"/>
      <c r="X4" s="1355"/>
      <c r="Y4" s="3675" t="s">
        <v>1672</v>
      </c>
      <c r="Z4" s="3676"/>
      <c r="AA4" s="3670" t="s">
        <v>1668</v>
      </c>
      <c r="AB4" s="3670" t="s">
        <v>1669</v>
      </c>
      <c r="AC4" s="3670" t="s">
        <v>1670</v>
      </c>
    </row>
    <row r="5" spans="1:29" ht="15">
      <c r="A5" s="358"/>
      <c r="B5" s="359"/>
      <c r="C5" s="3681" t="s">
        <v>1673</v>
      </c>
      <c r="D5" s="3682"/>
      <c r="E5" s="3679" t="s">
        <v>1674</v>
      </c>
      <c r="F5" s="3680"/>
      <c r="G5" s="3681" t="s">
        <v>1675</v>
      </c>
      <c r="H5" s="3682"/>
      <c r="I5" s="3681" t="s">
        <v>1676</v>
      </c>
      <c r="J5" s="3682"/>
      <c r="K5" s="1890"/>
      <c r="L5" s="2714"/>
      <c r="M5" s="2715"/>
      <c r="N5" s="2715"/>
      <c r="O5" s="2715"/>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1890" t="s">
        <v>1678</v>
      </c>
      <c r="L6" s="2714"/>
      <c r="M6" s="2715"/>
      <c r="N6" s="2715"/>
      <c r="O6" s="2715"/>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45061</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73" t="s">
        <v>1680</v>
      </c>
      <c r="Q7" s="3701"/>
      <c r="R7" s="701" t="s">
        <v>20</v>
      </c>
      <c r="S7" s="702">
        <f t="shared" ref="S7:S15" si="0">F7</f>
        <v>0</v>
      </c>
      <c r="T7" s="701" t="s">
        <v>20</v>
      </c>
      <c r="U7" s="702">
        <f t="shared" ref="U7:U15" si="1">H7</f>
        <v>0</v>
      </c>
      <c r="V7" s="701" t="s">
        <v>20</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73" t="s">
        <v>1683</v>
      </c>
      <c r="Q8" s="3674"/>
      <c r="R8" s="701" t="s">
        <v>20</v>
      </c>
      <c r="S8" s="702">
        <f t="shared" si="0"/>
        <v>100</v>
      </c>
      <c r="T8" s="701" t="s">
        <v>20</v>
      </c>
      <c r="U8" s="702">
        <f t="shared" si="1"/>
        <v>100</v>
      </c>
      <c r="V8" s="701" t="s">
        <v>20</v>
      </c>
      <c r="W8" s="702">
        <f t="shared" si="2"/>
        <v>100</v>
      </c>
      <c r="X8" s="703"/>
      <c r="Y8" s="3673" t="s">
        <v>1683</v>
      </c>
      <c r="Z8" s="367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87"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87"/>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7"/>
      <c r="Q11" s="1343" t="str">
        <f t="shared" si="6"/>
        <v>容积率</v>
      </c>
      <c r="R11" s="701" t="s">
        <v>18</v>
      </c>
      <c r="S11" s="702" t="e">
        <f t="shared" si="0"/>
        <v>#N/A</v>
      </c>
      <c r="T11" s="701" t="s">
        <v>18</v>
      </c>
      <c r="U11" s="702" t="e">
        <f t="shared" si="1"/>
        <v>#N/A</v>
      </c>
      <c r="V11" s="701" t="s">
        <v>18</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87"/>
      <c r="Q12" s="1343">
        <f t="shared" si="6"/>
        <v>111</v>
      </c>
      <c r="R12" s="701" t="s">
        <v>18</v>
      </c>
      <c r="S12" s="702">
        <f t="shared" si="0"/>
        <v>100</v>
      </c>
      <c r="T12" s="701" t="s">
        <v>18</v>
      </c>
      <c r="U12" s="702">
        <f t="shared" si="1"/>
        <v>100</v>
      </c>
      <c r="V12" s="701" t="s">
        <v>18</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87"/>
      <c r="Q13" s="1343">
        <f t="shared" si="6"/>
        <v>111</v>
      </c>
      <c r="R13" s="701" t="s">
        <v>18</v>
      </c>
      <c r="S13" s="702">
        <f t="shared" si="0"/>
        <v>100</v>
      </c>
      <c r="T13" s="701" t="s">
        <v>18</v>
      </c>
      <c r="U13" s="702">
        <f t="shared" si="1"/>
        <v>100</v>
      </c>
      <c r="V13" s="701" t="s">
        <v>18</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87"/>
      <c r="Q14" s="1343">
        <f t="shared" si="6"/>
        <v>111</v>
      </c>
      <c r="R14" s="701" t="s">
        <v>18</v>
      </c>
      <c r="S14" s="702">
        <f t="shared" si="0"/>
        <v>100</v>
      </c>
      <c r="T14" s="701" t="s">
        <v>18</v>
      </c>
      <c r="U14" s="702">
        <f t="shared" si="1"/>
        <v>100</v>
      </c>
      <c r="V14" s="701" t="s">
        <v>18</v>
      </c>
      <c r="W14" s="702">
        <f t="shared" si="2"/>
        <v>100</v>
      </c>
      <c r="X14" s="703"/>
      <c r="Y14" s="361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4" t="s">
        <v>1691</v>
      </c>
      <c r="Q15" s="1352" t="str">
        <f t="shared" si="6"/>
        <v>居住社区成熟度</v>
      </c>
      <c r="R15" s="705" t="s">
        <v>18</v>
      </c>
      <c r="S15" s="706">
        <f t="shared" si="0"/>
        <v>100</v>
      </c>
      <c r="T15" s="705" t="s">
        <v>18</v>
      </c>
      <c r="U15" s="706">
        <f t="shared" si="1"/>
        <v>100</v>
      </c>
      <c r="V15" s="705" t="s">
        <v>18</v>
      </c>
      <c r="W15" s="706">
        <f t="shared" si="2"/>
        <v>100</v>
      </c>
      <c r="X15" s="1355"/>
      <c r="Y15" s="370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15"/>
      <c r="Q16" s="1352"/>
      <c r="R16" s="705"/>
      <c r="S16" s="706"/>
      <c r="T16" s="705"/>
      <c r="U16" s="706"/>
      <c r="V16" s="705"/>
      <c r="W16" s="706"/>
      <c r="X16" s="1355"/>
      <c r="Y16" s="370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5"/>
      <c r="Q17" s="1352" t="str">
        <f>B17</f>
        <v>交通便捷度</v>
      </c>
      <c r="R17" s="705" t="s">
        <v>18</v>
      </c>
      <c r="S17" s="706">
        <f>F17</f>
        <v>100</v>
      </c>
      <c r="T17" s="705" t="s">
        <v>18</v>
      </c>
      <c r="U17" s="706">
        <f>H17</f>
        <v>100</v>
      </c>
      <c r="V17" s="705" t="s">
        <v>18</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15"/>
      <c r="Q18" s="1352"/>
      <c r="R18" s="705"/>
      <c r="S18" s="706"/>
      <c r="T18" s="705"/>
      <c r="U18" s="706"/>
      <c r="V18" s="705"/>
      <c r="W18" s="706"/>
      <c r="X18" s="1355"/>
      <c r="Y18" s="370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5"/>
      <c r="Q19" s="1352" t="str">
        <f>B19</f>
        <v>公共配套设施</v>
      </c>
      <c r="R19" s="705" t="s">
        <v>18</v>
      </c>
      <c r="S19" s="706">
        <f>F19</f>
        <v>100</v>
      </c>
      <c r="T19" s="705" t="s">
        <v>18</v>
      </c>
      <c r="U19" s="706">
        <f>H19</f>
        <v>100</v>
      </c>
      <c r="V19" s="705" t="s">
        <v>18</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15"/>
      <c r="Q20" s="1352"/>
      <c r="R20" s="705"/>
      <c r="S20" s="706"/>
      <c r="T20" s="705"/>
      <c r="U20" s="706"/>
      <c r="V20" s="705"/>
      <c r="W20" s="706"/>
      <c r="X20" s="1355"/>
      <c r="Y20" s="370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15"/>
      <c r="Q22" s="1352"/>
      <c r="R22" s="705"/>
      <c r="S22" s="706"/>
      <c r="T22" s="705"/>
      <c r="U22" s="706"/>
      <c r="V22" s="705"/>
      <c r="W22" s="706"/>
      <c r="X22" s="1355"/>
      <c r="Y22" s="370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5"/>
      <c r="Q23" s="1352" t="str">
        <f>B23</f>
        <v>自然及人文环境</v>
      </c>
      <c r="R23" s="705" t="s">
        <v>18</v>
      </c>
      <c r="S23" s="706">
        <f>F23</f>
        <v>100</v>
      </c>
      <c r="T23" s="705" t="s">
        <v>18</v>
      </c>
      <c r="U23" s="706">
        <f>H23</f>
        <v>100</v>
      </c>
      <c r="V23" s="705" t="s">
        <v>18</v>
      </c>
      <c r="W23" s="706">
        <f>J23</f>
        <v>100</v>
      </c>
      <c r="X23" s="1355"/>
      <c r="Y23" s="370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15"/>
      <c r="Q24" s="1352"/>
      <c r="R24" s="705"/>
      <c r="S24" s="706"/>
      <c r="T24" s="705"/>
      <c r="U24" s="706"/>
      <c r="V24" s="705"/>
      <c r="W24" s="706"/>
      <c r="X24" s="1355"/>
      <c r="Y24" s="370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1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15"/>
      <c r="Q26" s="1352" t="str">
        <f t="shared" si="11"/>
        <v>朝向</v>
      </c>
      <c r="R26" s="705" t="s">
        <v>18</v>
      </c>
      <c r="S26" s="706">
        <f t="shared" si="12"/>
        <v>100</v>
      </c>
      <c r="T26" s="705" t="s">
        <v>18</v>
      </c>
      <c r="U26" s="706">
        <f t="shared" si="13"/>
        <v>100</v>
      </c>
      <c r="V26" s="705" t="s">
        <v>18</v>
      </c>
      <c r="W26" s="706">
        <f t="shared" si="14"/>
        <v>100</v>
      </c>
      <c r="X26" s="1355"/>
      <c r="Y26" s="370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15"/>
      <c r="Q27" s="1343">
        <f t="shared" si="11"/>
        <v>111</v>
      </c>
      <c r="R27" s="701" t="s">
        <v>18</v>
      </c>
      <c r="S27" s="702">
        <f t="shared" si="12"/>
        <v>100</v>
      </c>
      <c r="T27" s="701" t="s">
        <v>18</v>
      </c>
      <c r="U27" s="702">
        <f t="shared" si="13"/>
        <v>100</v>
      </c>
      <c r="V27" s="701" t="s">
        <v>18</v>
      </c>
      <c r="W27" s="702">
        <f t="shared" si="14"/>
        <v>100</v>
      </c>
      <c r="X27" s="703"/>
      <c r="Y27" s="370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15"/>
      <c r="Q28" s="1352">
        <f t="shared" si="11"/>
        <v>111</v>
      </c>
      <c r="R28" s="705" t="s">
        <v>18</v>
      </c>
      <c r="S28" s="706">
        <f t="shared" si="12"/>
        <v>100</v>
      </c>
      <c r="T28" s="705" t="s">
        <v>18</v>
      </c>
      <c r="U28" s="706">
        <f t="shared" si="13"/>
        <v>100</v>
      </c>
      <c r="V28" s="705" t="s">
        <v>18</v>
      </c>
      <c r="W28" s="706">
        <f t="shared" si="14"/>
        <v>100</v>
      </c>
      <c r="X28" s="1355"/>
      <c r="Y28" s="370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15"/>
      <c r="Q29" s="1352">
        <f t="shared" si="11"/>
        <v>111</v>
      </c>
      <c r="R29" s="705" t="s">
        <v>18</v>
      </c>
      <c r="S29" s="706">
        <f t="shared" si="12"/>
        <v>100</v>
      </c>
      <c r="T29" s="705" t="s">
        <v>18</v>
      </c>
      <c r="U29" s="706">
        <f t="shared" si="13"/>
        <v>100</v>
      </c>
      <c r="V29" s="705" t="s">
        <v>18</v>
      </c>
      <c r="W29" s="706">
        <f t="shared" si="14"/>
        <v>100</v>
      </c>
      <c r="X29" s="1355"/>
      <c r="Y29" s="370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15"/>
      <c r="Q30" s="1352">
        <f t="shared" si="11"/>
        <v>111</v>
      </c>
      <c r="R30" s="705" t="s">
        <v>18</v>
      </c>
      <c r="S30" s="706">
        <f t="shared" si="12"/>
        <v>100</v>
      </c>
      <c r="T30" s="705" t="s">
        <v>18</v>
      </c>
      <c r="U30" s="706">
        <f t="shared" si="13"/>
        <v>100</v>
      </c>
      <c r="V30" s="705" t="s">
        <v>18</v>
      </c>
      <c r="W30" s="706">
        <f t="shared" si="14"/>
        <v>100</v>
      </c>
      <c r="X30" s="1355"/>
      <c r="Y30" s="370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15"/>
      <c r="Q31" s="1352">
        <f t="shared" si="11"/>
        <v>111</v>
      </c>
      <c r="R31" s="705" t="s">
        <v>18</v>
      </c>
      <c r="S31" s="706">
        <f t="shared" si="12"/>
        <v>100</v>
      </c>
      <c r="T31" s="705" t="s">
        <v>18</v>
      </c>
      <c r="U31" s="706">
        <f t="shared" si="13"/>
        <v>100</v>
      </c>
      <c r="V31" s="705" t="s">
        <v>18</v>
      </c>
      <c r="W31" s="706">
        <f t="shared" si="14"/>
        <v>100</v>
      </c>
      <c r="X31" s="1355"/>
      <c r="Y31" s="370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09" t="s">
        <v>1696</v>
      </c>
      <c r="Q32" s="1352" t="str">
        <f t="shared" si="11"/>
        <v>建筑类型</v>
      </c>
      <c r="R32" s="705" t="s">
        <v>18</v>
      </c>
      <c r="S32" s="706">
        <f t="shared" si="12"/>
        <v>100</v>
      </c>
      <c r="T32" s="705" t="s">
        <v>18</v>
      </c>
      <c r="U32" s="706">
        <f t="shared" si="13"/>
        <v>100</v>
      </c>
      <c r="V32" s="705" t="s">
        <v>18</v>
      </c>
      <c r="W32" s="706">
        <f t="shared" si="14"/>
        <v>100</v>
      </c>
      <c r="X32" s="1355"/>
      <c r="Y32" s="371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10"/>
      <c r="Q33" s="707" t="str">
        <f t="shared" si="11"/>
        <v>项目建筑规模</v>
      </c>
      <c r="R33" s="708" t="s">
        <v>18</v>
      </c>
      <c r="S33" s="709" t="e">
        <f t="shared" si="12"/>
        <v>#N/A</v>
      </c>
      <c r="T33" s="708" t="s">
        <v>18</v>
      </c>
      <c r="U33" s="709" t="e">
        <f t="shared" si="13"/>
        <v>#N/A</v>
      </c>
      <c r="V33" s="708" t="s">
        <v>18</v>
      </c>
      <c r="W33" s="709" t="e">
        <f t="shared" si="14"/>
        <v>#N/A</v>
      </c>
      <c r="X33" s="710"/>
      <c r="Y33" s="371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10"/>
      <c r="Q34" s="1352" t="str">
        <f t="shared" si="11"/>
        <v>建筑结构</v>
      </c>
      <c r="R34" s="705" t="s">
        <v>18</v>
      </c>
      <c r="S34" s="706">
        <f t="shared" si="12"/>
        <v>100</v>
      </c>
      <c r="T34" s="705" t="s">
        <v>18</v>
      </c>
      <c r="U34" s="706">
        <f t="shared" si="13"/>
        <v>100</v>
      </c>
      <c r="V34" s="705" t="s">
        <v>18</v>
      </c>
      <c r="W34" s="706">
        <f t="shared" si="14"/>
        <v>100</v>
      </c>
      <c r="X34" s="1355"/>
      <c r="Y34" s="371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10"/>
      <c r="Q35" s="1352" t="str">
        <f t="shared" si="11"/>
        <v>建筑品质</v>
      </c>
      <c r="R35" s="705" t="s">
        <v>18</v>
      </c>
      <c r="S35" s="706">
        <f t="shared" si="12"/>
        <v>100</v>
      </c>
      <c r="T35" s="705" t="s">
        <v>18</v>
      </c>
      <c r="U35" s="706">
        <f t="shared" si="13"/>
        <v>100</v>
      </c>
      <c r="V35" s="705" t="s">
        <v>18</v>
      </c>
      <c r="W35" s="706">
        <f t="shared" si="14"/>
        <v>100</v>
      </c>
      <c r="X35" s="1355"/>
      <c r="Y35" s="371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10"/>
      <c r="Q36" s="1352" t="str">
        <f t="shared" si="11"/>
        <v>公共部分装修</v>
      </c>
      <c r="R36" s="705" t="s">
        <v>18</v>
      </c>
      <c r="S36" s="706">
        <f t="shared" si="12"/>
        <v>100</v>
      </c>
      <c r="T36" s="705" t="s">
        <v>18</v>
      </c>
      <c r="U36" s="706">
        <f t="shared" si="13"/>
        <v>100</v>
      </c>
      <c r="V36" s="705" t="s">
        <v>18</v>
      </c>
      <c r="W36" s="706">
        <f t="shared" si="14"/>
        <v>100</v>
      </c>
      <c r="X36" s="1355"/>
      <c r="Y36" s="371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0"/>
      <c r="Q37" s="1343" t="str">
        <f t="shared" si="11"/>
        <v>成新度</v>
      </c>
      <c r="R37" s="701" t="s">
        <v>18</v>
      </c>
      <c r="S37" s="702" t="e">
        <f t="shared" si="12"/>
        <v>#N/A</v>
      </c>
      <c r="T37" s="701" t="s">
        <v>18</v>
      </c>
      <c r="U37" s="702" t="e">
        <f t="shared" si="13"/>
        <v>#N/A</v>
      </c>
      <c r="V37" s="701" t="s">
        <v>18</v>
      </c>
      <c r="W37" s="702" t="e">
        <f t="shared" si="14"/>
        <v>#N/A</v>
      </c>
      <c r="X37" s="703"/>
      <c r="Y37" s="371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10" t="s">
        <v>1696</v>
      </c>
      <c r="Q38" s="1352" t="str">
        <f t="shared" si="11"/>
        <v>物业管理</v>
      </c>
      <c r="R38" s="705" t="s">
        <v>18</v>
      </c>
      <c r="S38" s="706">
        <f t="shared" si="12"/>
        <v>100</v>
      </c>
      <c r="T38" s="705" t="s">
        <v>18</v>
      </c>
      <c r="U38" s="706">
        <f t="shared" si="13"/>
        <v>100</v>
      </c>
      <c r="V38" s="705" t="s">
        <v>18</v>
      </c>
      <c r="W38" s="706">
        <f t="shared" si="14"/>
        <v>100</v>
      </c>
      <c r="X38" s="1355"/>
      <c r="Y38" s="371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10"/>
      <c r="Q39" s="1352" t="str">
        <f t="shared" si="11"/>
        <v>市政基础设施</v>
      </c>
      <c r="R39" s="705" t="s">
        <v>18</v>
      </c>
      <c r="S39" s="706">
        <f t="shared" si="12"/>
        <v>100</v>
      </c>
      <c r="T39" s="705" t="s">
        <v>18</v>
      </c>
      <c r="U39" s="706">
        <f t="shared" si="13"/>
        <v>100</v>
      </c>
      <c r="V39" s="705" t="s">
        <v>18</v>
      </c>
      <c r="W39" s="706">
        <f t="shared" si="14"/>
        <v>100</v>
      </c>
      <c r="X39" s="1355"/>
      <c r="Y39" s="371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10"/>
      <c r="Q40" s="1352" t="str">
        <f t="shared" si="11"/>
        <v>房型</v>
      </c>
      <c r="R40" s="705" t="s">
        <v>18</v>
      </c>
      <c r="S40" s="706">
        <f t="shared" si="12"/>
        <v>100</v>
      </c>
      <c r="T40" s="705" t="s">
        <v>18</v>
      </c>
      <c r="U40" s="706">
        <f t="shared" si="13"/>
        <v>100</v>
      </c>
      <c r="V40" s="705" t="s">
        <v>18</v>
      </c>
      <c r="W40" s="706">
        <f t="shared" si="14"/>
        <v>100</v>
      </c>
      <c r="X40" s="1355"/>
      <c r="Y40" s="371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10"/>
      <c r="Q41" s="707" t="str">
        <f t="shared" si="11"/>
        <v>单套/主力户型建筑面积</v>
      </c>
      <c r="R41" s="708" t="s">
        <v>18</v>
      </c>
      <c r="S41" s="709">
        <f t="shared" si="12"/>
        <v>100</v>
      </c>
      <c r="T41" s="708" t="s">
        <v>18</v>
      </c>
      <c r="U41" s="709">
        <f t="shared" si="13"/>
        <v>100</v>
      </c>
      <c r="V41" s="708" t="s">
        <v>18</v>
      </c>
      <c r="W41" s="709">
        <f t="shared" si="14"/>
        <v>100</v>
      </c>
      <c r="X41" s="710"/>
      <c r="Y41" s="371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10"/>
      <c r="Q42" s="1352" t="str">
        <f t="shared" si="11"/>
        <v>内部装修</v>
      </c>
      <c r="R42" s="705" t="s">
        <v>18</v>
      </c>
      <c r="S42" s="706">
        <f t="shared" si="12"/>
        <v>100</v>
      </c>
      <c r="T42" s="705" t="s">
        <v>18</v>
      </c>
      <c r="U42" s="706">
        <f t="shared" si="13"/>
        <v>100</v>
      </c>
      <c r="V42" s="705" t="s">
        <v>18</v>
      </c>
      <c r="W42" s="706">
        <f t="shared" si="14"/>
        <v>100</v>
      </c>
      <c r="X42" s="1355"/>
      <c r="Y42" s="371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10"/>
      <c r="Q43" s="1352" t="str">
        <f t="shared" si="11"/>
        <v>内部装修维护情况</v>
      </c>
      <c r="R43" s="705" t="s">
        <v>18</v>
      </c>
      <c r="S43" s="706">
        <f t="shared" si="12"/>
        <v>100</v>
      </c>
      <c r="T43" s="705" t="s">
        <v>18</v>
      </c>
      <c r="U43" s="706">
        <f t="shared" si="13"/>
        <v>100</v>
      </c>
      <c r="V43" s="705" t="s">
        <v>18</v>
      </c>
      <c r="W43" s="706">
        <f t="shared" si="14"/>
        <v>100</v>
      </c>
      <c r="X43" s="1355"/>
      <c r="Y43" s="371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10"/>
      <c r="Q44" s="1343">
        <f t="shared" si="11"/>
        <v>111</v>
      </c>
      <c r="R44" s="701" t="s">
        <v>18</v>
      </c>
      <c r="S44" s="702">
        <f t="shared" si="12"/>
        <v>100</v>
      </c>
      <c r="T44" s="701" t="s">
        <v>18</v>
      </c>
      <c r="U44" s="702">
        <f t="shared" si="13"/>
        <v>100</v>
      </c>
      <c r="V44" s="701" t="s">
        <v>18</v>
      </c>
      <c r="W44" s="702">
        <f t="shared" si="14"/>
        <v>100</v>
      </c>
      <c r="X44" s="703"/>
      <c r="Y44" s="371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10"/>
      <c r="Q45" s="1352">
        <f t="shared" si="11"/>
        <v>111</v>
      </c>
      <c r="R45" s="705" t="s">
        <v>18</v>
      </c>
      <c r="S45" s="706">
        <f t="shared" si="12"/>
        <v>100</v>
      </c>
      <c r="T45" s="705" t="s">
        <v>18</v>
      </c>
      <c r="U45" s="706">
        <f t="shared" si="13"/>
        <v>100</v>
      </c>
      <c r="V45" s="705" t="s">
        <v>18</v>
      </c>
      <c r="W45" s="706">
        <f t="shared" si="14"/>
        <v>100</v>
      </c>
      <c r="X45" s="1355"/>
      <c r="Y45" s="371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11"/>
      <c r="Q46" s="1352">
        <f t="shared" si="11"/>
        <v>111</v>
      </c>
      <c r="R46" s="705" t="s">
        <v>17</v>
      </c>
      <c r="S46" s="706">
        <f t="shared" si="12"/>
        <v>100</v>
      </c>
      <c r="T46" s="705" t="s">
        <v>17</v>
      </c>
      <c r="U46" s="706">
        <f t="shared" si="13"/>
        <v>100</v>
      </c>
      <c r="V46" s="705" t="s">
        <v>17</v>
      </c>
      <c r="W46" s="706">
        <f t="shared" si="14"/>
        <v>100</v>
      </c>
      <c r="X46" s="1355"/>
      <c r="Y46" s="371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05" t="str">
        <f>A47</f>
        <v>成交单价（元/平方米）</v>
      </c>
      <c r="Q47" s="3705"/>
      <c r="R47" s="3706">
        <f>E47</f>
        <v>0</v>
      </c>
      <c r="S47" s="3706"/>
      <c r="T47" s="3706">
        <f>G47</f>
        <v>0</v>
      </c>
      <c r="U47" s="3706"/>
      <c r="V47" s="3706">
        <f>I47</f>
        <v>0</v>
      </c>
      <c r="W47" s="3706"/>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3"/>
      <c r="M48" s="2724"/>
      <c r="N48" s="2724"/>
      <c r="O48" s="2724"/>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17198.240000000002</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75" t="s">
        <v>1771</v>
      </c>
      <c r="S4" s="3676"/>
      <c r="T4" s="3675" t="s">
        <v>1772</v>
      </c>
      <c r="U4" s="3676"/>
      <c r="V4" s="3700" t="s">
        <v>1773</v>
      </c>
      <c r="W4" s="3700"/>
      <c r="X4" s="1355"/>
      <c r="Y4" s="3675" t="s">
        <v>1775</v>
      </c>
      <c r="Z4" s="3676"/>
      <c r="AA4" s="3670" t="s">
        <v>1771</v>
      </c>
      <c r="AB4" s="3700" t="s">
        <v>1772</v>
      </c>
      <c r="AC4" s="3670" t="s">
        <v>1773</v>
      </c>
    </row>
    <row r="5" spans="1:29" ht="15">
      <c r="A5" s="358"/>
      <c r="B5" s="359"/>
      <c r="C5" s="3681" t="s">
        <v>1673</v>
      </c>
      <c r="D5" s="3682"/>
      <c r="E5" s="3679" t="s">
        <v>1674</v>
      </c>
      <c r="F5" s="3680"/>
      <c r="G5" s="3681" t="s">
        <v>1675</v>
      </c>
      <c r="H5" s="3682"/>
      <c r="I5" s="3681" t="s">
        <v>1676</v>
      </c>
      <c r="J5" s="3682"/>
      <c r="K5" s="559"/>
      <c r="L5" s="2714"/>
      <c r="M5" s="2715"/>
      <c r="N5" s="2715"/>
      <c r="O5" s="2715"/>
      <c r="P5" s="3694"/>
      <c r="Q5" s="3695"/>
      <c r="R5" s="3677"/>
      <c r="S5" s="3678"/>
      <c r="T5" s="3677"/>
      <c r="U5" s="3678"/>
      <c r="V5" s="3700"/>
      <c r="W5" s="3700"/>
      <c r="X5" s="1355"/>
      <c r="Y5" s="3677"/>
      <c r="Z5" s="3678"/>
      <c r="AA5" s="3671"/>
      <c r="AB5" s="3700"/>
      <c r="AC5" s="3671"/>
    </row>
    <row r="6" spans="1:29" ht="15.75" thickBot="1">
      <c r="A6" s="360"/>
      <c r="B6" s="361"/>
      <c r="C6" s="3683" t="s">
        <v>1677</v>
      </c>
      <c r="D6" s="3684"/>
      <c r="E6" s="3685" t="s">
        <v>1677</v>
      </c>
      <c r="F6" s="3686"/>
      <c r="G6" s="3683" t="s">
        <v>1677</v>
      </c>
      <c r="H6" s="3684"/>
      <c r="I6" s="3683" t="s">
        <v>1677</v>
      </c>
      <c r="J6" s="3684"/>
      <c r="K6" s="559" t="s">
        <v>1678</v>
      </c>
      <c r="L6" s="2714"/>
      <c r="M6" s="2715"/>
      <c r="N6" s="2715"/>
      <c r="O6" s="2715"/>
      <c r="P6" s="3696"/>
      <c r="Q6" s="3697"/>
      <c r="R6" s="3677"/>
      <c r="S6" s="3678"/>
      <c r="T6" s="3698"/>
      <c r="U6" s="3699"/>
      <c r="V6" s="3700"/>
      <c r="W6" s="3700"/>
      <c r="X6" s="1355"/>
      <c r="Y6" s="3698"/>
      <c r="Z6" s="3699"/>
      <c r="AA6" s="3672"/>
      <c r="AB6" s="3700"/>
      <c r="AC6" s="3672"/>
    </row>
    <row r="7" spans="1:29" s="108" customFormat="1" ht="15.75" thickBot="1">
      <c r="A7" s="362" t="s">
        <v>1679</v>
      </c>
      <c r="B7" s="363"/>
      <c r="C7" s="364">
        <f>'数据-取费表'!B2</f>
        <v>45061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73" t="s">
        <v>1683</v>
      </c>
      <c r="Q8" s="3674"/>
      <c r="R8" s="701" t="s">
        <v>14</v>
      </c>
      <c r="S8" s="702">
        <f t="shared" si="0"/>
        <v>100</v>
      </c>
      <c r="T8" s="701" t="s">
        <v>14</v>
      </c>
      <c r="U8" s="702">
        <f t="shared" si="1"/>
        <v>100</v>
      </c>
      <c r="V8" s="701" t="s">
        <v>14</v>
      </c>
      <c r="W8" s="702">
        <f t="shared" si="2"/>
        <v>100</v>
      </c>
      <c r="X8" s="703"/>
      <c r="Y8" s="3673" t="s">
        <v>1683</v>
      </c>
      <c r="Z8" s="367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7"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7"/>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7"/>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7"/>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7"/>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7"/>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14" t="s">
        <v>1691</v>
      </c>
      <c r="Q15" s="1352" t="str">
        <f t="shared" si="6"/>
        <v>商业繁华度</v>
      </c>
      <c r="R15" s="705" t="s">
        <v>14</v>
      </c>
      <c r="S15" s="706">
        <f t="shared" si="0"/>
        <v>100</v>
      </c>
      <c r="T15" s="705" t="s">
        <v>14</v>
      </c>
      <c r="U15" s="706">
        <f t="shared" si="1"/>
        <v>100</v>
      </c>
      <c r="V15" s="705" t="s">
        <v>14</v>
      </c>
      <c r="W15" s="706">
        <f t="shared" si="2"/>
        <v>100</v>
      </c>
      <c r="X15" s="1355"/>
      <c r="Y15" s="370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15"/>
      <c r="Q16" s="1352"/>
      <c r="R16" s="705"/>
      <c r="S16" s="706"/>
      <c r="T16" s="705"/>
      <c r="U16" s="706"/>
      <c r="V16" s="705"/>
      <c r="W16" s="706"/>
      <c r="X16" s="1355"/>
      <c r="Y16" s="370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15"/>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15"/>
      <c r="Q18" s="1352"/>
      <c r="R18" s="705"/>
      <c r="S18" s="706"/>
      <c r="T18" s="705"/>
      <c r="U18" s="706"/>
      <c r="V18" s="705"/>
      <c r="W18" s="706"/>
      <c r="X18" s="1355"/>
      <c r="Y18" s="370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15"/>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15"/>
      <c r="Q20" s="1352"/>
      <c r="R20" s="705"/>
      <c r="S20" s="706"/>
      <c r="T20" s="705"/>
      <c r="U20" s="706"/>
      <c r="V20" s="705"/>
      <c r="W20" s="706"/>
      <c r="X20" s="1355"/>
      <c r="Y20" s="370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15"/>
      <c r="Q22" s="1352"/>
      <c r="R22" s="705"/>
      <c r="S22" s="706"/>
      <c r="T22" s="705"/>
      <c r="U22" s="706"/>
      <c r="V22" s="705"/>
      <c r="W22" s="706"/>
      <c r="X22" s="1355"/>
      <c r="Y22" s="370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15"/>
      <c r="Q23" s="1352" t="str">
        <f>B23</f>
        <v>自然及人文环境</v>
      </c>
      <c r="R23" s="705" t="s">
        <v>14</v>
      </c>
      <c r="S23" s="706">
        <f>F23</f>
        <v>100</v>
      </c>
      <c r="T23" s="705" t="s">
        <v>14</v>
      </c>
      <c r="U23" s="706">
        <f>H23</f>
        <v>100</v>
      </c>
      <c r="V23" s="705" t="s">
        <v>14</v>
      </c>
      <c r="W23" s="706">
        <f>J23</f>
        <v>100</v>
      </c>
      <c r="X23" s="1355"/>
      <c r="Y23" s="370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15"/>
      <c r="Q24" s="1352"/>
      <c r="R24" s="705"/>
      <c r="S24" s="706"/>
      <c r="T24" s="705"/>
      <c r="U24" s="706"/>
      <c r="V24" s="705"/>
      <c r="W24" s="706"/>
      <c r="X24" s="1355"/>
      <c r="Y24" s="370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15"/>
      <c r="Q25" s="1352" t="str">
        <f t="shared" ref="Q25:Q46" si="11">B25</f>
        <v>临街状况</v>
      </c>
      <c r="R25" s="705" t="s">
        <v>14</v>
      </c>
      <c r="S25" s="706">
        <f>F25</f>
        <v>100</v>
      </c>
      <c r="T25" s="705" t="s">
        <v>14</v>
      </c>
      <c r="U25" s="706">
        <f>H25</f>
        <v>100</v>
      </c>
      <c r="V25" s="705" t="s">
        <v>14</v>
      </c>
      <c r="W25" s="706">
        <f>J25</f>
        <v>100</v>
      </c>
      <c r="X25" s="1355"/>
      <c r="Y25" s="370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15"/>
      <c r="Q26" s="1352" t="str">
        <f t="shared" si="11"/>
        <v>平面位置/可视性</v>
      </c>
      <c r="R26" s="705" t="s">
        <v>14</v>
      </c>
      <c r="S26" s="706">
        <f>F26</f>
        <v>100</v>
      </c>
      <c r="T26" s="705" t="s">
        <v>14</v>
      </c>
      <c r="U26" s="706">
        <f>H26</f>
        <v>100</v>
      </c>
      <c r="V26" s="705" t="s">
        <v>14</v>
      </c>
      <c r="W26" s="706">
        <f>J26</f>
        <v>100</v>
      </c>
      <c r="X26" s="1355"/>
      <c r="Y26" s="370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15"/>
      <c r="Q27" s="1343" t="str">
        <f t="shared" si="11"/>
        <v>人流量</v>
      </c>
      <c r="R27" s="701" t="s">
        <v>14</v>
      </c>
      <c r="S27" s="702">
        <f>F27</f>
        <v>100</v>
      </c>
      <c r="T27" s="701" t="s">
        <v>14</v>
      </c>
      <c r="U27" s="702">
        <f>H27</f>
        <v>100</v>
      </c>
      <c r="V27" s="701" t="s">
        <v>14</v>
      </c>
      <c r="W27" s="702">
        <f>J27</f>
        <v>100</v>
      </c>
      <c r="X27" s="703"/>
      <c r="Y27" s="370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1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5"/>
      <c r="Q29" s="1352">
        <f t="shared" si="11"/>
        <v>111</v>
      </c>
      <c r="R29" s="705" t="s">
        <v>14</v>
      </c>
      <c r="S29" s="706">
        <f t="shared" si="12"/>
        <v>100</v>
      </c>
      <c r="T29" s="705" t="s">
        <v>14</v>
      </c>
      <c r="U29" s="706">
        <f t="shared" si="13"/>
        <v>100</v>
      </c>
      <c r="V29" s="705" t="s">
        <v>14</v>
      </c>
      <c r="W29" s="706">
        <f t="shared" si="14"/>
        <v>100</v>
      </c>
      <c r="X29" s="1355"/>
      <c r="Y29" s="370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5"/>
      <c r="Q30" s="1352">
        <f t="shared" si="11"/>
        <v>111</v>
      </c>
      <c r="R30" s="705" t="s">
        <v>14</v>
      </c>
      <c r="S30" s="706">
        <f t="shared" si="12"/>
        <v>100</v>
      </c>
      <c r="T30" s="705" t="s">
        <v>14</v>
      </c>
      <c r="U30" s="706">
        <f t="shared" si="13"/>
        <v>100</v>
      </c>
      <c r="V30" s="705" t="s">
        <v>14</v>
      </c>
      <c r="W30" s="706">
        <f t="shared" si="14"/>
        <v>100</v>
      </c>
      <c r="X30" s="1355"/>
      <c r="Y30" s="370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5"/>
      <c r="Q31" s="1352">
        <f t="shared" si="11"/>
        <v>111</v>
      </c>
      <c r="R31" s="705" t="s">
        <v>14</v>
      </c>
      <c r="S31" s="706">
        <f t="shared" si="12"/>
        <v>100</v>
      </c>
      <c r="T31" s="705" t="s">
        <v>14</v>
      </c>
      <c r="U31" s="706">
        <f t="shared" si="13"/>
        <v>100</v>
      </c>
      <c r="V31" s="705" t="s">
        <v>14</v>
      </c>
      <c r="W31" s="706">
        <f t="shared" si="14"/>
        <v>100</v>
      </c>
      <c r="X31" s="1355"/>
      <c r="Y31" s="370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09" t="s">
        <v>1696</v>
      </c>
      <c r="Q32" s="1352" t="str">
        <f t="shared" si="11"/>
        <v>商业类型</v>
      </c>
      <c r="R32" s="705" t="s">
        <v>14</v>
      </c>
      <c r="S32" s="706">
        <f t="shared" si="12"/>
        <v>100</v>
      </c>
      <c r="T32" s="705" t="s">
        <v>14</v>
      </c>
      <c r="U32" s="706">
        <f t="shared" si="13"/>
        <v>100</v>
      </c>
      <c r="V32" s="705" t="s">
        <v>14</v>
      </c>
      <c r="W32" s="706">
        <f t="shared" si="14"/>
        <v>100</v>
      </c>
      <c r="X32" s="1355"/>
      <c r="Y32" s="371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0"/>
      <c r="Q33" s="707" t="str">
        <f t="shared" si="11"/>
        <v>项目建筑规模</v>
      </c>
      <c r="R33" s="708" t="s">
        <v>14</v>
      </c>
      <c r="S33" s="709" t="e">
        <f t="shared" si="12"/>
        <v>#N/A</v>
      </c>
      <c r="T33" s="708" t="s">
        <v>14</v>
      </c>
      <c r="U33" s="709" t="e">
        <f t="shared" si="13"/>
        <v>#N/A</v>
      </c>
      <c r="V33" s="708" t="s">
        <v>14</v>
      </c>
      <c r="W33" s="709" t="e">
        <f t="shared" si="14"/>
        <v>#N/A</v>
      </c>
      <c r="X33" s="710"/>
      <c r="Y33" s="371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10"/>
      <c r="Q34" s="1352" t="str">
        <f t="shared" si="11"/>
        <v>建筑结构</v>
      </c>
      <c r="R34" s="705" t="s">
        <v>14</v>
      </c>
      <c r="S34" s="706">
        <f t="shared" si="12"/>
        <v>100</v>
      </c>
      <c r="T34" s="705" t="s">
        <v>14</v>
      </c>
      <c r="U34" s="706">
        <f t="shared" si="13"/>
        <v>100</v>
      </c>
      <c r="V34" s="705" t="s">
        <v>14</v>
      </c>
      <c r="W34" s="706">
        <f t="shared" si="14"/>
        <v>100</v>
      </c>
      <c r="X34" s="1355"/>
      <c r="Y34" s="371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10"/>
      <c r="Q35" s="1352" t="str">
        <f t="shared" si="11"/>
        <v>公共部分装修</v>
      </c>
      <c r="R35" s="705" t="s">
        <v>14</v>
      </c>
      <c r="S35" s="706">
        <f t="shared" si="12"/>
        <v>100</v>
      </c>
      <c r="T35" s="705" t="s">
        <v>14</v>
      </c>
      <c r="U35" s="706">
        <f t="shared" si="13"/>
        <v>100</v>
      </c>
      <c r="V35" s="705" t="s">
        <v>14</v>
      </c>
      <c r="W35" s="706">
        <f t="shared" si="14"/>
        <v>100</v>
      </c>
      <c r="X35" s="1355"/>
      <c r="Y35" s="371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0"/>
      <c r="Q36" s="1352" t="str">
        <f t="shared" si="11"/>
        <v>成新度</v>
      </c>
      <c r="R36" s="705" t="s">
        <v>14</v>
      </c>
      <c r="S36" s="706" t="e">
        <f t="shared" si="12"/>
        <v>#N/A</v>
      </c>
      <c r="T36" s="705" t="s">
        <v>14</v>
      </c>
      <c r="U36" s="706" t="e">
        <f t="shared" si="13"/>
        <v>#N/A</v>
      </c>
      <c r="V36" s="705" t="s">
        <v>14</v>
      </c>
      <c r="W36" s="706" t="e">
        <f t="shared" si="14"/>
        <v>#N/A</v>
      </c>
      <c r="X36" s="1355"/>
      <c r="Y36" s="371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10"/>
      <c r="Q37" s="1343" t="str">
        <f t="shared" si="11"/>
        <v>市政基础设施</v>
      </c>
      <c r="R37" s="701" t="s">
        <v>14</v>
      </c>
      <c r="S37" s="702">
        <f t="shared" si="12"/>
        <v>100</v>
      </c>
      <c r="T37" s="701" t="s">
        <v>14</v>
      </c>
      <c r="U37" s="702">
        <f t="shared" si="13"/>
        <v>100</v>
      </c>
      <c r="V37" s="701" t="s">
        <v>14</v>
      </c>
      <c r="W37" s="702">
        <f t="shared" si="14"/>
        <v>100</v>
      </c>
      <c r="X37" s="703"/>
      <c r="Y37" s="371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10" t="s">
        <v>1696</v>
      </c>
      <c r="Q38" s="1352" t="str">
        <f t="shared" si="11"/>
        <v>业态</v>
      </c>
      <c r="R38" s="705" t="s">
        <v>14</v>
      </c>
      <c r="S38" s="706">
        <f t="shared" si="12"/>
        <v>100</v>
      </c>
      <c r="T38" s="705" t="s">
        <v>14</v>
      </c>
      <c r="U38" s="706">
        <f t="shared" si="13"/>
        <v>100</v>
      </c>
      <c r="V38" s="705" t="s">
        <v>14</v>
      </c>
      <c r="W38" s="706">
        <f t="shared" si="14"/>
        <v>100</v>
      </c>
      <c r="X38" s="1355"/>
      <c r="Y38" s="371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10"/>
      <c r="Q39" s="1352" t="str">
        <f t="shared" si="11"/>
        <v>层高</v>
      </c>
      <c r="R39" s="705" t="s">
        <v>14</v>
      </c>
      <c r="S39" s="706">
        <f t="shared" si="12"/>
        <v>100</v>
      </c>
      <c r="T39" s="705" t="s">
        <v>14</v>
      </c>
      <c r="U39" s="706">
        <f t="shared" si="13"/>
        <v>100</v>
      </c>
      <c r="V39" s="705" t="s">
        <v>14</v>
      </c>
      <c r="W39" s="706">
        <f t="shared" si="14"/>
        <v>100</v>
      </c>
      <c r="X39" s="1355"/>
      <c r="Y39" s="371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0"/>
      <c r="Q40" s="1352" t="str">
        <f t="shared" si="11"/>
        <v>单套建筑面积</v>
      </c>
      <c r="R40" s="705" t="s">
        <v>14</v>
      </c>
      <c r="S40" s="706">
        <f t="shared" si="12"/>
        <v>100</v>
      </c>
      <c r="T40" s="705" t="s">
        <v>14</v>
      </c>
      <c r="U40" s="706">
        <f t="shared" si="13"/>
        <v>100</v>
      </c>
      <c r="V40" s="705" t="s">
        <v>14</v>
      </c>
      <c r="W40" s="706">
        <f t="shared" si="14"/>
        <v>100</v>
      </c>
      <c r="X40" s="1355"/>
      <c r="Y40" s="371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0"/>
      <c r="Q41" s="707" t="str">
        <f t="shared" si="11"/>
        <v>进深比</v>
      </c>
      <c r="R41" s="708" t="s">
        <v>14</v>
      </c>
      <c r="S41" s="709">
        <f t="shared" si="12"/>
        <v>100</v>
      </c>
      <c r="T41" s="708" t="s">
        <v>14</v>
      </c>
      <c r="U41" s="709">
        <f t="shared" si="13"/>
        <v>100</v>
      </c>
      <c r="V41" s="708" t="s">
        <v>14</v>
      </c>
      <c r="W41" s="709">
        <f t="shared" si="14"/>
        <v>100</v>
      </c>
      <c r="X41" s="710"/>
      <c r="Y41" s="371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10"/>
      <c r="Q42" s="1352" t="str">
        <f t="shared" si="11"/>
        <v>内部装修</v>
      </c>
      <c r="R42" s="705" t="s">
        <v>14</v>
      </c>
      <c r="S42" s="706">
        <f t="shared" si="12"/>
        <v>100</v>
      </c>
      <c r="T42" s="705" t="s">
        <v>14</v>
      </c>
      <c r="U42" s="706">
        <f t="shared" si="13"/>
        <v>100</v>
      </c>
      <c r="V42" s="705" t="s">
        <v>14</v>
      </c>
      <c r="W42" s="706">
        <f t="shared" si="14"/>
        <v>100</v>
      </c>
      <c r="X42" s="1355"/>
      <c r="Y42" s="371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10"/>
      <c r="Q43" s="1352" t="str">
        <f t="shared" si="11"/>
        <v>内部装修维护情况</v>
      </c>
      <c r="R43" s="705" t="s">
        <v>14</v>
      </c>
      <c r="S43" s="706">
        <f t="shared" si="12"/>
        <v>100</v>
      </c>
      <c r="T43" s="705" t="s">
        <v>14</v>
      </c>
      <c r="U43" s="706">
        <f t="shared" si="13"/>
        <v>100</v>
      </c>
      <c r="V43" s="705" t="s">
        <v>14</v>
      </c>
      <c r="W43" s="706">
        <f t="shared" si="14"/>
        <v>100</v>
      </c>
      <c r="X43" s="1355"/>
      <c r="Y43" s="371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0"/>
      <c r="Q44" s="1343">
        <f t="shared" si="11"/>
        <v>111</v>
      </c>
      <c r="R44" s="701" t="s">
        <v>14</v>
      </c>
      <c r="S44" s="702">
        <f t="shared" si="12"/>
        <v>100</v>
      </c>
      <c r="T44" s="701" t="s">
        <v>14</v>
      </c>
      <c r="U44" s="702">
        <f t="shared" si="13"/>
        <v>100</v>
      </c>
      <c r="V44" s="701" t="s">
        <v>14</v>
      </c>
      <c r="W44" s="702">
        <f t="shared" si="14"/>
        <v>100</v>
      </c>
      <c r="X44" s="703"/>
      <c r="Y44" s="371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0"/>
      <c r="Q45" s="1352">
        <f t="shared" si="11"/>
        <v>111</v>
      </c>
      <c r="R45" s="705" t="s">
        <v>14</v>
      </c>
      <c r="S45" s="706">
        <f t="shared" si="12"/>
        <v>100</v>
      </c>
      <c r="T45" s="705" t="s">
        <v>14</v>
      </c>
      <c r="U45" s="706">
        <f t="shared" si="13"/>
        <v>100</v>
      </c>
      <c r="V45" s="705" t="s">
        <v>14</v>
      </c>
      <c r="W45" s="706">
        <f t="shared" si="14"/>
        <v>100</v>
      </c>
      <c r="X45" s="1355"/>
      <c r="Y45" s="371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1"/>
      <c r="Q46" s="1352">
        <f t="shared" si="11"/>
        <v>111</v>
      </c>
      <c r="R46" s="705" t="s">
        <v>14</v>
      </c>
      <c r="S46" s="706">
        <f t="shared" si="12"/>
        <v>100</v>
      </c>
      <c r="T46" s="705" t="s">
        <v>14</v>
      </c>
      <c r="U46" s="706">
        <f t="shared" si="13"/>
        <v>100</v>
      </c>
      <c r="V46" s="705" t="s">
        <v>14</v>
      </c>
      <c r="W46" s="706">
        <f t="shared" si="14"/>
        <v>100</v>
      </c>
      <c r="X46" s="1355"/>
      <c r="Y46" s="371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05" t="str">
        <f>A47</f>
        <v>成交单价（元/平方米）</v>
      </c>
      <c r="Q47" s="3705"/>
      <c r="R47" s="3700">
        <f>E47</f>
        <v>0</v>
      </c>
      <c r="S47" s="3700"/>
      <c r="T47" s="3700">
        <f>G47</f>
        <v>0</v>
      </c>
      <c r="U47" s="3700"/>
      <c r="V47" s="3700">
        <f>I47</f>
        <v>0</v>
      </c>
      <c r="W47" s="3700"/>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3"/>
      <c r="M48" s="2724"/>
      <c r="N48" s="2715"/>
      <c r="O48" s="2724"/>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17198.240000000002</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722" t="s">
        <v>1775</v>
      </c>
      <c r="Q4" s="3723"/>
      <c r="R4" s="3717" t="s">
        <v>1771</v>
      </c>
      <c r="S4" s="3718"/>
      <c r="T4" s="3717" t="s">
        <v>1772</v>
      </c>
      <c r="U4" s="3718"/>
      <c r="V4" s="3726" t="s">
        <v>1773</v>
      </c>
      <c r="W4" s="3726"/>
      <c r="X4" s="1958"/>
      <c r="Y4" s="3717" t="s">
        <v>1775</v>
      </c>
      <c r="Z4" s="3718"/>
      <c r="AA4" s="3716" t="s">
        <v>1771</v>
      </c>
      <c r="AB4" s="3716" t="s">
        <v>1772</v>
      </c>
      <c r="AC4" s="3719" t="s">
        <v>1773</v>
      </c>
    </row>
    <row r="5" spans="1:29" ht="15">
      <c r="A5" s="358"/>
      <c r="B5" s="359"/>
      <c r="C5" s="3681" t="s">
        <v>1673</v>
      </c>
      <c r="D5" s="3682"/>
      <c r="E5" s="3679" t="s">
        <v>1674</v>
      </c>
      <c r="F5" s="3680"/>
      <c r="G5" s="3681" t="s">
        <v>1675</v>
      </c>
      <c r="H5" s="3682"/>
      <c r="I5" s="3681" t="s">
        <v>1676</v>
      </c>
      <c r="J5" s="3682"/>
      <c r="K5" s="559"/>
      <c r="L5" s="2714"/>
      <c r="M5" s="2715"/>
      <c r="N5" s="2715"/>
      <c r="O5" s="2715"/>
      <c r="P5" s="3724"/>
      <c r="Q5" s="3695"/>
      <c r="R5" s="3677"/>
      <c r="S5" s="3678"/>
      <c r="T5" s="3677"/>
      <c r="U5" s="3678"/>
      <c r="V5" s="3700"/>
      <c r="W5" s="3700"/>
      <c r="X5" s="1355"/>
      <c r="Y5" s="3677"/>
      <c r="Z5" s="3678"/>
      <c r="AA5" s="3671"/>
      <c r="AB5" s="3671"/>
      <c r="AC5" s="3720"/>
    </row>
    <row r="6" spans="1:29" ht="15.75" thickBot="1">
      <c r="A6" s="360"/>
      <c r="B6" s="361"/>
      <c r="C6" s="3683" t="s">
        <v>1677</v>
      </c>
      <c r="D6" s="3684"/>
      <c r="E6" s="3685" t="s">
        <v>1677</v>
      </c>
      <c r="F6" s="3686"/>
      <c r="G6" s="3683" t="s">
        <v>1677</v>
      </c>
      <c r="H6" s="3684"/>
      <c r="I6" s="3683" t="s">
        <v>1677</v>
      </c>
      <c r="J6" s="3684"/>
      <c r="K6" s="559" t="s">
        <v>1678</v>
      </c>
      <c r="L6" s="2714"/>
      <c r="M6" s="2715"/>
      <c r="N6" s="2715"/>
      <c r="O6" s="2715"/>
      <c r="P6" s="3725"/>
      <c r="Q6" s="3697"/>
      <c r="R6" s="3677"/>
      <c r="S6" s="3678"/>
      <c r="T6" s="3698"/>
      <c r="U6" s="3699"/>
      <c r="V6" s="3700"/>
      <c r="W6" s="3700"/>
      <c r="X6" s="1355"/>
      <c r="Y6" s="3698"/>
      <c r="Z6" s="3699"/>
      <c r="AA6" s="3672"/>
      <c r="AB6" s="3672"/>
      <c r="AC6" s="3721"/>
    </row>
    <row r="7" spans="1:29" s="108" customFormat="1" ht="15.75" thickBot="1">
      <c r="A7" s="362" t="s">
        <v>1679</v>
      </c>
      <c r="B7" s="363"/>
      <c r="C7" s="364">
        <f>'数据-取费表'!B2</f>
        <v>45061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7"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7" t="s">
        <v>1683</v>
      </c>
      <c r="Q8" s="3674"/>
      <c r="R8" s="701" t="s">
        <v>14</v>
      </c>
      <c r="S8" s="702">
        <f t="shared" si="0"/>
        <v>100</v>
      </c>
      <c r="T8" s="701" t="s">
        <v>14</v>
      </c>
      <c r="U8" s="702">
        <f t="shared" si="1"/>
        <v>100</v>
      </c>
      <c r="V8" s="701" t="s">
        <v>14</v>
      </c>
      <c r="W8" s="702">
        <f t="shared" si="2"/>
        <v>100</v>
      </c>
      <c r="X8" s="703"/>
      <c r="Y8" s="3673" t="s">
        <v>1683</v>
      </c>
      <c r="Z8" s="367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7"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7"/>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7"/>
      <c r="Q11" s="1343"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87"/>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87"/>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87"/>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14" t="s">
        <v>1691</v>
      </c>
      <c r="Q15" s="1352" t="str">
        <f t="shared" si="6"/>
        <v>办公集聚程度</v>
      </c>
      <c r="R15" s="705" t="s">
        <v>14</v>
      </c>
      <c r="S15" s="706">
        <f t="shared" si="0"/>
        <v>100</v>
      </c>
      <c r="T15" s="705" t="s">
        <v>14</v>
      </c>
      <c r="U15" s="706">
        <f t="shared" si="1"/>
        <v>100</v>
      </c>
      <c r="V15" s="705" t="s">
        <v>14</v>
      </c>
      <c r="W15" s="706">
        <f t="shared" si="2"/>
        <v>100</v>
      </c>
      <c r="X15" s="1355"/>
      <c r="Y15" s="370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15"/>
      <c r="Q16" s="1352"/>
      <c r="R16" s="705"/>
      <c r="S16" s="706"/>
      <c r="T16" s="705"/>
      <c r="U16" s="706"/>
      <c r="V16" s="705"/>
      <c r="W16" s="706"/>
      <c r="X16" s="1355"/>
      <c r="Y16" s="370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15"/>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15"/>
      <c r="Q18" s="1352"/>
      <c r="R18" s="705"/>
      <c r="S18" s="706"/>
      <c r="T18" s="705"/>
      <c r="U18" s="706"/>
      <c r="V18" s="705"/>
      <c r="W18" s="706"/>
      <c r="X18" s="1355"/>
      <c r="Y18" s="370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15"/>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15"/>
      <c r="Q20" s="1352"/>
      <c r="R20" s="705"/>
      <c r="S20" s="706"/>
      <c r="T20" s="705"/>
      <c r="U20" s="706"/>
      <c r="V20" s="705"/>
      <c r="W20" s="706"/>
      <c r="X20" s="1355"/>
      <c r="Y20" s="370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15"/>
      <c r="Q22" s="1352"/>
      <c r="R22" s="705"/>
      <c r="S22" s="706"/>
      <c r="T22" s="705"/>
      <c r="U22" s="706"/>
      <c r="V22" s="705"/>
      <c r="W22" s="706"/>
      <c r="X22" s="1355"/>
      <c r="Y22" s="370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15"/>
      <c r="Q23" s="1352" t="str">
        <f>B23</f>
        <v>环境质量</v>
      </c>
      <c r="R23" s="705" t="s">
        <v>14</v>
      </c>
      <c r="S23" s="706">
        <f>F23</f>
        <v>100</v>
      </c>
      <c r="T23" s="705" t="s">
        <v>14</v>
      </c>
      <c r="U23" s="706">
        <f>H23</f>
        <v>100</v>
      </c>
      <c r="V23" s="705" t="s">
        <v>14</v>
      </c>
      <c r="W23" s="706">
        <f>J23</f>
        <v>100</v>
      </c>
      <c r="X23" s="1355"/>
      <c r="Y23" s="370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15"/>
      <c r="Q24" s="1352"/>
      <c r="R24" s="705"/>
      <c r="S24" s="706"/>
      <c r="T24" s="705"/>
      <c r="U24" s="706"/>
      <c r="V24" s="705"/>
      <c r="W24" s="706"/>
      <c r="X24" s="1355"/>
      <c r="Y24" s="370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15"/>
      <c r="Q25" s="1352" t="str">
        <f>B25</f>
        <v>毗邻道路的类型与等级</v>
      </c>
      <c r="R25" s="705" t="s">
        <v>14</v>
      </c>
      <c r="S25" s="706">
        <f>F25</f>
        <v>100</v>
      </c>
      <c r="T25" s="705" t="s">
        <v>14</v>
      </c>
      <c r="U25" s="706">
        <f>H25</f>
        <v>100</v>
      </c>
      <c r="V25" s="705" t="s">
        <v>14</v>
      </c>
      <c r="W25" s="706">
        <f>J25</f>
        <v>100</v>
      </c>
      <c r="X25" s="1355"/>
      <c r="Y25" s="370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15"/>
      <c r="Q26" s="1352"/>
      <c r="R26" s="705"/>
      <c r="S26" s="706"/>
      <c r="T26" s="705"/>
      <c r="U26" s="706"/>
      <c r="V26" s="705"/>
      <c r="W26" s="706"/>
      <c r="X26" s="1355"/>
      <c r="Y26" s="370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15"/>
      <c r="Q27" s="1352" t="str">
        <f t="shared" ref="Q27:Q47" si="11">B27</f>
        <v>楼层</v>
      </c>
      <c r="R27" s="705" t="s">
        <v>14</v>
      </c>
      <c r="S27" s="706">
        <f>F27</f>
        <v>100</v>
      </c>
      <c r="T27" s="705" t="s">
        <v>14</v>
      </c>
      <c r="U27" s="706">
        <f>H27</f>
        <v>100</v>
      </c>
      <c r="V27" s="705" t="s">
        <v>14</v>
      </c>
      <c r="W27" s="706">
        <f>J27</f>
        <v>100</v>
      </c>
      <c r="X27" s="1355"/>
      <c r="Y27" s="370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15"/>
      <c r="Q28" s="1343" t="str">
        <f t="shared" si="11"/>
        <v>朝向</v>
      </c>
      <c r="R28" s="701" t="s">
        <v>14</v>
      </c>
      <c r="S28" s="702">
        <f>F28</f>
        <v>100</v>
      </c>
      <c r="T28" s="701" t="s">
        <v>14</v>
      </c>
      <c r="U28" s="702">
        <f>H28</f>
        <v>100</v>
      </c>
      <c r="V28" s="701" t="s">
        <v>14</v>
      </c>
      <c r="W28" s="702">
        <f>J28</f>
        <v>100</v>
      </c>
      <c r="X28" s="703"/>
      <c r="Y28" s="370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15"/>
      <c r="Q29" s="1352">
        <f t="shared" si="11"/>
        <v>111</v>
      </c>
      <c r="R29" s="705" t="s">
        <v>14</v>
      </c>
      <c r="S29" s="706">
        <f t="shared" ref="S29:S47" si="12">F29</f>
        <v>100</v>
      </c>
      <c r="T29" s="705" t="s">
        <v>14</v>
      </c>
      <c r="U29" s="706">
        <f t="shared" ref="U29:U47" si="13">H29</f>
        <v>100</v>
      </c>
      <c r="V29" s="705" t="s">
        <v>14</v>
      </c>
      <c r="W29" s="706">
        <f t="shared" ref="W29:W47" si="14">J29</f>
        <v>100</v>
      </c>
      <c r="X29" s="1355"/>
      <c r="Y29" s="370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15"/>
      <c r="Q30" s="1352">
        <f t="shared" si="11"/>
        <v>111</v>
      </c>
      <c r="R30" s="705" t="s">
        <v>14</v>
      </c>
      <c r="S30" s="706">
        <f t="shared" si="12"/>
        <v>100</v>
      </c>
      <c r="T30" s="705" t="s">
        <v>14</v>
      </c>
      <c r="U30" s="706">
        <f t="shared" si="13"/>
        <v>100</v>
      </c>
      <c r="V30" s="705" t="s">
        <v>14</v>
      </c>
      <c r="W30" s="706">
        <f t="shared" si="14"/>
        <v>100</v>
      </c>
      <c r="X30" s="1355"/>
      <c r="Y30" s="370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15"/>
      <c r="Q31" s="1352">
        <f t="shared" si="11"/>
        <v>111</v>
      </c>
      <c r="R31" s="705" t="s">
        <v>14</v>
      </c>
      <c r="S31" s="706">
        <f t="shared" si="12"/>
        <v>100</v>
      </c>
      <c r="T31" s="705" t="s">
        <v>14</v>
      </c>
      <c r="U31" s="706">
        <f t="shared" si="13"/>
        <v>100</v>
      </c>
      <c r="V31" s="705" t="s">
        <v>14</v>
      </c>
      <c r="W31" s="706">
        <f t="shared" si="14"/>
        <v>100</v>
      </c>
      <c r="X31" s="1355"/>
      <c r="Y31" s="370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15"/>
      <c r="Q32" s="1352">
        <f t="shared" si="11"/>
        <v>111</v>
      </c>
      <c r="R32" s="705" t="s">
        <v>14</v>
      </c>
      <c r="S32" s="706">
        <f t="shared" si="12"/>
        <v>100</v>
      </c>
      <c r="T32" s="705" t="s">
        <v>14</v>
      </c>
      <c r="U32" s="706">
        <f t="shared" si="13"/>
        <v>100</v>
      </c>
      <c r="V32" s="705" t="s">
        <v>14</v>
      </c>
      <c r="W32" s="706">
        <f t="shared" si="14"/>
        <v>100</v>
      </c>
      <c r="X32" s="1355"/>
      <c r="Y32" s="370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09" t="s">
        <v>1696</v>
      </c>
      <c r="Q33" s="1352" t="str">
        <f t="shared" si="11"/>
        <v>建筑类型</v>
      </c>
      <c r="R33" s="705" t="s">
        <v>14</v>
      </c>
      <c r="S33" s="706">
        <f t="shared" si="12"/>
        <v>100</v>
      </c>
      <c r="T33" s="705" t="s">
        <v>14</v>
      </c>
      <c r="U33" s="706">
        <f t="shared" si="13"/>
        <v>100</v>
      </c>
      <c r="V33" s="705" t="s">
        <v>14</v>
      </c>
      <c r="W33" s="706">
        <f t="shared" si="14"/>
        <v>100</v>
      </c>
      <c r="X33" s="1355"/>
      <c r="Y33" s="371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10"/>
      <c r="Q34" s="707" t="str">
        <f t="shared" si="11"/>
        <v>项目建筑规模</v>
      </c>
      <c r="R34" s="708" t="s">
        <v>14</v>
      </c>
      <c r="S34" s="709" t="e">
        <f t="shared" si="12"/>
        <v>#N/A</v>
      </c>
      <c r="T34" s="708" t="s">
        <v>14</v>
      </c>
      <c r="U34" s="709" t="e">
        <f t="shared" si="13"/>
        <v>#N/A</v>
      </c>
      <c r="V34" s="708" t="s">
        <v>14</v>
      </c>
      <c r="W34" s="709" t="e">
        <f t="shared" si="14"/>
        <v>#N/A</v>
      </c>
      <c r="X34" s="710"/>
      <c r="Y34" s="371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0"/>
      <c r="Q35" s="1352" t="str">
        <f t="shared" si="11"/>
        <v>建筑结构</v>
      </c>
      <c r="R35" s="705" t="s">
        <v>14</v>
      </c>
      <c r="S35" s="706">
        <f t="shared" si="12"/>
        <v>100</v>
      </c>
      <c r="T35" s="705" t="s">
        <v>14</v>
      </c>
      <c r="U35" s="706">
        <f t="shared" si="13"/>
        <v>100</v>
      </c>
      <c r="V35" s="705" t="s">
        <v>14</v>
      </c>
      <c r="W35" s="706">
        <f t="shared" si="14"/>
        <v>100</v>
      </c>
      <c r="X35" s="1355"/>
      <c r="Y35" s="371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0"/>
      <c r="Q36" s="1352" t="str">
        <f t="shared" si="11"/>
        <v>公共部分装修</v>
      </c>
      <c r="R36" s="705" t="s">
        <v>14</v>
      </c>
      <c r="S36" s="706">
        <f t="shared" si="12"/>
        <v>100</v>
      </c>
      <c r="T36" s="705" t="s">
        <v>14</v>
      </c>
      <c r="U36" s="706">
        <f t="shared" si="13"/>
        <v>100</v>
      </c>
      <c r="V36" s="705" t="s">
        <v>14</v>
      </c>
      <c r="W36" s="706">
        <f t="shared" si="14"/>
        <v>100</v>
      </c>
      <c r="X36" s="1355"/>
      <c r="Y36" s="371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10"/>
      <c r="Q37" s="1352" t="str">
        <f t="shared" si="11"/>
        <v>成新度</v>
      </c>
      <c r="R37" s="705" t="s">
        <v>14</v>
      </c>
      <c r="S37" s="706" t="e">
        <f t="shared" si="12"/>
        <v>#N/A</v>
      </c>
      <c r="T37" s="705" t="s">
        <v>14</v>
      </c>
      <c r="U37" s="706" t="e">
        <f t="shared" si="13"/>
        <v>#N/A</v>
      </c>
      <c r="V37" s="705" t="s">
        <v>14</v>
      </c>
      <c r="W37" s="706" t="e">
        <f t="shared" si="14"/>
        <v>#N/A</v>
      </c>
      <c r="X37" s="1355"/>
      <c r="Y37" s="371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0"/>
      <c r="Q38" s="1343" t="str">
        <f t="shared" si="11"/>
        <v>写字楼等级</v>
      </c>
      <c r="R38" s="701" t="s">
        <v>14</v>
      </c>
      <c r="S38" s="702">
        <f t="shared" si="12"/>
        <v>100</v>
      </c>
      <c r="T38" s="701" t="s">
        <v>14</v>
      </c>
      <c r="U38" s="702">
        <f t="shared" si="13"/>
        <v>100</v>
      </c>
      <c r="V38" s="701" t="s">
        <v>14</v>
      </c>
      <c r="W38" s="702">
        <f t="shared" si="14"/>
        <v>100</v>
      </c>
      <c r="X38" s="703"/>
      <c r="Y38" s="371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0" t="s">
        <v>1696</v>
      </c>
      <c r="Q39" s="1352" t="str">
        <f t="shared" si="11"/>
        <v>物业管理</v>
      </c>
      <c r="R39" s="705" t="s">
        <v>14</v>
      </c>
      <c r="S39" s="706">
        <f t="shared" si="12"/>
        <v>100</v>
      </c>
      <c r="T39" s="705" t="s">
        <v>14</v>
      </c>
      <c r="U39" s="706">
        <f t="shared" si="13"/>
        <v>100</v>
      </c>
      <c r="V39" s="705" t="s">
        <v>14</v>
      </c>
      <c r="W39" s="706">
        <f t="shared" si="14"/>
        <v>100</v>
      </c>
      <c r="X39" s="1355"/>
      <c r="Y39" s="371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0"/>
      <c r="Q40" s="1352" t="str">
        <f t="shared" si="11"/>
        <v>市政基础设施</v>
      </c>
      <c r="R40" s="705" t="s">
        <v>14</v>
      </c>
      <c r="S40" s="706">
        <f t="shared" si="12"/>
        <v>100</v>
      </c>
      <c r="T40" s="705" t="s">
        <v>14</v>
      </c>
      <c r="U40" s="706">
        <f t="shared" si="13"/>
        <v>100</v>
      </c>
      <c r="V40" s="705" t="s">
        <v>14</v>
      </c>
      <c r="W40" s="706">
        <f t="shared" si="14"/>
        <v>100</v>
      </c>
      <c r="X40" s="1355"/>
      <c r="Y40" s="371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0"/>
      <c r="Q41" s="1352" t="str">
        <f t="shared" si="11"/>
        <v>层高</v>
      </c>
      <c r="R41" s="705" t="s">
        <v>14</v>
      </c>
      <c r="S41" s="706">
        <f t="shared" si="12"/>
        <v>100</v>
      </c>
      <c r="T41" s="705" t="s">
        <v>14</v>
      </c>
      <c r="U41" s="706">
        <f t="shared" si="13"/>
        <v>100</v>
      </c>
      <c r="V41" s="705" t="s">
        <v>14</v>
      </c>
      <c r="W41" s="706">
        <f t="shared" si="14"/>
        <v>100</v>
      </c>
      <c r="X41" s="1355"/>
      <c r="Y41" s="371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0"/>
      <c r="Q42" s="707" t="str">
        <f t="shared" si="11"/>
        <v>单套建筑面积</v>
      </c>
      <c r="R42" s="708" t="s">
        <v>14</v>
      </c>
      <c r="S42" s="709">
        <f t="shared" si="12"/>
        <v>100</v>
      </c>
      <c r="T42" s="708" t="s">
        <v>14</v>
      </c>
      <c r="U42" s="709">
        <f t="shared" si="13"/>
        <v>100</v>
      </c>
      <c r="V42" s="708" t="s">
        <v>14</v>
      </c>
      <c r="W42" s="709">
        <f t="shared" si="14"/>
        <v>100</v>
      </c>
      <c r="X42" s="710"/>
      <c r="Y42" s="371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0"/>
      <c r="Q43" s="1352" t="str">
        <f t="shared" si="11"/>
        <v>内部装修</v>
      </c>
      <c r="R43" s="705" t="s">
        <v>14</v>
      </c>
      <c r="S43" s="706">
        <f t="shared" si="12"/>
        <v>100</v>
      </c>
      <c r="T43" s="705" t="s">
        <v>14</v>
      </c>
      <c r="U43" s="706">
        <f t="shared" si="13"/>
        <v>100</v>
      </c>
      <c r="V43" s="705" t="s">
        <v>14</v>
      </c>
      <c r="W43" s="706">
        <f t="shared" si="14"/>
        <v>100</v>
      </c>
      <c r="X43" s="1355"/>
      <c r="Y43" s="371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10"/>
      <c r="Q44" s="1352" t="str">
        <f t="shared" si="11"/>
        <v>内部装修维护情况</v>
      </c>
      <c r="R44" s="705" t="s">
        <v>14</v>
      </c>
      <c r="S44" s="706">
        <f t="shared" si="12"/>
        <v>100</v>
      </c>
      <c r="T44" s="705" t="s">
        <v>14</v>
      </c>
      <c r="U44" s="706">
        <f t="shared" si="13"/>
        <v>100</v>
      </c>
      <c r="V44" s="705" t="s">
        <v>14</v>
      </c>
      <c r="W44" s="706">
        <f t="shared" si="14"/>
        <v>100</v>
      </c>
      <c r="X44" s="1355"/>
      <c r="Y44" s="371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0"/>
      <c r="Q45" s="1343">
        <f t="shared" si="11"/>
        <v>111</v>
      </c>
      <c r="R45" s="701" t="s">
        <v>14</v>
      </c>
      <c r="S45" s="702">
        <f t="shared" si="12"/>
        <v>100</v>
      </c>
      <c r="T45" s="701" t="s">
        <v>14</v>
      </c>
      <c r="U45" s="702">
        <f t="shared" si="13"/>
        <v>100</v>
      </c>
      <c r="V45" s="701" t="s">
        <v>14</v>
      </c>
      <c r="W45" s="702">
        <f t="shared" si="14"/>
        <v>100</v>
      </c>
      <c r="X45" s="703"/>
      <c r="Y45" s="371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0"/>
      <c r="Q46" s="1352">
        <f t="shared" si="11"/>
        <v>111</v>
      </c>
      <c r="R46" s="705" t="s">
        <v>14</v>
      </c>
      <c r="S46" s="706">
        <f t="shared" si="12"/>
        <v>100</v>
      </c>
      <c r="T46" s="705" t="s">
        <v>14</v>
      </c>
      <c r="U46" s="706">
        <f t="shared" si="13"/>
        <v>100</v>
      </c>
      <c r="V46" s="705" t="s">
        <v>14</v>
      </c>
      <c r="W46" s="706">
        <f t="shared" si="14"/>
        <v>100</v>
      </c>
      <c r="X46" s="1355"/>
      <c r="Y46" s="371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1"/>
      <c r="Q47" s="1352">
        <f t="shared" si="11"/>
        <v>111</v>
      </c>
      <c r="R47" s="705" t="s">
        <v>14</v>
      </c>
      <c r="S47" s="706">
        <f t="shared" si="12"/>
        <v>100</v>
      </c>
      <c r="T47" s="705" t="s">
        <v>14</v>
      </c>
      <c r="U47" s="706">
        <f t="shared" si="13"/>
        <v>100</v>
      </c>
      <c r="V47" s="705" t="s">
        <v>14</v>
      </c>
      <c r="W47" s="706">
        <f t="shared" si="14"/>
        <v>100</v>
      </c>
      <c r="X47" s="1355"/>
      <c r="Y47" s="371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87" t="str">
        <f>A48</f>
        <v>成交单价（元/平方米）</v>
      </c>
      <c r="Q48" s="3705"/>
      <c r="R48" s="3706">
        <f>E48</f>
        <v>0</v>
      </c>
      <c r="S48" s="3706"/>
      <c r="T48" s="3706">
        <f>G48</f>
        <v>0</v>
      </c>
      <c r="U48" s="3706"/>
      <c r="V48" s="3706">
        <f>I48</f>
        <v>0</v>
      </c>
      <c r="W48" s="3706"/>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3"/>
      <c r="M49" s="2715"/>
      <c r="N49" s="2715"/>
      <c r="O49" s="2715"/>
      <c r="P49" s="3687" t="str">
        <f>A49</f>
        <v>比较价值（元/平方米）</v>
      </c>
      <c r="Q49" s="3705"/>
      <c r="R49" s="3706" t="e">
        <f>IF(F1="售价",ROUND(PRODUCT(R48,AA7:AA47),0),ROUND(PRODUCT(R48,AA7:AA47),1))</f>
        <v>#DIV/0!</v>
      </c>
      <c r="S49" s="3706"/>
      <c r="T49" s="3706" t="e">
        <f>IF(F1="售价",ROUND(PRODUCT(T48,AB7:AB47),0),ROUND(PRODUCT(T48,AB7:AB47),1))</f>
        <v>#DIV/0!</v>
      </c>
      <c r="U49" s="3706"/>
      <c r="V49" s="3706" t="e">
        <f>IF(F1="售价",ROUND(PRODUCT(V48,AC7:AC47),0),ROUND(PRODUCT(V48,AC7:AC47),1))</f>
        <v>#DIV/0!</v>
      </c>
      <c r="W49" s="370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受贵公司委托，我公司对江苏省南京市栖霞区元化路8号2幢101室房地产抵押价值进行了预评估。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估价对象为江苏省南京市栖霞区元化路8号2幢101室房地产，为所有。根据《国有土地使用证》[]，估价对象（分摊）出让国有建设用地使用权面积为0平方米，建筑面积为17198.24平方米。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南京市栖霞区元化路8号2幢101室房地产,属开发建设的，该项目尚在开发建设中。根据《国有土地使用证》[]，估价对象（分摊）出让国有建设用地使用权面积为0平方米，规划建筑面积为17198.24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江苏省南京市栖霞区元化路8号2幢101室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2023年5月15日（评估专业人员实地查勘之日）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17198.240000000002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913"/>
      <c r="M4" s="914"/>
      <c r="N4" s="914"/>
      <c r="O4" s="914"/>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913"/>
      <c r="M5" s="914"/>
      <c r="N5" s="914"/>
      <c r="O5" s="914"/>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913"/>
      <c r="M6" s="914"/>
      <c r="N6" s="914"/>
      <c r="O6" s="914"/>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45061</v>
      </c>
      <c r="D7" s="365">
        <v>100</v>
      </c>
      <c r="E7" s="366"/>
      <c r="F7" s="367">
        <f>SUMIF(52:52,YEAR(E7)&amp;"-"&amp;MONTH(E7),53:53)</f>
        <v>0</v>
      </c>
      <c r="G7" s="366"/>
      <c r="H7" s="365">
        <f>SUMIF(52:52,YEAR(G7)&amp;"-"&amp;MONTH(G7),53:53)</f>
        <v>0</v>
      </c>
      <c r="I7" s="366"/>
      <c r="J7" s="365">
        <f>SUMIF(52:52,YEAR(I7)&amp;"-"&amp;MONTH(I7),53:53)</f>
        <v>0</v>
      </c>
      <c r="K7" s="560"/>
      <c r="L7" s="915"/>
      <c r="M7" s="916"/>
      <c r="N7" s="916"/>
      <c r="O7" s="916"/>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3" t="s">
        <v>1683</v>
      </c>
      <c r="Q8" s="3674"/>
      <c r="R8" s="701" t="s">
        <v>14</v>
      </c>
      <c r="S8" s="702">
        <f t="shared" si="0"/>
        <v>100</v>
      </c>
      <c r="T8" s="701" t="s">
        <v>14</v>
      </c>
      <c r="U8" s="702">
        <f t="shared" si="1"/>
        <v>100</v>
      </c>
      <c r="V8" s="701" t="s">
        <v>14</v>
      </c>
      <c r="W8" s="702">
        <f t="shared" si="2"/>
        <v>100</v>
      </c>
      <c r="X8" s="703"/>
      <c r="Y8" s="3673" t="s">
        <v>1683</v>
      </c>
      <c r="Z8" s="367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5"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5"/>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5"/>
      <c r="Q11" s="1343"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5"/>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5"/>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7" t="s">
        <v>1691</v>
      </c>
      <c r="Q15" s="1352" t="str">
        <f t="shared" si="6"/>
        <v>产业集聚程度</v>
      </c>
      <c r="R15" s="705" t="s">
        <v>14</v>
      </c>
      <c r="S15" s="706">
        <f t="shared" si="0"/>
        <v>100</v>
      </c>
      <c r="T15" s="705" t="s">
        <v>14</v>
      </c>
      <c r="U15" s="706">
        <f t="shared" si="1"/>
        <v>100</v>
      </c>
      <c r="V15" s="705" t="s">
        <v>14</v>
      </c>
      <c r="W15" s="706">
        <f t="shared" si="2"/>
        <v>100</v>
      </c>
      <c r="X15" s="1355"/>
      <c r="Y15" s="370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8"/>
      <c r="Q16" s="1352"/>
      <c r="R16" s="705"/>
      <c r="S16" s="706"/>
      <c r="T16" s="705"/>
      <c r="U16" s="706"/>
      <c r="V16" s="705"/>
      <c r="W16" s="706"/>
      <c r="X16" s="1355"/>
      <c r="Y16" s="370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8"/>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8"/>
      <c r="Q18" s="1352"/>
      <c r="R18" s="705"/>
      <c r="S18" s="706"/>
      <c r="T18" s="705"/>
      <c r="U18" s="706"/>
      <c r="V18" s="705"/>
      <c r="W18" s="706"/>
      <c r="X18" s="1355"/>
      <c r="Y18" s="370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8"/>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8"/>
      <c r="Q20" s="1352"/>
      <c r="R20" s="705"/>
      <c r="S20" s="706"/>
      <c r="T20" s="705"/>
      <c r="U20" s="706"/>
      <c r="V20" s="705"/>
      <c r="W20" s="706"/>
      <c r="X20" s="1355"/>
      <c r="Y20" s="370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8"/>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8"/>
      <c r="Q22" s="1352"/>
      <c r="R22" s="705"/>
      <c r="S22" s="706"/>
      <c r="T22" s="705"/>
      <c r="U22" s="706"/>
      <c r="V22" s="705"/>
      <c r="W22" s="706"/>
      <c r="X22" s="1355"/>
      <c r="Y22" s="370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8"/>
      <c r="Q23" s="1352" t="str">
        <f>B23</f>
        <v>环境质量</v>
      </c>
      <c r="R23" s="705" t="s">
        <v>14</v>
      </c>
      <c r="S23" s="706">
        <f>F23</f>
        <v>100</v>
      </c>
      <c r="T23" s="705" t="s">
        <v>14</v>
      </c>
      <c r="U23" s="706">
        <f>H23</f>
        <v>100</v>
      </c>
      <c r="V23" s="705" t="s">
        <v>14</v>
      </c>
      <c r="W23" s="706">
        <f>J23</f>
        <v>100</v>
      </c>
      <c r="X23" s="1355"/>
      <c r="Y23" s="370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8"/>
      <c r="Q24" s="1352"/>
      <c r="R24" s="705"/>
      <c r="S24" s="706"/>
      <c r="T24" s="705"/>
      <c r="U24" s="706"/>
      <c r="V24" s="705"/>
      <c r="W24" s="706"/>
      <c r="X24" s="1355"/>
      <c r="Y24" s="370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8"/>
      <c r="Q25" s="1352">
        <f>B25</f>
        <v>111</v>
      </c>
      <c r="R25" s="705" t="s">
        <v>14</v>
      </c>
      <c r="S25" s="706">
        <f>F25</f>
        <v>100</v>
      </c>
      <c r="T25" s="705" t="s">
        <v>14</v>
      </c>
      <c r="U25" s="706">
        <f>H25</f>
        <v>100</v>
      </c>
      <c r="V25" s="705" t="s">
        <v>14</v>
      </c>
      <c r="W25" s="706">
        <f>J25</f>
        <v>100</v>
      </c>
      <c r="X25" s="1355"/>
      <c r="Y25" s="370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8"/>
      <c r="Q26" s="1352">
        <f t="shared" ref="Q26:Q40" si="11">B26</f>
        <v>111</v>
      </c>
      <c r="R26" s="705" t="s">
        <v>14</v>
      </c>
      <c r="S26" s="706">
        <f>F26</f>
        <v>100</v>
      </c>
      <c r="T26" s="705" t="s">
        <v>14</v>
      </c>
      <c r="U26" s="706">
        <f>H26</f>
        <v>100</v>
      </c>
      <c r="V26" s="705" t="s">
        <v>14</v>
      </c>
      <c r="W26" s="706">
        <f>J26</f>
        <v>100</v>
      </c>
      <c r="X26" s="1355"/>
      <c r="Y26" s="370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8"/>
      <c r="Q27" s="1343">
        <f t="shared" si="11"/>
        <v>111</v>
      </c>
      <c r="R27" s="701" t="s">
        <v>14</v>
      </c>
      <c r="S27" s="702">
        <f>F27</f>
        <v>100</v>
      </c>
      <c r="T27" s="701" t="s">
        <v>14</v>
      </c>
      <c r="U27" s="702">
        <f>H27</f>
        <v>100</v>
      </c>
      <c r="V27" s="701" t="s">
        <v>14</v>
      </c>
      <c r="W27" s="702">
        <f>J27</f>
        <v>100</v>
      </c>
      <c r="X27" s="703"/>
      <c r="Y27" s="370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8"/>
      <c r="Q28" s="1352">
        <f t="shared" si="11"/>
        <v>111</v>
      </c>
      <c r="R28" s="705" t="s">
        <v>14</v>
      </c>
      <c r="S28" s="706">
        <f t="shared" ref="S28:S40" si="12">F28</f>
        <v>100</v>
      </c>
      <c r="T28" s="705" t="s">
        <v>14</v>
      </c>
      <c r="U28" s="706">
        <f t="shared" ref="U28:U40" si="13">H28</f>
        <v>100</v>
      </c>
      <c r="V28" s="705" t="s">
        <v>14</v>
      </c>
      <c r="W28" s="706">
        <f t="shared" ref="W28:W40" si="14">J28</f>
        <v>100</v>
      </c>
      <c r="X28" s="1355"/>
      <c r="Y28" s="370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1" t="s">
        <v>1696</v>
      </c>
      <c r="Q29" s="1352" t="str">
        <f t="shared" si="11"/>
        <v>建筑类型</v>
      </c>
      <c r="R29" s="705" t="s">
        <v>14</v>
      </c>
      <c r="S29" s="706">
        <f t="shared" si="12"/>
        <v>100</v>
      </c>
      <c r="T29" s="705" t="s">
        <v>14</v>
      </c>
      <c r="U29" s="706">
        <f t="shared" si="13"/>
        <v>100</v>
      </c>
      <c r="V29" s="705" t="s">
        <v>14</v>
      </c>
      <c r="W29" s="706">
        <f t="shared" si="14"/>
        <v>100</v>
      </c>
      <c r="X29" s="1355"/>
      <c r="Y29" s="371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2"/>
      <c r="Q30" s="707" t="str">
        <f t="shared" si="11"/>
        <v>项目建筑规模</v>
      </c>
      <c r="R30" s="708" t="s">
        <v>14</v>
      </c>
      <c r="S30" s="709" t="e">
        <f t="shared" si="12"/>
        <v>#N/A</v>
      </c>
      <c r="T30" s="708" t="s">
        <v>14</v>
      </c>
      <c r="U30" s="709" t="e">
        <f t="shared" si="13"/>
        <v>#N/A</v>
      </c>
      <c r="V30" s="708" t="s">
        <v>14</v>
      </c>
      <c r="W30" s="709" t="e">
        <f t="shared" si="14"/>
        <v>#N/A</v>
      </c>
      <c r="X30" s="710"/>
      <c r="Y30" s="371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2"/>
      <c r="Q31" s="1352" t="str">
        <f t="shared" si="11"/>
        <v>建筑结构</v>
      </c>
      <c r="R31" s="705" t="s">
        <v>14</v>
      </c>
      <c r="S31" s="706">
        <f t="shared" si="12"/>
        <v>100</v>
      </c>
      <c r="T31" s="705" t="s">
        <v>14</v>
      </c>
      <c r="U31" s="706">
        <f t="shared" si="13"/>
        <v>100</v>
      </c>
      <c r="V31" s="705" t="s">
        <v>14</v>
      </c>
      <c r="W31" s="706">
        <f t="shared" si="14"/>
        <v>100</v>
      </c>
      <c r="X31" s="1355"/>
      <c r="Y31" s="371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2"/>
      <c r="Q32" s="1352" t="str">
        <f t="shared" si="11"/>
        <v>公共部分装修</v>
      </c>
      <c r="R32" s="705" t="s">
        <v>14</v>
      </c>
      <c r="S32" s="706">
        <f t="shared" si="12"/>
        <v>100</v>
      </c>
      <c r="T32" s="705" t="s">
        <v>14</v>
      </c>
      <c r="U32" s="706">
        <f t="shared" si="13"/>
        <v>100</v>
      </c>
      <c r="V32" s="705" t="s">
        <v>14</v>
      </c>
      <c r="W32" s="706">
        <f t="shared" si="14"/>
        <v>100</v>
      </c>
      <c r="X32" s="1355"/>
      <c r="Y32" s="371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2"/>
      <c r="Q33" s="1352" t="str">
        <f t="shared" si="11"/>
        <v>成新度</v>
      </c>
      <c r="R33" s="705" t="s">
        <v>14</v>
      </c>
      <c r="S33" s="706" t="e">
        <f t="shared" si="12"/>
        <v>#N/A</v>
      </c>
      <c r="T33" s="705" t="s">
        <v>14</v>
      </c>
      <c r="U33" s="706" t="e">
        <f t="shared" si="13"/>
        <v>#N/A</v>
      </c>
      <c r="V33" s="705" t="s">
        <v>14</v>
      </c>
      <c r="W33" s="706" t="e">
        <f t="shared" si="14"/>
        <v>#N/A</v>
      </c>
      <c r="X33" s="1355"/>
      <c r="Y33" s="371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2"/>
      <c r="Q34" s="1343" t="str">
        <f t="shared" si="11"/>
        <v>物业管理</v>
      </c>
      <c r="R34" s="701" t="s">
        <v>14</v>
      </c>
      <c r="S34" s="702">
        <f t="shared" si="12"/>
        <v>100</v>
      </c>
      <c r="T34" s="701" t="s">
        <v>14</v>
      </c>
      <c r="U34" s="702">
        <f t="shared" si="13"/>
        <v>100</v>
      </c>
      <c r="V34" s="701" t="s">
        <v>14</v>
      </c>
      <c r="W34" s="702">
        <f t="shared" si="14"/>
        <v>100</v>
      </c>
      <c r="X34" s="703"/>
      <c r="Y34" s="371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2" t="s">
        <v>1696</v>
      </c>
      <c r="Q35" s="1352" t="str">
        <f t="shared" si="11"/>
        <v>市政基础设施</v>
      </c>
      <c r="R35" s="705" t="s">
        <v>14</v>
      </c>
      <c r="S35" s="706">
        <f t="shared" si="12"/>
        <v>100</v>
      </c>
      <c r="T35" s="705" t="s">
        <v>14</v>
      </c>
      <c r="U35" s="706">
        <f t="shared" si="13"/>
        <v>100</v>
      </c>
      <c r="V35" s="705" t="s">
        <v>14</v>
      </c>
      <c r="W35" s="706">
        <f t="shared" si="14"/>
        <v>100</v>
      </c>
      <c r="X35" s="1355"/>
      <c r="Y35" s="371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2"/>
      <c r="Q36" s="1352" t="str">
        <f t="shared" si="11"/>
        <v>内部装修</v>
      </c>
      <c r="R36" s="705" t="s">
        <v>14</v>
      </c>
      <c r="S36" s="706">
        <f t="shared" si="12"/>
        <v>100</v>
      </c>
      <c r="T36" s="705" t="s">
        <v>14</v>
      </c>
      <c r="U36" s="706">
        <f t="shared" si="13"/>
        <v>100</v>
      </c>
      <c r="V36" s="705" t="s">
        <v>14</v>
      </c>
      <c r="W36" s="706">
        <f t="shared" si="14"/>
        <v>100</v>
      </c>
      <c r="X36" s="1355"/>
      <c r="Y36" s="371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2"/>
      <c r="Q37" s="1352" t="str">
        <f t="shared" si="11"/>
        <v>内部装修状况</v>
      </c>
      <c r="R37" s="705" t="s">
        <v>14</v>
      </c>
      <c r="S37" s="706">
        <f t="shared" si="12"/>
        <v>100</v>
      </c>
      <c r="T37" s="705" t="s">
        <v>14</v>
      </c>
      <c r="U37" s="706">
        <f t="shared" si="13"/>
        <v>100</v>
      </c>
      <c r="V37" s="705" t="s">
        <v>14</v>
      </c>
      <c r="W37" s="706">
        <f t="shared" si="14"/>
        <v>100</v>
      </c>
      <c r="X37" s="1355"/>
      <c r="Y37" s="371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2"/>
      <c r="Q38" s="707">
        <f t="shared" si="11"/>
        <v>111</v>
      </c>
      <c r="R38" s="708" t="s">
        <v>14</v>
      </c>
      <c r="S38" s="709">
        <f t="shared" si="12"/>
        <v>100</v>
      </c>
      <c r="T38" s="708" t="s">
        <v>14</v>
      </c>
      <c r="U38" s="709">
        <f t="shared" si="13"/>
        <v>100</v>
      </c>
      <c r="V38" s="708" t="s">
        <v>14</v>
      </c>
      <c r="W38" s="709">
        <f t="shared" si="14"/>
        <v>100</v>
      </c>
      <c r="X38" s="710"/>
      <c r="Y38" s="371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2"/>
      <c r="Q39" s="1352">
        <f t="shared" si="11"/>
        <v>111</v>
      </c>
      <c r="R39" s="705" t="s">
        <v>14</v>
      </c>
      <c r="S39" s="706">
        <f t="shared" si="12"/>
        <v>100</v>
      </c>
      <c r="T39" s="705" t="s">
        <v>14</v>
      </c>
      <c r="U39" s="706">
        <f t="shared" si="13"/>
        <v>100</v>
      </c>
      <c r="V39" s="705" t="s">
        <v>14</v>
      </c>
      <c r="W39" s="706">
        <f t="shared" si="14"/>
        <v>100</v>
      </c>
      <c r="X39" s="1355"/>
      <c r="Y39" s="371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3"/>
      <c r="Q40" s="1352">
        <f t="shared" si="11"/>
        <v>111</v>
      </c>
      <c r="R40" s="705" t="s">
        <v>14</v>
      </c>
      <c r="S40" s="706">
        <f t="shared" si="12"/>
        <v>100</v>
      </c>
      <c r="T40" s="705" t="s">
        <v>14</v>
      </c>
      <c r="U40" s="706">
        <f t="shared" si="13"/>
        <v>100</v>
      </c>
      <c r="V40" s="705" t="s">
        <v>14</v>
      </c>
      <c r="W40" s="706">
        <f t="shared" si="14"/>
        <v>100</v>
      </c>
      <c r="X40" s="1355"/>
      <c r="Y40" s="371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5" t="str">
        <f>A41</f>
        <v>成交单价（元/平方米）</v>
      </c>
      <c r="Q41" s="3705"/>
      <c r="R41" s="3706">
        <f>E41</f>
        <v>0</v>
      </c>
      <c r="S41" s="3706"/>
      <c r="T41" s="3706">
        <f>G41</f>
        <v>0</v>
      </c>
      <c r="U41" s="3706"/>
      <c r="V41" s="3706">
        <f>I41</f>
        <v>0</v>
      </c>
      <c r="W41" s="3706"/>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05" t="str">
        <f>A42</f>
        <v>比较价值（元/平方米）</v>
      </c>
      <c r="Q42" s="37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2" t="str">
        <f>A43</f>
        <v>估价对象XX用房的比较价值（楼面单价，元/平方米）</v>
      </c>
      <c r="Q43" s="3703"/>
      <c r="R43" s="3704" t="e">
        <f>IF(F1="售价",ROUND(IF(D42="简单平均",AVERAGE(R42:V42),R42*F42+T42*H42+V42*J42),0),ROUND(IF(D42="简单平均",AVERAGE(R42:V42),R42*F42+T42*H42+V42*J42),1))</f>
        <v>#DIV/0!</v>
      </c>
      <c r="S43" s="3704"/>
      <c r="T43" s="3704"/>
      <c r="U43" s="3704"/>
      <c r="V43" s="3704"/>
      <c r="W43" s="3704"/>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4"/>
      <c r="M5" s="2715"/>
      <c r="N5" s="2715"/>
      <c r="O5" s="2715"/>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2714"/>
      <c r="M6" s="2715"/>
      <c r="N6" s="2715"/>
      <c r="O6" s="2715"/>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45061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3" t="s">
        <v>1680</v>
      </c>
      <c r="Q7" s="3701"/>
      <c r="R7" s="701" t="s">
        <v>14</v>
      </c>
      <c r="S7" s="702">
        <f t="shared" ref="S7:S14" si="0">F7</f>
        <v>0</v>
      </c>
      <c r="T7" s="701" t="s">
        <v>14</v>
      </c>
      <c r="U7" s="702">
        <f t="shared" ref="U7:U14" si="1">H7</f>
        <v>0</v>
      </c>
      <c r="V7" s="701" t="s">
        <v>14</v>
      </c>
      <c r="W7" s="702">
        <f t="shared" ref="W7:W14"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3" t="s">
        <v>1683</v>
      </c>
      <c r="Q8" s="3674"/>
      <c r="R8" s="701" t="s">
        <v>14</v>
      </c>
      <c r="S8" s="702">
        <f t="shared" si="0"/>
        <v>100</v>
      </c>
      <c r="T8" s="701" t="s">
        <v>14</v>
      </c>
      <c r="U8" s="702">
        <f t="shared" si="1"/>
        <v>100</v>
      </c>
      <c r="V8" s="701" t="s">
        <v>14</v>
      </c>
      <c r="W8" s="702">
        <f t="shared" si="2"/>
        <v>100</v>
      </c>
      <c r="X8" s="703"/>
      <c r="Y8" s="3673" t="s">
        <v>1683</v>
      </c>
      <c r="Z8" s="367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5" t="s">
        <v>1686</v>
      </c>
      <c r="Q9" s="1343" t="str">
        <f t="shared" ref="Q9:Q14" si="6">B9</f>
        <v>用途</v>
      </c>
      <c r="R9" s="701" t="s">
        <v>14</v>
      </c>
      <c r="S9" s="702">
        <f t="shared" si="0"/>
        <v>100</v>
      </c>
      <c r="T9" s="701" t="s">
        <v>14</v>
      </c>
      <c r="U9" s="702">
        <f t="shared" si="1"/>
        <v>100</v>
      </c>
      <c r="V9" s="701" t="s">
        <v>14</v>
      </c>
      <c r="W9" s="702">
        <f t="shared" si="2"/>
        <v>100</v>
      </c>
      <c r="X9" s="703"/>
      <c r="Y9" s="3617"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5"/>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5"/>
      <c r="Q11" s="1343">
        <f t="shared" si="6"/>
        <v>111</v>
      </c>
      <c r="R11" s="701" t="s">
        <v>14</v>
      </c>
      <c r="S11" s="702">
        <f t="shared" si="0"/>
        <v>100</v>
      </c>
      <c r="T11" s="701" t="s">
        <v>14</v>
      </c>
      <c r="U11" s="702">
        <f t="shared" si="1"/>
        <v>100</v>
      </c>
      <c r="V11" s="701" t="s">
        <v>14</v>
      </c>
      <c r="W11" s="702">
        <f t="shared" si="2"/>
        <v>100</v>
      </c>
      <c r="X11" s="703"/>
      <c r="Y11" s="361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5"/>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7" t="s">
        <v>1691</v>
      </c>
      <c r="Q14" s="1352" t="str">
        <f t="shared" si="6"/>
        <v>交通便捷度</v>
      </c>
      <c r="R14" s="705" t="s">
        <v>14</v>
      </c>
      <c r="S14" s="706">
        <f t="shared" si="0"/>
        <v>100</v>
      </c>
      <c r="T14" s="705" t="s">
        <v>14</v>
      </c>
      <c r="U14" s="706">
        <f t="shared" si="1"/>
        <v>100</v>
      </c>
      <c r="V14" s="705" t="s">
        <v>14</v>
      </c>
      <c r="W14" s="706">
        <f t="shared" si="2"/>
        <v>100</v>
      </c>
      <c r="X14" s="1355"/>
      <c r="Y14" s="370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08"/>
      <c r="Q15" s="1352"/>
      <c r="R15" s="705"/>
      <c r="S15" s="706"/>
      <c r="T15" s="705"/>
      <c r="U15" s="706"/>
      <c r="V15" s="705"/>
      <c r="W15" s="706"/>
      <c r="X15" s="1355"/>
      <c r="Y15" s="370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8"/>
      <c r="Q16" s="1352" t="str">
        <f>B16</f>
        <v>公共配套设施</v>
      </c>
      <c r="R16" s="705" t="s">
        <v>14</v>
      </c>
      <c r="S16" s="706">
        <f>F16</f>
        <v>100</v>
      </c>
      <c r="T16" s="705" t="s">
        <v>14</v>
      </c>
      <c r="U16" s="706">
        <f>H16</f>
        <v>100</v>
      </c>
      <c r="V16" s="705" t="s">
        <v>14</v>
      </c>
      <c r="W16" s="706">
        <f>J16</f>
        <v>100</v>
      </c>
      <c r="X16" s="1355"/>
      <c r="Y16" s="370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08"/>
      <c r="Q17" s="1352"/>
      <c r="R17" s="705"/>
      <c r="S17" s="706"/>
      <c r="T17" s="705"/>
      <c r="U17" s="706"/>
      <c r="V17" s="705"/>
      <c r="W17" s="706"/>
      <c r="X17" s="1355"/>
      <c r="Y17" s="370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8"/>
      <c r="Q18" s="1352" t="str">
        <f>B18</f>
        <v>基础设施水平</v>
      </c>
      <c r="R18" s="705" t="s">
        <v>14</v>
      </c>
      <c r="S18" s="706">
        <f>F18</f>
        <v>100</v>
      </c>
      <c r="T18" s="705" t="s">
        <v>14</v>
      </c>
      <c r="U18" s="706">
        <f>H18</f>
        <v>100</v>
      </c>
      <c r="V18" s="705" t="s">
        <v>14</v>
      </c>
      <c r="W18" s="706">
        <f>J18</f>
        <v>100</v>
      </c>
      <c r="X18" s="1355"/>
      <c r="Y18" s="370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08"/>
      <c r="Q19" s="1352"/>
      <c r="R19" s="705"/>
      <c r="S19" s="706"/>
      <c r="T19" s="705"/>
      <c r="U19" s="706"/>
      <c r="V19" s="705"/>
      <c r="W19" s="706"/>
      <c r="X19" s="1355"/>
      <c r="Y19" s="370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8"/>
      <c r="Q20" s="1352" t="str">
        <f>B20</f>
        <v>自然及人文环境</v>
      </c>
      <c r="R20" s="705" t="s">
        <v>14</v>
      </c>
      <c r="S20" s="706">
        <f>F20</f>
        <v>100</v>
      </c>
      <c r="T20" s="705" t="s">
        <v>14</v>
      </c>
      <c r="U20" s="706">
        <f>H20</f>
        <v>100</v>
      </c>
      <c r="V20" s="705" t="s">
        <v>14</v>
      </c>
      <c r="W20" s="706">
        <f>J20</f>
        <v>100</v>
      </c>
      <c r="X20" s="1355"/>
      <c r="Y20" s="370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08"/>
      <c r="Q21" s="1352"/>
      <c r="R21" s="705"/>
      <c r="S21" s="706"/>
      <c r="T21" s="705"/>
      <c r="U21" s="706"/>
      <c r="V21" s="705"/>
      <c r="W21" s="706"/>
      <c r="X21" s="1355"/>
      <c r="Y21" s="370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8"/>
      <c r="Q22" s="1352" t="str">
        <f>B22</f>
        <v>楼层</v>
      </c>
      <c r="R22" s="705" t="s">
        <v>14</v>
      </c>
      <c r="S22" s="706">
        <f>F22</f>
        <v>100</v>
      </c>
      <c r="T22" s="705" t="s">
        <v>14</v>
      </c>
      <c r="U22" s="706">
        <f>H22</f>
        <v>100</v>
      </c>
      <c r="V22" s="705" t="s">
        <v>14</v>
      </c>
      <c r="W22" s="706">
        <f>J22</f>
        <v>100</v>
      </c>
      <c r="X22" s="1355"/>
      <c r="Y22" s="370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8"/>
      <c r="Q23" s="1352">
        <f>B23</f>
        <v>111</v>
      </c>
      <c r="R23" s="705" t="s">
        <v>14</v>
      </c>
      <c r="S23" s="706">
        <f>F23</f>
        <v>100</v>
      </c>
      <c r="T23" s="705" t="s">
        <v>14</v>
      </c>
      <c r="U23" s="706">
        <f>H23</f>
        <v>100</v>
      </c>
      <c r="V23" s="705" t="s">
        <v>14</v>
      </c>
      <c r="W23" s="706">
        <f>J23</f>
        <v>100</v>
      </c>
      <c r="X23" s="1355"/>
      <c r="Y23" s="370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8"/>
      <c r="Q24" s="1352">
        <f t="shared" ref="Q24:Q36" si="11">B24</f>
        <v>111</v>
      </c>
      <c r="R24" s="705" t="s">
        <v>14</v>
      </c>
      <c r="S24" s="706">
        <f>F24</f>
        <v>100</v>
      </c>
      <c r="T24" s="705" t="s">
        <v>14</v>
      </c>
      <c r="U24" s="706">
        <f>H24</f>
        <v>100</v>
      </c>
      <c r="V24" s="705" t="s">
        <v>14</v>
      </c>
      <c r="W24" s="706">
        <f>J24</f>
        <v>100</v>
      </c>
      <c r="X24" s="1355"/>
      <c r="Y24" s="370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8"/>
      <c r="Q25" s="1343">
        <f t="shared" si="11"/>
        <v>111</v>
      </c>
      <c r="R25" s="701" t="s">
        <v>14</v>
      </c>
      <c r="S25" s="702">
        <f>F25</f>
        <v>100</v>
      </c>
      <c r="T25" s="701" t="s">
        <v>14</v>
      </c>
      <c r="U25" s="702">
        <f>H25</f>
        <v>100</v>
      </c>
      <c r="V25" s="701" t="s">
        <v>14</v>
      </c>
      <c r="W25" s="702">
        <f>J25</f>
        <v>100</v>
      </c>
      <c r="X25" s="703"/>
      <c r="Y25" s="370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2"/>
      <c r="Q27" s="707" t="str">
        <f t="shared" si="11"/>
        <v>项目停车位配比</v>
      </c>
      <c r="R27" s="708" t="s">
        <v>14</v>
      </c>
      <c r="S27" s="709">
        <f t="shared" si="12"/>
        <v>100</v>
      </c>
      <c r="T27" s="708" t="s">
        <v>14</v>
      </c>
      <c r="U27" s="709">
        <f t="shared" si="13"/>
        <v>100</v>
      </c>
      <c r="V27" s="708" t="s">
        <v>14</v>
      </c>
      <c r="W27" s="709">
        <f t="shared" si="14"/>
        <v>100</v>
      </c>
      <c r="X27" s="710"/>
      <c r="Y27" s="371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2"/>
      <c r="Q28" s="1352" t="str">
        <f t="shared" si="11"/>
        <v>公共部分装修</v>
      </c>
      <c r="R28" s="705" t="s">
        <v>14</v>
      </c>
      <c r="S28" s="706">
        <f t="shared" si="12"/>
        <v>100</v>
      </c>
      <c r="T28" s="705" t="s">
        <v>14</v>
      </c>
      <c r="U28" s="706">
        <f t="shared" si="13"/>
        <v>100</v>
      </c>
      <c r="V28" s="705" t="s">
        <v>14</v>
      </c>
      <c r="W28" s="706">
        <f t="shared" si="14"/>
        <v>100</v>
      </c>
      <c r="X28" s="1355"/>
      <c r="Y28" s="371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2"/>
      <c r="Q29" s="1352" t="str">
        <f t="shared" si="11"/>
        <v>成新率</v>
      </c>
      <c r="R29" s="705" t="s">
        <v>14</v>
      </c>
      <c r="S29" s="706" t="e">
        <f t="shared" si="12"/>
        <v>#N/A</v>
      </c>
      <c r="T29" s="705" t="s">
        <v>14</v>
      </c>
      <c r="U29" s="706" t="e">
        <f t="shared" si="13"/>
        <v>#N/A</v>
      </c>
      <c r="V29" s="705" t="s">
        <v>14</v>
      </c>
      <c r="W29" s="706" t="e">
        <f t="shared" si="14"/>
        <v>#N/A</v>
      </c>
      <c r="X29" s="1355"/>
      <c r="Y29" s="371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2"/>
      <c r="Q30" s="1352" t="str">
        <f t="shared" si="11"/>
        <v>物业等级</v>
      </c>
      <c r="R30" s="705" t="s">
        <v>14</v>
      </c>
      <c r="S30" s="706">
        <f t="shared" si="12"/>
        <v>100</v>
      </c>
      <c r="T30" s="705" t="s">
        <v>14</v>
      </c>
      <c r="U30" s="706">
        <f t="shared" si="13"/>
        <v>100</v>
      </c>
      <c r="V30" s="705" t="s">
        <v>14</v>
      </c>
      <c r="W30" s="706">
        <f t="shared" si="14"/>
        <v>100</v>
      </c>
      <c r="X30" s="1355"/>
      <c r="Y30" s="371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2"/>
      <c r="Q31" s="1343" t="str">
        <f t="shared" si="11"/>
        <v>停车位面积</v>
      </c>
      <c r="R31" s="701" t="s">
        <v>14</v>
      </c>
      <c r="S31" s="702" t="e">
        <f t="shared" si="12"/>
        <v>#N/A</v>
      </c>
      <c r="T31" s="701" t="s">
        <v>14</v>
      </c>
      <c r="U31" s="702" t="e">
        <f t="shared" si="13"/>
        <v>#N/A</v>
      </c>
      <c r="V31" s="701" t="s">
        <v>14</v>
      </c>
      <c r="W31" s="702" t="e">
        <f t="shared" si="14"/>
        <v>#N/A</v>
      </c>
      <c r="X31" s="703"/>
      <c r="Y31" s="371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2" t="s">
        <v>1696</v>
      </c>
      <c r="Q32" s="1352" t="str">
        <f t="shared" si="11"/>
        <v>车位类型</v>
      </c>
      <c r="R32" s="705" t="s">
        <v>14</v>
      </c>
      <c r="S32" s="706">
        <f t="shared" si="12"/>
        <v>100</v>
      </c>
      <c r="T32" s="705" t="s">
        <v>14</v>
      </c>
      <c r="U32" s="706">
        <f t="shared" si="13"/>
        <v>100</v>
      </c>
      <c r="V32" s="705" t="s">
        <v>14</v>
      </c>
      <c r="W32" s="706">
        <f t="shared" si="14"/>
        <v>100</v>
      </c>
      <c r="X32" s="1355"/>
      <c r="Y32" s="371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2"/>
      <c r="Q33" s="1352" t="str">
        <f t="shared" si="11"/>
        <v>是否直接入户</v>
      </c>
      <c r="R33" s="705" t="s">
        <v>14</v>
      </c>
      <c r="S33" s="706">
        <f t="shared" si="12"/>
        <v>100</v>
      </c>
      <c r="T33" s="705" t="s">
        <v>14</v>
      </c>
      <c r="U33" s="706">
        <f t="shared" si="13"/>
        <v>100</v>
      </c>
      <c r="V33" s="705" t="s">
        <v>14</v>
      </c>
      <c r="W33" s="706">
        <f t="shared" si="14"/>
        <v>100</v>
      </c>
      <c r="X33" s="1355"/>
      <c r="Y33" s="371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2"/>
      <c r="Q34" s="1352">
        <f t="shared" si="11"/>
        <v>111</v>
      </c>
      <c r="R34" s="705" t="s">
        <v>14</v>
      </c>
      <c r="S34" s="706">
        <f t="shared" si="12"/>
        <v>100</v>
      </c>
      <c r="T34" s="705" t="s">
        <v>14</v>
      </c>
      <c r="U34" s="706">
        <f t="shared" si="13"/>
        <v>100</v>
      </c>
      <c r="V34" s="705" t="s">
        <v>14</v>
      </c>
      <c r="W34" s="706">
        <f t="shared" si="14"/>
        <v>100</v>
      </c>
      <c r="X34" s="1355"/>
      <c r="Y34" s="371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2"/>
      <c r="Q35" s="707">
        <f t="shared" si="11"/>
        <v>111</v>
      </c>
      <c r="R35" s="708" t="s">
        <v>14</v>
      </c>
      <c r="S35" s="709">
        <f t="shared" si="12"/>
        <v>100</v>
      </c>
      <c r="T35" s="708" t="s">
        <v>14</v>
      </c>
      <c r="U35" s="709">
        <f t="shared" si="13"/>
        <v>100</v>
      </c>
      <c r="V35" s="708" t="s">
        <v>14</v>
      </c>
      <c r="W35" s="709">
        <f t="shared" si="14"/>
        <v>100</v>
      </c>
      <c r="X35" s="710"/>
      <c r="Y35" s="371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2"/>
      <c r="Q36" s="1352">
        <f t="shared" si="11"/>
        <v>111</v>
      </c>
      <c r="R36" s="705" t="s">
        <v>14</v>
      </c>
      <c r="S36" s="706">
        <f t="shared" si="12"/>
        <v>100</v>
      </c>
      <c r="T36" s="705" t="s">
        <v>14</v>
      </c>
      <c r="U36" s="706">
        <f t="shared" si="13"/>
        <v>100</v>
      </c>
      <c r="V36" s="705" t="s">
        <v>14</v>
      </c>
      <c r="W36" s="706">
        <f t="shared" si="14"/>
        <v>100</v>
      </c>
      <c r="X36" s="1355"/>
      <c r="Y36" s="3712"/>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3"/>
      <c r="M37" s="2724"/>
      <c r="N37" s="2715"/>
      <c r="O37" s="2724"/>
      <c r="P37" s="3705" t="str">
        <f>A37</f>
        <v>成交单价</v>
      </c>
      <c r="Q37" s="3705"/>
      <c r="R37" s="3706">
        <f>E37</f>
        <v>0</v>
      </c>
      <c r="S37" s="3706"/>
      <c r="T37" s="3706">
        <f>G37</f>
        <v>0</v>
      </c>
      <c r="U37" s="3706"/>
      <c r="V37" s="3706">
        <f>I37</f>
        <v>0</v>
      </c>
      <c r="W37" s="3706"/>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3"/>
      <c r="M38" s="2724"/>
      <c r="N38" s="2724"/>
      <c r="O38" s="2724"/>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02" t="str">
        <f>A39</f>
        <v>估价对象XX用房的比较价值（楼面单价，元/平方米）</v>
      </c>
      <c r="Q39" s="3703"/>
      <c r="R39" s="3732" t="e">
        <f>IF(F1="售价",ROUND(IF(D38="简单平均",AVERAGE(R38:W38),R38*F38+T38*H38+V38*J38),0),ROUND(IF(D38="简单平均",AVERAGE(R38:V38),R38*F38+T38*H38+V38*J38),1))</f>
        <v>#DIV/0!</v>
      </c>
      <c r="S39" s="3732"/>
      <c r="T39" s="3732"/>
      <c r="U39" s="3732"/>
      <c r="V39" s="3732"/>
      <c r="W39" s="3732"/>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4"/>
      <c r="M5" s="2715"/>
      <c r="N5" s="2715"/>
      <c r="O5" s="2715"/>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2714"/>
      <c r="M6" s="2715"/>
      <c r="N6" s="2715"/>
      <c r="O6" s="2715"/>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45061</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73" t="s">
        <v>1680</v>
      </c>
      <c r="Q7" s="3701"/>
      <c r="R7" s="701" t="s">
        <v>14</v>
      </c>
      <c r="S7" s="702">
        <f t="shared" ref="S7:S14" si="0">F7</f>
        <v>0</v>
      </c>
      <c r="T7" s="701" t="s">
        <v>14</v>
      </c>
      <c r="U7" s="702">
        <f t="shared" ref="U7:U14" si="1">H7</f>
        <v>0</v>
      </c>
      <c r="V7" s="701" t="s">
        <v>14</v>
      </c>
      <c r="W7" s="702">
        <f t="shared" ref="W7:W14"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3" t="s">
        <v>1683</v>
      </c>
      <c r="Q8" s="3674"/>
      <c r="R8" s="701" t="s">
        <v>14</v>
      </c>
      <c r="S8" s="702">
        <f t="shared" si="0"/>
        <v>100</v>
      </c>
      <c r="T8" s="701" t="s">
        <v>14</v>
      </c>
      <c r="U8" s="702">
        <f t="shared" si="1"/>
        <v>100</v>
      </c>
      <c r="V8" s="701" t="s">
        <v>14</v>
      </c>
      <c r="W8" s="702">
        <f t="shared" si="2"/>
        <v>100</v>
      </c>
      <c r="X8" s="703"/>
      <c r="Y8" s="3673" t="s">
        <v>1683</v>
      </c>
      <c r="Z8" s="367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5" t="s">
        <v>1686</v>
      </c>
      <c r="Q9" s="1343" t="str">
        <f t="shared" ref="Q9:Q14" si="6">B9</f>
        <v>用途</v>
      </c>
      <c r="R9" s="701" t="s">
        <v>14</v>
      </c>
      <c r="S9" s="702">
        <f t="shared" si="0"/>
        <v>100</v>
      </c>
      <c r="T9" s="701" t="s">
        <v>14</v>
      </c>
      <c r="U9" s="702">
        <f t="shared" si="1"/>
        <v>100</v>
      </c>
      <c r="V9" s="701" t="s">
        <v>14</v>
      </c>
      <c r="W9" s="702">
        <f t="shared" si="2"/>
        <v>100</v>
      </c>
      <c r="X9" s="703"/>
      <c r="Y9" s="3617"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5"/>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5"/>
      <c r="Q11" s="1343">
        <f t="shared" si="6"/>
        <v>111</v>
      </c>
      <c r="R11" s="701" t="s">
        <v>14</v>
      </c>
      <c r="S11" s="702">
        <f t="shared" si="0"/>
        <v>100</v>
      </c>
      <c r="T11" s="701" t="s">
        <v>14</v>
      </c>
      <c r="U11" s="702">
        <f t="shared" si="1"/>
        <v>100</v>
      </c>
      <c r="V11" s="701" t="s">
        <v>14</v>
      </c>
      <c r="W11" s="702">
        <f t="shared" si="2"/>
        <v>100</v>
      </c>
      <c r="X11" s="703"/>
      <c r="Y11" s="361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5"/>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7" t="s">
        <v>1691</v>
      </c>
      <c r="Q14" s="1352" t="str">
        <f t="shared" si="6"/>
        <v>交通便捷度</v>
      </c>
      <c r="R14" s="705" t="s">
        <v>14</v>
      </c>
      <c r="S14" s="706">
        <f t="shared" si="0"/>
        <v>100</v>
      </c>
      <c r="T14" s="705" t="s">
        <v>14</v>
      </c>
      <c r="U14" s="706">
        <f t="shared" si="1"/>
        <v>100</v>
      </c>
      <c r="V14" s="705" t="s">
        <v>14</v>
      </c>
      <c r="W14" s="706">
        <f t="shared" si="2"/>
        <v>100</v>
      </c>
      <c r="X14" s="1355"/>
      <c r="Y14" s="370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08"/>
      <c r="Q15" s="1352"/>
      <c r="R15" s="705"/>
      <c r="S15" s="706"/>
      <c r="T15" s="705"/>
      <c r="U15" s="706"/>
      <c r="V15" s="705"/>
      <c r="W15" s="706"/>
      <c r="X15" s="1355"/>
      <c r="Y15" s="370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8"/>
      <c r="Q16" s="1352" t="str">
        <f>B16</f>
        <v>公共配套设施</v>
      </c>
      <c r="R16" s="705" t="s">
        <v>14</v>
      </c>
      <c r="S16" s="706">
        <f>F16</f>
        <v>100</v>
      </c>
      <c r="T16" s="705" t="s">
        <v>14</v>
      </c>
      <c r="U16" s="706">
        <f>H16</f>
        <v>100</v>
      </c>
      <c r="V16" s="705" t="s">
        <v>14</v>
      </c>
      <c r="W16" s="706">
        <f>J16</f>
        <v>100</v>
      </c>
      <c r="X16" s="1355"/>
      <c r="Y16" s="370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08"/>
      <c r="Q17" s="1352"/>
      <c r="R17" s="705"/>
      <c r="S17" s="706"/>
      <c r="T17" s="705"/>
      <c r="U17" s="706"/>
      <c r="V17" s="705"/>
      <c r="W17" s="706"/>
      <c r="X17" s="1355"/>
      <c r="Y17" s="370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8"/>
      <c r="Q18" s="1352" t="str">
        <f>B18</f>
        <v>基础设施水平</v>
      </c>
      <c r="R18" s="705" t="s">
        <v>14</v>
      </c>
      <c r="S18" s="706">
        <f>F18</f>
        <v>100</v>
      </c>
      <c r="T18" s="705" t="s">
        <v>14</v>
      </c>
      <c r="U18" s="706">
        <f>H18</f>
        <v>100</v>
      </c>
      <c r="V18" s="705" t="s">
        <v>14</v>
      </c>
      <c r="W18" s="706">
        <f>J18</f>
        <v>100</v>
      </c>
      <c r="X18" s="1355"/>
      <c r="Y18" s="370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08"/>
      <c r="Q19" s="1352"/>
      <c r="R19" s="705"/>
      <c r="S19" s="706"/>
      <c r="T19" s="705"/>
      <c r="U19" s="706"/>
      <c r="V19" s="705"/>
      <c r="W19" s="706"/>
      <c r="X19" s="1355"/>
      <c r="Y19" s="370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8"/>
      <c r="Q20" s="1352" t="str">
        <f>B20</f>
        <v>自然及人文环境</v>
      </c>
      <c r="R20" s="705" t="s">
        <v>14</v>
      </c>
      <c r="S20" s="706">
        <f>F20</f>
        <v>100</v>
      </c>
      <c r="T20" s="705" t="s">
        <v>14</v>
      </c>
      <c r="U20" s="706">
        <f>H20</f>
        <v>100</v>
      </c>
      <c r="V20" s="705" t="s">
        <v>14</v>
      </c>
      <c r="W20" s="706">
        <f>J20</f>
        <v>100</v>
      </c>
      <c r="X20" s="1355"/>
      <c r="Y20" s="370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08"/>
      <c r="Q21" s="1352"/>
      <c r="R21" s="705"/>
      <c r="S21" s="706"/>
      <c r="T21" s="705"/>
      <c r="U21" s="706"/>
      <c r="V21" s="705"/>
      <c r="W21" s="706"/>
      <c r="X21" s="1355"/>
      <c r="Y21" s="370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8"/>
      <c r="Q22" s="1352" t="str">
        <f>B22</f>
        <v>楼层</v>
      </c>
      <c r="R22" s="705" t="s">
        <v>14</v>
      </c>
      <c r="S22" s="706">
        <f>F22</f>
        <v>100</v>
      </c>
      <c r="T22" s="705" t="s">
        <v>14</v>
      </c>
      <c r="U22" s="706">
        <f>H22</f>
        <v>100</v>
      </c>
      <c r="V22" s="705" t="s">
        <v>14</v>
      </c>
      <c r="W22" s="706">
        <f>J22</f>
        <v>100</v>
      </c>
      <c r="X22" s="1355"/>
      <c r="Y22" s="370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8"/>
      <c r="Q23" s="1352">
        <f>B23</f>
        <v>111</v>
      </c>
      <c r="R23" s="705" t="s">
        <v>14</v>
      </c>
      <c r="S23" s="706">
        <f>F23</f>
        <v>100</v>
      </c>
      <c r="T23" s="705" t="s">
        <v>14</v>
      </c>
      <c r="U23" s="706">
        <f>H23</f>
        <v>100</v>
      </c>
      <c r="V23" s="705" t="s">
        <v>14</v>
      </c>
      <c r="W23" s="706">
        <f>J23</f>
        <v>100</v>
      </c>
      <c r="X23" s="1355"/>
      <c r="Y23" s="370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8"/>
      <c r="Q24" s="1352">
        <f t="shared" ref="Q24:Q34" si="11">B24</f>
        <v>111</v>
      </c>
      <c r="R24" s="705" t="s">
        <v>14</v>
      </c>
      <c r="S24" s="706">
        <f>F24</f>
        <v>100</v>
      </c>
      <c r="T24" s="705" t="s">
        <v>14</v>
      </c>
      <c r="U24" s="706">
        <f>H24</f>
        <v>100</v>
      </c>
      <c r="V24" s="705" t="s">
        <v>14</v>
      </c>
      <c r="W24" s="706">
        <f>J24</f>
        <v>100</v>
      </c>
      <c r="X24" s="1355"/>
      <c r="Y24" s="370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08"/>
      <c r="Q25" s="1343">
        <f t="shared" si="11"/>
        <v>111</v>
      </c>
      <c r="R25" s="701" t="s">
        <v>14</v>
      </c>
      <c r="S25" s="702">
        <f>F25</f>
        <v>100</v>
      </c>
      <c r="T25" s="701" t="s">
        <v>14</v>
      </c>
      <c r="U25" s="702">
        <f>H25</f>
        <v>100</v>
      </c>
      <c r="V25" s="701" t="s">
        <v>14</v>
      </c>
      <c r="W25" s="702">
        <f>J25</f>
        <v>100</v>
      </c>
      <c r="X25" s="703"/>
      <c r="Y25" s="370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3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2"/>
      <c r="Q27" s="707" t="str">
        <f t="shared" si="11"/>
        <v>成新率</v>
      </c>
      <c r="R27" s="708" t="s">
        <v>14</v>
      </c>
      <c r="S27" s="709" t="e">
        <f t="shared" si="12"/>
        <v>#N/A</v>
      </c>
      <c r="T27" s="708" t="s">
        <v>14</v>
      </c>
      <c r="U27" s="709" t="e">
        <f t="shared" si="13"/>
        <v>#N/A</v>
      </c>
      <c r="V27" s="708" t="s">
        <v>14</v>
      </c>
      <c r="W27" s="709" t="e">
        <f t="shared" si="14"/>
        <v>#N/A</v>
      </c>
      <c r="X27" s="710"/>
      <c r="Y27" s="371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2"/>
      <c r="Q28" s="1352" t="str">
        <f t="shared" si="11"/>
        <v>物业等级</v>
      </c>
      <c r="R28" s="705" t="s">
        <v>14</v>
      </c>
      <c r="S28" s="706">
        <f t="shared" si="12"/>
        <v>100</v>
      </c>
      <c r="T28" s="705" t="s">
        <v>14</v>
      </c>
      <c r="U28" s="706">
        <f t="shared" si="13"/>
        <v>100</v>
      </c>
      <c r="V28" s="705" t="s">
        <v>14</v>
      </c>
      <c r="W28" s="706">
        <f t="shared" si="14"/>
        <v>100</v>
      </c>
      <c r="X28" s="1355"/>
      <c r="Y28" s="371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2"/>
      <c r="Q29" s="1352" t="str">
        <f t="shared" si="11"/>
        <v>有无电梯</v>
      </c>
      <c r="R29" s="705" t="s">
        <v>14</v>
      </c>
      <c r="S29" s="706">
        <f t="shared" si="12"/>
        <v>100</v>
      </c>
      <c r="T29" s="705" t="s">
        <v>14</v>
      </c>
      <c r="U29" s="706">
        <f t="shared" si="13"/>
        <v>100</v>
      </c>
      <c r="V29" s="705" t="s">
        <v>14</v>
      </c>
      <c r="W29" s="706">
        <f t="shared" si="14"/>
        <v>100</v>
      </c>
      <c r="X29" s="1355"/>
      <c r="Y29" s="371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2"/>
      <c r="Q30" s="1352" t="str">
        <f t="shared" si="11"/>
        <v>建筑面积</v>
      </c>
      <c r="R30" s="705" t="s">
        <v>14</v>
      </c>
      <c r="S30" s="706" t="e">
        <f t="shared" si="12"/>
        <v>#N/A</v>
      </c>
      <c r="T30" s="705" t="s">
        <v>14</v>
      </c>
      <c r="U30" s="706" t="e">
        <f t="shared" si="13"/>
        <v>#N/A</v>
      </c>
      <c r="V30" s="705" t="s">
        <v>14</v>
      </c>
      <c r="W30" s="706" t="e">
        <f t="shared" si="14"/>
        <v>#N/A</v>
      </c>
      <c r="X30" s="1355"/>
      <c r="Y30" s="371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2"/>
      <c r="Q31" s="1343" t="str">
        <f t="shared" si="11"/>
        <v>是否封闭</v>
      </c>
      <c r="R31" s="701" t="s">
        <v>14</v>
      </c>
      <c r="S31" s="702">
        <f t="shared" si="12"/>
        <v>100</v>
      </c>
      <c r="T31" s="701" t="s">
        <v>14</v>
      </c>
      <c r="U31" s="702">
        <f t="shared" si="13"/>
        <v>100</v>
      </c>
      <c r="V31" s="701" t="s">
        <v>14</v>
      </c>
      <c r="W31" s="702">
        <f t="shared" si="14"/>
        <v>100</v>
      </c>
      <c r="X31" s="703"/>
      <c r="Y31" s="371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2" t="s">
        <v>1696</v>
      </c>
      <c r="Q32" s="1352">
        <f t="shared" si="11"/>
        <v>111</v>
      </c>
      <c r="R32" s="705" t="s">
        <v>14</v>
      </c>
      <c r="S32" s="706">
        <f t="shared" si="12"/>
        <v>100</v>
      </c>
      <c r="T32" s="705" t="s">
        <v>14</v>
      </c>
      <c r="U32" s="706">
        <f t="shared" si="13"/>
        <v>100</v>
      </c>
      <c r="V32" s="705" t="s">
        <v>14</v>
      </c>
      <c r="W32" s="706">
        <f t="shared" si="14"/>
        <v>100</v>
      </c>
      <c r="X32" s="1355"/>
      <c r="Y32" s="371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2"/>
      <c r="Q33" s="1352">
        <f t="shared" si="11"/>
        <v>111</v>
      </c>
      <c r="R33" s="705" t="s">
        <v>14</v>
      </c>
      <c r="S33" s="706">
        <f t="shared" si="12"/>
        <v>100</v>
      </c>
      <c r="T33" s="705" t="s">
        <v>14</v>
      </c>
      <c r="U33" s="706">
        <f t="shared" si="13"/>
        <v>100</v>
      </c>
      <c r="V33" s="705" t="s">
        <v>14</v>
      </c>
      <c r="W33" s="706">
        <f t="shared" si="14"/>
        <v>100</v>
      </c>
      <c r="X33" s="1355"/>
      <c r="Y33" s="371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12"/>
      <c r="Q34" s="1352">
        <f t="shared" si="11"/>
        <v>111</v>
      </c>
      <c r="R34" s="705" t="s">
        <v>14</v>
      </c>
      <c r="S34" s="706">
        <f t="shared" si="12"/>
        <v>100</v>
      </c>
      <c r="T34" s="705" t="s">
        <v>14</v>
      </c>
      <c r="U34" s="706">
        <f t="shared" si="13"/>
        <v>100</v>
      </c>
      <c r="V34" s="705" t="s">
        <v>14</v>
      </c>
      <c r="W34" s="706">
        <f t="shared" si="14"/>
        <v>100</v>
      </c>
      <c r="X34" s="1355"/>
      <c r="Y34" s="371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05" t="str">
        <f>A35</f>
        <v>成交单价（元/平方米）</v>
      </c>
      <c r="Q35" s="3705"/>
      <c r="R35" s="3706">
        <f>E35</f>
        <v>0</v>
      </c>
      <c r="S35" s="3706"/>
      <c r="T35" s="3706">
        <f>G35</f>
        <v>0</v>
      </c>
      <c r="U35" s="3706"/>
      <c r="V35" s="3706">
        <f>I35</f>
        <v>0</v>
      </c>
      <c r="W35" s="3706"/>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3"/>
      <c r="M36" s="2724"/>
      <c r="N36" s="2715"/>
      <c r="O36" s="2724"/>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02" t="str">
        <f>A37</f>
        <v>估价对象XX用房的比较价值（楼面单价，元/平方米）</v>
      </c>
      <c r="Q37" s="3703"/>
      <c r="R37" s="3732" t="e">
        <f>IF(F1="售价",ROUND(IF(D36="简单平均",AVERAGE(R36:W36),R36*F36+T36*H36+V36*J36),0),ROUND(IF(D36="简单平均",AVERAGE(R36:V36),R36*F36+T36*H36+V36*J36),1))</f>
        <v>#DIV/0!</v>
      </c>
      <c r="S37" s="3732"/>
      <c r="T37" s="3732"/>
      <c r="U37" s="3732"/>
      <c r="V37" s="3732"/>
      <c r="W37" s="3732"/>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38" sqref="E38:J3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2129</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1238</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30" ht="15">
      <c r="A5" s="358"/>
      <c r="B5" s="359"/>
      <c r="C5" s="3733" t="s">
        <v>3428</v>
      </c>
      <c r="D5" s="3682"/>
      <c r="E5" s="3679" t="str">
        <f>土地案例!A2</f>
        <v>栖霞区文澜路以北地块</v>
      </c>
      <c r="F5" s="3680"/>
      <c r="G5" s="3681" t="str">
        <f>土地案例!A3</f>
        <v>栖霞区广志路以南、元化路以东地块</v>
      </c>
      <c r="H5" s="3682"/>
      <c r="I5" s="3681" t="str">
        <f>土地案例!A8</f>
        <v>纬地路北侧地块(EAc030-02-09)</v>
      </c>
      <c r="J5" s="3682"/>
      <c r="K5" s="559"/>
      <c r="L5" s="2714"/>
      <c r="M5" s="2715"/>
      <c r="N5" s="2715"/>
      <c r="O5" s="2715"/>
      <c r="P5" s="3694"/>
      <c r="Q5" s="3695"/>
      <c r="R5" s="3677"/>
      <c r="S5" s="3678"/>
      <c r="T5" s="3677"/>
      <c r="U5" s="3678"/>
      <c r="V5" s="3700"/>
      <c r="W5" s="3700"/>
      <c r="X5" s="1355"/>
      <c r="Y5" s="3677"/>
      <c r="Z5" s="3678"/>
      <c r="AA5" s="3671"/>
      <c r="AB5" s="3671"/>
      <c r="AC5" s="3671"/>
    </row>
    <row r="6" spans="1:30" ht="15.75" thickBot="1">
      <c r="A6" s="360"/>
      <c r="B6" s="361"/>
      <c r="C6" s="3683" t="s">
        <v>1677</v>
      </c>
      <c r="D6" s="3684"/>
      <c r="E6" s="3685" t="s">
        <v>1677</v>
      </c>
      <c r="F6" s="3686"/>
      <c r="G6" s="3683" t="s">
        <v>1677</v>
      </c>
      <c r="H6" s="3684"/>
      <c r="I6" s="3683" t="s">
        <v>1677</v>
      </c>
      <c r="J6" s="3684"/>
      <c r="K6" s="559" t="s">
        <v>1678</v>
      </c>
      <c r="L6" s="2714"/>
      <c r="M6" s="2715"/>
      <c r="N6" s="2715"/>
      <c r="O6" s="2715"/>
      <c r="P6" s="3696"/>
      <c r="Q6" s="3697"/>
      <c r="R6" s="3677"/>
      <c r="S6" s="3678"/>
      <c r="T6" s="3698"/>
      <c r="U6" s="3699"/>
      <c r="V6" s="3700"/>
      <c r="W6" s="3700"/>
      <c r="X6" s="1355"/>
      <c r="Y6" s="3698"/>
      <c r="Z6" s="3699"/>
      <c r="AA6" s="3672"/>
      <c r="AB6" s="3672"/>
      <c r="AC6" s="3672"/>
    </row>
    <row r="7" spans="1:30" s="108" customFormat="1" ht="15.75" thickBot="1">
      <c r="A7" s="362" t="s">
        <v>1679</v>
      </c>
      <c r="B7" s="363"/>
      <c r="C7" s="364">
        <f>'数据-取费表'!B2</f>
        <v>45061</v>
      </c>
      <c r="D7" s="365">
        <v>100</v>
      </c>
      <c r="E7" s="366">
        <f>土地案例!AC2</f>
        <v>44971.000497685185</v>
      </c>
      <c r="F7" s="367">
        <f>SUMIF(69:69,YEAR(E7)&amp;"-"&amp;INT((MONTH(E7)+2)/3),70:70)</f>
        <v>99.8</v>
      </c>
      <c r="G7" s="1974">
        <f>土地案例!AC3</f>
        <v>44971.000497685185</v>
      </c>
      <c r="H7" s="365">
        <f>SUMIF(69:69,YEAR(G7)&amp;"-"&amp;INT((MONTH(G7)+2)/3),70:70)</f>
        <v>99.8</v>
      </c>
      <c r="I7" s="1974">
        <f>土地案例!AC8</f>
        <v>44705.000497685185</v>
      </c>
      <c r="J7" s="365">
        <f>SUMIF(69:69,YEAR(I7)&amp;"-"&amp;INT((MONTH(I7)+2)/3),70:70)</f>
        <v>99.8</v>
      </c>
      <c r="K7" s="560"/>
      <c r="L7" s="2716"/>
      <c r="M7" s="2717"/>
      <c r="N7" s="2717"/>
      <c r="O7" s="2717"/>
      <c r="P7" s="3673" t="s">
        <v>1680</v>
      </c>
      <c r="Q7" s="3701"/>
      <c r="R7" s="701" t="s">
        <v>14</v>
      </c>
      <c r="S7" s="702">
        <f t="shared" ref="S7:S15" si="0">F7</f>
        <v>99.8</v>
      </c>
      <c r="T7" s="701" t="s">
        <v>14</v>
      </c>
      <c r="U7" s="702">
        <f t="shared" ref="U7:U15" si="1">H7</f>
        <v>99.8</v>
      </c>
      <c r="V7" s="701" t="s">
        <v>14</v>
      </c>
      <c r="W7" s="702">
        <f t="shared" ref="W7:W15" si="2">J7</f>
        <v>99.8</v>
      </c>
      <c r="X7" s="703"/>
      <c r="Y7" s="3673" t="s">
        <v>1680</v>
      </c>
      <c r="Z7" s="3674"/>
      <c r="AA7" s="704">
        <f>D7/F7</f>
        <v>1.0020040080160322</v>
      </c>
      <c r="AB7" s="704">
        <f>D7/H7</f>
        <v>1.0020040080160322</v>
      </c>
      <c r="AC7" s="704">
        <f>D7/J7</f>
        <v>1.0020040080160322</v>
      </c>
    </row>
    <row r="8" spans="1:30" s="108" customFormat="1" ht="15.75" thickBot="1">
      <c r="A8" s="362" t="s">
        <v>1681</v>
      </c>
      <c r="B8" s="363"/>
      <c r="C8" s="368" t="s">
        <v>1682</v>
      </c>
      <c r="D8" s="365">
        <v>100</v>
      </c>
      <c r="E8" s="368" t="s">
        <v>3787</v>
      </c>
      <c r="F8" s="367">
        <f>SUMIF(72:72,E8,73:73)-SUMIF(72:72,C8,73:73)+100</f>
        <v>100</v>
      </c>
      <c r="G8" s="368" t="s">
        <v>3787</v>
      </c>
      <c r="H8" s="365">
        <f>SUMIF(72:72,G8,73:73)-SUMIF(72:72,C8,73:73)+100</f>
        <v>100</v>
      </c>
      <c r="I8" s="368" t="s">
        <v>3787</v>
      </c>
      <c r="J8" s="365">
        <f>SUMIF(72:72,I8,73:73)-SUMIF(72:72,C8,73:73)+100</f>
        <v>100</v>
      </c>
      <c r="K8" s="560"/>
      <c r="L8" s="2716"/>
      <c r="M8" s="2717"/>
      <c r="N8" s="2717"/>
      <c r="O8" s="2717"/>
      <c r="P8" s="3673" t="s">
        <v>1683</v>
      </c>
      <c r="Q8" s="3674"/>
      <c r="R8" s="701" t="s">
        <v>14</v>
      </c>
      <c r="S8" s="702">
        <f t="shared" si="0"/>
        <v>100</v>
      </c>
      <c r="T8" s="701" t="s">
        <v>14</v>
      </c>
      <c r="U8" s="702">
        <f t="shared" si="1"/>
        <v>100</v>
      </c>
      <c r="V8" s="701" t="s">
        <v>14</v>
      </c>
      <c r="W8" s="702">
        <f t="shared" si="2"/>
        <v>100</v>
      </c>
      <c r="X8" s="703"/>
      <c r="Y8" s="3673" t="s">
        <v>1683</v>
      </c>
      <c r="Z8" s="3674"/>
      <c r="AA8" s="704">
        <f t="shared" ref="AA8:AA45" si="3">D8/F8</f>
        <v>1</v>
      </c>
      <c r="AB8" s="704">
        <f t="shared" ref="AB8:AB45" si="4">D8/H8</f>
        <v>1</v>
      </c>
      <c r="AC8" s="704">
        <f t="shared" ref="AC8:AC45" si="5">D8/J8</f>
        <v>1</v>
      </c>
    </row>
    <row r="9" spans="1:30" s="108" customFormat="1">
      <c r="A9" s="369" t="s">
        <v>1684</v>
      </c>
      <c r="B9" s="63" t="s">
        <v>1685</v>
      </c>
      <c r="C9" s="1977" t="s">
        <v>3410</v>
      </c>
      <c r="D9" s="126">
        <v>100</v>
      </c>
      <c r="E9" s="1977" t="s">
        <v>3408</v>
      </c>
      <c r="F9" s="126">
        <f>SUMIF(74:74,E9,75:75)-SUMIF(74:74,C9,75:75)+100</f>
        <v>100</v>
      </c>
      <c r="G9" s="1977" t="s">
        <v>3408</v>
      </c>
      <c r="H9" s="126">
        <f>SUMIF(74:74,G9,75:75)-SUMIF(74:74,C9,75:75)+100</f>
        <v>100</v>
      </c>
      <c r="I9" s="1977" t="s">
        <v>3408</v>
      </c>
      <c r="J9" s="126">
        <f>SUMIF(74:74,I9,75:75)-SUMIF(74:74,C9,75:75)+100</f>
        <v>100</v>
      </c>
      <c r="K9" s="560"/>
      <c r="L9" s="2716"/>
      <c r="M9" s="2717"/>
      <c r="N9" s="2717"/>
      <c r="O9" s="2771"/>
      <c r="P9" s="3705"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8"/>
      <c r="M10" s="2719"/>
      <c r="N10" s="2719"/>
      <c r="O10" s="2772"/>
      <c r="P10" s="3705"/>
      <c r="Q10" s="1343" t="str">
        <f t="shared" si="6"/>
        <v>土地使用年限（年）</v>
      </c>
      <c r="R10" s="701" t="s">
        <v>14</v>
      </c>
      <c r="S10" s="702">
        <f t="shared" si="0"/>
        <v>108</v>
      </c>
      <c r="T10" s="701" t="s">
        <v>14</v>
      </c>
      <c r="U10" s="702">
        <f t="shared" si="1"/>
        <v>108</v>
      </c>
      <c r="V10" s="701" t="s">
        <v>14</v>
      </c>
      <c r="W10" s="702">
        <f t="shared" si="2"/>
        <v>108</v>
      </c>
      <c r="X10" s="703"/>
      <c r="Y10" s="3617"/>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f>'数据-汇总表'!I7</f>
        <v>1.5</v>
      </c>
      <c r="D11" s="127">
        <v>100</v>
      </c>
      <c r="E11" s="380">
        <v>2</v>
      </c>
      <c r="F11" s="127">
        <f>LOOKUP(E11,79:79,80:80)-LOOKUP(C11,79:79,80:80)+100</f>
        <v>95</v>
      </c>
      <c r="G11" s="381">
        <v>2.1</v>
      </c>
      <c r="H11" s="127">
        <f>LOOKUP(G11,79:79,80:80)-LOOKUP(C11,79:79,80:80)+100</f>
        <v>95</v>
      </c>
      <c r="I11" s="380">
        <v>1.8</v>
      </c>
      <c r="J11" s="127">
        <f>LOOKUP(I11,79:79,80:80)-LOOKUP(C11,79:79,80:80)+100</f>
        <v>100</v>
      </c>
      <c r="K11" s="621">
        <v>5</v>
      </c>
      <c r="L11" s="2720"/>
      <c r="M11" s="2715"/>
      <c r="N11" s="2715"/>
      <c r="O11" s="2773"/>
      <c r="P11" s="3705"/>
      <c r="Q11" s="1343" t="str">
        <f t="shared" si="6"/>
        <v>容积率</v>
      </c>
      <c r="R11" s="701" t="s">
        <v>14</v>
      </c>
      <c r="S11" s="702">
        <f t="shared" si="0"/>
        <v>95</v>
      </c>
      <c r="T11" s="701" t="s">
        <v>14</v>
      </c>
      <c r="U11" s="702">
        <f t="shared" si="1"/>
        <v>95</v>
      </c>
      <c r="V11" s="701" t="s">
        <v>14</v>
      </c>
      <c r="W11" s="702">
        <f t="shared" si="2"/>
        <v>100</v>
      </c>
      <c r="X11" s="703"/>
      <c r="Y11" s="3617"/>
      <c r="Z11" s="52" t="str">
        <f t="shared" si="7"/>
        <v>容积率</v>
      </c>
      <c r="AA11" s="704">
        <f t="shared" si="3"/>
        <v>1.0526315789473684</v>
      </c>
      <c r="AB11" s="704">
        <f t="shared" si="4"/>
        <v>1.0526315789473684</v>
      </c>
      <c r="AC11" s="704">
        <f t="shared" si="5"/>
        <v>1</v>
      </c>
    </row>
    <row r="12" spans="1:30" s="108" customFormat="1" ht="15" hidden="1">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5"/>
      <c r="Q12" s="1343" t="str">
        <f t="shared" si="6"/>
        <v>配建</v>
      </c>
      <c r="R12" s="701" t="s">
        <v>14</v>
      </c>
      <c r="S12" s="702">
        <f t="shared" si="0"/>
        <v>100</v>
      </c>
      <c r="T12" s="701" t="s">
        <v>14</v>
      </c>
      <c r="U12" s="702">
        <f t="shared" si="1"/>
        <v>100</v>
      </c>
      <c r="V12" s="701" t="s">
        <v>14</v>
      </c>
      <c r="W12" s="702">
        <f t="shared" si="2"/>
        <v>100</v>
      </c>
      <c r="X12" s="703"/>
      <c r="Y12" s="3617"/>
      <c r="Z12" s="52" t="str">
        <f t="shared" si="7"/>
        <v>配建</v>
      </c>
      <c r="AA12" s="704">
        <f>D12/F12</f>
        <v>1</v>
      </c>
      <c r="AB12" s="704">
        <f>D12/H12</f>
        <v>1</v>
      </c>
      <c r="AC12" s="704">
        <f>D12/J12</f>
        <v>1</v>
      </c>
    </row>
    <row r="13" spans="1:30" ht="15" hidden="1">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D13/F13</f>
        <v>1</v>
      </c>
      <c r="AB13" s="704">
        <f>D13/H13</f>
        <v>1</v>
      </c>
      <c r="AC13" s="704">
        <f>D13/J13</f>
        <v>1</v>
      </c>
    </row>
    <row r="14" spans="1:30" ht="15.75" hidden="1"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5"/>
      <c r="Q14" s="1343">
        <f t="shared" si="6"/>
        <v>111</v>
      </c>
      <c r="R14" s="701" t="s">
        <v>14</v>
      </c>
      <c r="S14" s="702">
        <f t="shared" si="0"/>
        <v>100</v>
      </c>
      <c r="T14" s="701" t="s">
        <v>14</v>
      </c>
      <c r="U14" s="702">
        <f t="shared" si="1"/>
        <v>100</v>
      </c>
      <c r="V14" s="701" t="s">
        <v>14</v>
      </c>
      <c r="W14" s="702">
        <f t="shared" si="2"/>
        <v>100</v>
      </c>
      <c r="X14" s="703"/>
      <c r="Y14" s="3617"/>
      <c r="Z14" s="52">
        <f t="shared" si="7"/>
        <v>111</v>
      </c>
      <c r="AA14" s="704">
        <f>D14/F14</f>
        <v>1</v>
      </c>
      <c r="AB14" s="704">
        <f>D14/H14</f>
        <v>1</v>
      </c>
      <c r="AC14" s="704">
        <f>D14/J14</f>
        <v>1</v>
      </c>
    </row>
    <row r="15" spans="1:30" ht="99.75" hidden="1">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7" t="s">
        <v>1691</v>
      </c>
      <c r="Q15" s="1352" t="str">
        <f t="shared" si="6"/>
        <v>居住社区成熟度</v>
      </c>
      <c r="R15" s="705" t="s">
        <v>14</v>
      </c>
      <c r="S15" s="706">
        <f t="shared" si="0"/>
        <v>100</v>
      </c>
      <c r="T15" s="705" t="s">
        <v>14</v>
      </c>
      <c r="U15" s="706">
        <f t="shared" si="1"/>
        <v>100</v>
      </c>
      <c r="V15" s="705" t="s">
        <v>14</v>
      </c>
      <c r="W15" s="706">
        <f t="shared" si="2"/>
        <v>100</v>
      </c>
      <c r="X15" s="1355"/>
      <c r="Y15" s="3707" t="s">
        <v>1691</v>
      </c>
      <c r="Z15" s="1356" t="str">
        <f t="shared" si="7"/>
        <v>居住社区成熟度</v>
      </c>
      <c r="AA15" s="1353">
        <f t="shared" si="3"/>
        <v>1</v>
      </c>
      <c r="AB15" s="1353">
        <f t="shared" si="4"/>
        <v>1</v>
      </c>
      <c r="AC15" s="1353">
        <f t="shared" si="5"/>
        <v>1</v>
      </c>
    </row>
    <row r="16" spans="1:30" ht="15" hidden="1">
      <c r="A16" s="379"/>
      <c r="B16" s="397"/>
      <c r="C16" s="398"/>
      <c r="D16" s="399"/>
      <c r="E16" s="398"/>
      <c r="F16" s="399"/>
      <c r="G16" s="398"/>
      <c r="H16" s="401"/>
      <c r="I16" s="398"/>
      <c r="J16" s="399"/>
      <c r="K16" s="620"/>
      <c r="L16" s="2721"/>
      <c r="M16" s="2715"/>
      <c r="N16" s="2715"/>
      <c r="O16" s="2773"/>
      <c r="P16" s="3708"/>
      <c r="Q16" s="1352"/>
      <c r="R16" s="705"/>
      <c r="S16" s="706"/>
      <c r="T16" s="705"/>
      <c r="U16" s="706"/>
      <c r="V16" s="705"/>
      <c r="W16" s="706"/>
      <c r="X16" s="1355"/>
      <c r="Y16" s="3708"/>
      <c r="Z16" s="1356"/>
      <c r="AA16" s="1353">
        <v>1</v>
      </c>
      <c r="AB16" s="1353">
        <v>1</v>
      </c>
      <c r="AC16" s="1353">
        <v>1</v>
      </c>
    </row>
    <row r="17" spans="1:29" ht="71.25" hidden="1">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8"/>
      <c r="Q17" s="1352" t="str">
        <f>B17</f>
        <v>商业繁华度</v>
      </c>
      <c r="R17" s="705" t="s">
        <v>14</v>
      </c>
      <c r="S17" s="706">
        <f>F17</f>
        <v>100</v>
      </c>
      <c r="T17" s="705" t="s">
        <v>14</v>
      </c>
      <c r="U17" s="706">
        <f>H17</f>
        <v>100</v>
      </c>
      <c r="V17" s="705" t="s">
        <v>14</v>
      </c>
      <c r="W17" s="706">
        <f>J17</f>
        <v>100</v>
      </c>
      <c r="X17" s="1355"/>
      <c r="Y17" s="3708"/>
      <c r="Z17" s="1356" t="str">
        <f>Q17</f>
        <v>商业繁华度</v>
      </c>
      <c r="AA17" s="1353">
        <f t="shared" si="3"/>
        <v>1</v>
      </c>
      <c r="AB17" s="1353">
        <f t="shared" si="4"/>
        <v>1</v>
      </c>
      <c r="AC17" s="1353">
        <f t="shared" si="5"/>
        <v>1</v>
      </c>
    </row>
    <row r="18" spans="1:29" ht="15" hidden="1">
      <c r="A18" s="379"/>
      <c r="B18" s="407"/>
      <c r="C18" s="1901"/>
      <c r="D18" s="401"/>
      <c r="E18" s="1903"/>
      <c r="F18" s="401"/>
      <c r="G18" s="1903"/>
      <c r="H18" s="399"/>
      <c r="I18" s="1902"/>
      <c r="J18" s="399"/>
      <c r="K18" s="620"/>
      <c r="L18" s="2721"/>
      <c r="M18" s="2715"/>
      <c r="N18" s="2715"/>
      <c r="O18" s="2773"/>
      <c r="P18" s="3708"/>
      <c r="Q18" s="1352"/>
      <c r="R18" s="705"/>
      <c r="S18" s="706"/>
      <c r="T18" s="705"/>
      <c r="U18" s="706"/>
      <c r="V18" s="705"/>
      <c r="W18" s="706"/>
      <c r="X18" s="1355"/>
      <c r="Y18" s="370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v>5</v>
      </c>
      <c r="L19" s="2721"/>
      <c r="M19" s="2715"/>
      <c r="N19" s="2715"/>
      <c r="O19" s="2773"/>
      <c r="P19" s="3708"/>
      <c r="Q19" s="1352" t="str">
        <f>B19</f>
        <v>办公集聚程度</v>
      </c>
      <c r="R19" s="705" t="s">
        <v>14</v>
      </c>
      <c r="S19" s="706">
        <f>F19</f>
        <v>100</v>
      </c>
      <c r="T19" s="705" t="s">
        <v>14</v>
      </c>
      <c r="U19" s="706">
        <f>H19</f>
        <v>100</v>
      </c>
      <c r="V19" s="705" t="s">
        <v>14</v>
      </c>
      <c r="W19" s="706">
        <f>J19</f>
        <v>100</v>
      </c>
      <c r="X19" s="1355"/>
      <c r="Y19" s="3708"/>
      <c r="Z19" s="1356" t="str">
        <f>Q19</f>
        <v>办公集聚程度</v>
      </c>
      <c r="AA19" s="1353">
        <f t="shared" si="3"/>
        <v>1</v>
      </c>
      <c r="AB19" s="1353">
        <f t="shared" si="4"/>
        <v>1</v>
      </c>
      <c r="AC19" s="1353">
        <f t="shared" si="5"/>
        <v>1</v>
      </c>
    </row>
    <row r="20" spans="1:29" ht="15">
      <c r="A20" s="379"/>
      <c r="B20" s="407"/>
      <c r="C20" s="398" t="s">
        <v>3420</v>
      </c>
      <c r="D20" s="399"/>
      <c r="E20" s="1898" t="s">
        <v>3420</v>
      </c>
      <c r="F20" s="399"/>
      <c r="G20" s="1898" t="s">
        <v>3420</v>
      </c>
      <c r="H20" s="399"/>
      <c r="I20" s="1898" t="s">
        <v>3420</v>
      </c>
      <c r="J20" s="399"/>
      <c r="K20" s="620"/>
      <c r="L20" s="2721"/>
      <c r="M20" s="2715"/>
      <c r="N20" s="2715"/>
      <c r="O20" s="2773"/>
      <c r="P20" s="3708"/>
      <c r="Q20" s="1352"/>
      <c r="R20" s="705"/>
      <c r="S20" s="706"/>
      <c r="T20" s="705"/>
      <c r="U20" s="706"/>
      <c r="V20" s="705"/>
      <c r="W20" s="706"/>
      <c r="X20" s="1355"/>
      <c r="Y20" s="370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v>5</v>
      </c>
      <c r="L21" s="2721"/>
      <c r="M21" s="2715"/>
      <c r="N21" s="2715"/>
      <c r="O21" s="2773"/>
      <c r="P21" s="3708"/>
      <c r="Q21" s="1352" t="str">
        <f>B21</f>
        <v>交通便捷度</v>
      </c>
      <c r="R21" s="705" t="s">
        <v>14</v>
      </c>
      <c r="S21" s="706">
        <f>F21</f>
        <v>100</v>
      </c>
      <c r="T21" s="705" t="s">
        <v>14</v>
      </c>
      <c r="U21" s="706">
        <f>H21</f>
        <v>100</v>
      </c>
      <c r="V21" s="705" t="s">
        <v>14</v>
      </c>
      <c r="W21" s="706">
        <f>J21</f>
        <v>100</v>
      </c>
      <c r="X21" s="1355"/>
      <c r="Y21" s="3708"/>
      <c r="Z21" s="1356" t="str">
        <f>Q21</f>
        <v>交通便捷度</v>
      </c>
      <c r="AA21" s="1353">
        <f t="shared" si="3"/>
        <v>1</v>
      </c>
      <c r="AB21" s="1353">
        <f t="shared" si="4"/>
        <v>1</v>
      </c>
      <c r="AC21" s="1353">
        <f t="shared" si="5"/>
        <v>1</v>
      </c>
    </row>
    <row r="22" spans="1:29" ht="15">
      <c r="A22" s="379"/>
      <c r="B22" s="1131"/>
      <c r="C22" s="398" t="s">
        <v>3420</v>
      </c>
      <c r="D22" s="401"/>
      <c r="E22" s="398" t="s">
        <v>3420</v>
      </c>
      <c r="F22" s="399"/>
      <c r="G22" s="398" t="s">
        <v>3420</v>
      </c>
      <c r="H22" s="399"/>
      <c r="I22" s="398" t="s">
        <v>3420</v>
      </c>
      <c r="J22" s="399"/>
      <c r="K22" s="620"/>
      <c r="L22" s="2721"/>
      <c r="M22" s="2715"/>
      <c r="N22" s="2715"/>
      <c r="O22" s="2773"/>
      <c r="P22" s="3708"/>
      <c r="Q22" s="1352"/>
      <c r="R22" s="705"/>
      <c r="S22" s="706"/>
      <c r="T22" s="705"/>
      <c r="U22" s="706"/>
      <c r="V22" s="705"/>
      <c r="W22" s="706"/>
      <c r="X22" s="1355"/>
      <c r="Y22" s="370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21"/>
      <c r="M23" s="2715"/>
      <c r="N23" s="2715"/>
      <c r="O23" s="2773"/>
      <c r="P23" s="3708"/>
      <c r="Q23" s="1352" t="str">
        <f t="shared" ref="Q23:Q37" si="8">B23</f>
        <v>区域土地利用方向</v>
      </c>
      <c r="R23" s="705" t="s">
        <v>14</v>
      </c>
      <c r="S23" s="706">
        <f>F23</f>
        <v>100</v>
      </c>
      <c r="T23" s="705" t="s">
        <v>14</v>
      </c>
      <c r="U23" s="706">
        <f>H23</f>
        <v>100</v>
      </c>
      <c r="V23" s="705" t="s">
        <v>14</v>
      </c>
      <c r="W23" s="706">
        <f>J23</f>
        <v>100</v>
      </c>
      <c r="X23" s="1355"/>
      <c r="Y23" s="3708"/>
      <c r="Z23" s="1356" t="str">
        <f>Q23</f>
        <v>区域土地利用方向</v>
      </c>
      <c r="AA23" s="1353">
        <f t="shared" si="3"/>
        <v>1</v>
      </c>
      <c r="AB23" s="1353">
        <f t="shared" si="4"/>
        <v>1</v>
      </c>
      <c r="AC23" s="1353">
        <f t="shared" si="5"/>
        <v>1</v>
      </c>
    </row>
    <row r="24" spans="1:29" ht="15">
      <c r="A24" s="358"/>
      <c r="B24" s="407"/>
      <c r="C24" s="565" t="s">
        <v>3420</v>
      </c>
      <c r="D24" s="399"/>
      <c r="E24" s="565" t="s">
        <v>3420</v>
      </c>
      <c r="F24" s="399"/>
      <c r="G24" s="565" t="s">
        <v>3420</v>
      </c>
      <c r="H24" s="399"/>
      <c r="I24" s="565" t="s">
        <v>3420</v>
      </c>
      <c r="J24" s="399"/>
      <c r="K24" s="740"/>
      <c r="L24" s="2721"/>
      <c r="M24" s="2715"/>
      <c r="N24" s="2715"/>
      <c r="O24" s="2773"/>
      <c r="P24" s="3708"/>
      <c r="Q24" s="1352"/>
      <c r="R24" s="705"/>
      <c r="S24" s="706"/>
      <c r="T24" s="705"/>
      <c r="U24" s="706"/>
      <c r="V24" s="705"/>
      <c r="W24" s="706"/>
      <c r="X24" s="1355"/>
      <c r="Y24" s="370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5</v>
      </c>
      <c r="L25" s="2721"/>
      <c r="M25" s="2715"/>
      <c r="N25" s="2715"/>
      <c r="O25" s="2773"/>
      <c r="P25" s="3708"/>
      <c r="Q25" s="1352" t="str">
        <f t="shared" si="8"/>
        <v>自然及人文环境状况</v>
      </c>
      <c r="R25" s="705" t="s">
        <v>14</v>
      </c>
      <c r="S25" s="706">
        <f>F25</f>
        <v>100</v>
      </c>
      <c r="T25" s="705" t="s">
        <v>14</v>
      </c>
      <c r="U25" s="706">
        <f>H25</f>
        <v>100</v>
      </c>
      <c r="V25" s="705" t="s">
        <v>14</v>
      </c>
      <c r="W25" s="706">
        <f>J25</f>
        <v>100</v>
      </c>
      <c r="X25" s="1355"/>
      <c r="Y25" s="3708"/>
      <c r="Z25" s="1356" t="str">
        <f>Q25</f>
        <v>自然及人文环境状况</v>
      </c>
      <c r="AA25" s="1353">
        <f t="shared" si="3"/>
        <v>1</v>
      </c>
      <c r="AB25" s="1353">
        <f t="shared" si="4"/>
        <v>1</v>
      </c>
      <c r="AC25" s="1353">
        <f t="shared" si="5"/>
        <v>1</v>
      </c>
    </row>
    <row r="26" spans="1:29" ht="15">
      <c r="A26" s="358"/>
      <c r="B26" s="407"/>
      <c r="C26" s="398" t="s">
        <v>3419</v>
      </c>
      <c r="D26" s="399"/>
      <c r="E26" s="398" t="s">
        <v>3419</v>
      </c>
      <c r="F26" s="399"/>
      <c r="G26" s="398" t="s">
        <v>3419</v>
      </c>
      <c r="H26" s="399"/>
      <c r="I26" s="398" t="s">
        <v>3419</v>
      </c>
      <c r="J26" s="399"/>
      <c r="K26" s="620"/>
      <c r="L26" s="2721"/>
      <c r="M26" s="2715"/>
      <c r="N26" s="2715"/>
      <c r="O26" s="2773"/>
      <c r="P26" s="3708"/>
      <c r="Q26" s="1352"/>
      <c r="R26" s="705"/>
      <c r="S26" s="706"/>
      <c r="T26" s="705"/>
      <c r="U26" s="706"/>
      <c r="V26" s="705"/>
      <c r="W26" s="706"/>
      <c r="X26" s="1355"/>
      <c r="Y26" s="370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95</v>
      </c>
      <c r="G27" s="403"/>
      <c r="H27" s="401">
        <f>SUMIF(99:99,G28,100:100)-SUMIF(99:99,C28,100:100)+100</f>
        <v>100</v>
      </c>
      <c r="I27" s="405"/>
      <c r="J27" s="401">
        <f>SUMIF(99:99,I28,100:100)-SUMIF(99:99,C28,100:100)+100</f>
        <v>100</v>
      </c>
      <c r="K27" s="621">
        <v>5</v>
      </c>
      <c r="L27" s="2716"/>
      <c r="M27" s="2717"/>
      <c r="N27" s="2717"/>
      <c r="O27" s="2771"/>
      <c r="P27" s="3708"/>
      <c r="Q27" s="1343" t="str">
        <f t="shared" si="8"/>
        <v>公共配套设施</v>
      </c>
      <c r="R27" s="701" t="s">
        <v>14</v>
      </c>
      <c r="S27" s="702">
        <f>F27</f>
        <v>95</v>
      </c>
      <c r="T27" s="701" t="s">
        <v>14</v>
      </c>
      <c r="U27" s="702">
        <f>H27</f>
        <v>100</v>
      </c>
      <c r="V27" s="701" t="s">
        <v>14</v>
      </c>
      <c r="W27" s="702">
        <f>J27</f>
        <v>100</v>
      </c>
      <c r="X27" s="703"/>
      <c r="Y27" s="3708"/>
      <c r="Z27" s="52" t="str">
        <f>Q27</f>
        <v>公共配套设施</v>
      </c>
      <c r="AA27" s="1353">
        <f>D27/F27</f>
        <v>1.0526315789473684</v>
      </c>
      <c r="AB27" s="1353">
        <f>D27/H27</f>
        <v>1</v>
      </c>
      <c r="AC27" s="1353">
        <f>D27/J27</f>
        <v>1</v>
      </c>
    </row>
    <row r="28" spans="1:29" s="108" customFormat="1" ht="15">
      <c r="A28" s="597"/>
      <c r="B28" s="407"/>
      <c r="C28" s="1978" t="s">
        <v>3420</v>
      </c>
      <c r="D28" s="399"/>
      <c r="E28" s="1978" t="s">
        <v>3421</v>
      </c>
      <c r="F28" s="399"/>
      <c r="G28" s="1978" t="s">
        <v>3420</v>
      </c>
      <c r="H28" s="399"/>
      <c r="I28" s="1978" t="s">
        <v>3420</v>
      </c>
      <c r="J28" s="399"/>
      <c r="K28" s="620"/>
      <c r="L28" s="2716"/>
      <c r="M28" s="2717"/>
      <c r="N28" s="2717"/>
      <c r="O28" s="2771"/>
      <c r="P28" s="3708"/>
      <c r="Q28" s="1343"/>
      <c r="R28" s="701"/>
      <c r="S28" s="702"/>
      <c r="T28" s="701"/>
      <c r="U28" s="702"/>
      <c r="V28" s="701"/>
      <c r="W28" s="702"/>
      <c r="X28" s="703"/>
      <c r="Y28" s="370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6"/>
      <c r="M29" s="2717"/>
      <c r="N29" s="2717"/>
      <c r="O29" s="2771"/>
      <c r="P29" s="3708"/>
      <c r="Q29" s="1343" t="str">
        <f t="shared" ref="Q29" si="9">B29</f>
        <v>基础设施水平</v>
      </c>
      <c r="R29" s="701" t="s">
        <v>14</v>
      </c>
      <c r="S29" s="702">
        <f>F29</f>
        <v>100</v>
      </c>
      <c r="T29" s="701" t="s">
        <v>14</v>
      </c>
      <c r="U29" s="702">
        <f>H29</f>
        <v>100</v>
      </c>
      <c r="V29" s="701" t="s">
        <v>14</v>
      </c>
      <c r="W29" s="702">
        <f>J29</f>
        <v>100</v>
      </c>
      <c r="X29" s="703"/>
      <c r="Y29" s="3708"/>
      <c r="Z29" s="52" t="str">
        <f>Q29</f>
        <v>基础设施水平</v>
      </c>
      <c r="AA29" s="1353">
        <f>D29/F29</f>
        <v>1</v>
      </c>
      <c r="AB29" s="1353">
        <f>D29/H29</f>
        <v>1</v>
      </c>
      <c r="AC29" s="1353">
        <f>D29/J29</f>
        <v>1</v>
      </c>
    </row>
    <row r="30" spans="1:29" s="108" customFormat="1" ht="15.75" thickBot="1">
      <c r="A30" s="597"/>
      <c r="B30" s="407"/>
      <c r="C30" s="1978"/>
      <c r="D30" s="399"/>
      <c r="E30" s="1979"/>
      <c r="F30" s="399"/>
      <c r="G30" s="1979"/>
      <c r="H30" s="399"/>
      <c r="I30" s="1979"/>
      <c r="J30" s="399"/>
      <c r="K30" s="620"/>
      <c r="L30" s="2716"/>
      <c r="M30" s="2717"/>
      <c r="N30" s="2717"/>
      <c r="O30" s="2771"/>
      <c r="P30" s="3708"/>
      <c r="Q30" s="1343"/>
      <c r="R30" s="701"/>
      <c r="S30" s="702"/>
      <c r="T30" s="701"/>
      <c r="U30" s="702"/>
      <c r="V30" s="701"/>
      <c r="W30" s="702"/>
      <c r="X30" s="703"/>
      <c r="Y30" s="3708"/>
      <c r="Z30" s="52"/>
      <c r="AA30" s="1353">
        <v>1</v>
      </c>
      <c r="AB30" s="1353">
        <v>1</v>
      </c>
      <c r="AC30" s="1353">
        <v>1</v>
      </c>
    </row>
    <row r="31" spans="1:29" ht="15" hidden="1">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8"/>
      <c r="Z31" s="1356" t="str">
        <f t="shared" ref="Z31:Z45" si="13">Q31</f>
        <v>临街状况</v>
      </c>
      <c r="AA31" s="1353">
        <f t="shared" si="3"/>
        <v>1</v>
      </c>
      <c r="AB31" s="1353">
        <f t="shared" si="4"/>
        <v>1</v>
      </c>
      <c r="AC31" s="1353">
        <f t="shared" si="5"/>
        <v>1</v>
      </c>
    </row>
    <row r="32" spans="1:29" ht="27" hidden="1">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8"/>
      <c r="Q32" s="1352" t="str">
        <f t="shared" si="8"/>
        <v>毗邻道路的类型与等级</v>
      </c>
      <c r="R32" s="705" t="s">
        <v>14</v>
      </c>
      <c r="S32" s="706">
        <f t="shared" si="10"/>
        <v>100</v>
      </c>
      <c r="T32" s="705" t="s">
        <v>14</v>
      </c>
      <c r="U32" s="706">
        <f t="shared" si="11"/>
        <v>100</v>
      </c>
      <c r="V32" s="705" t="s">
        <v>14</v>
      </c>
      <c r="W32" s="706">
        <f t="shared" si="12"/>
        <v>100</v>
      </c>
      <c r="X32" s="1355"/>
      <c r="Y32" s="3708"/>
      <c r="Z32" s="1356" t="str">
        <f t="shared" si="13"/>
        <v>毗邻道路的类型与等级</v>
      </c>
      <c r="AA32" s="1353">
        <f t="shared" si="3"/>
        <v>1</v>
      </c>
      <c r="AB32" s="1353">
        <f t="shared" si="4"/>
        <v>1</v>
      </c>
      <c r="AC32" s="1353">
        <f t="shared" si="5"/>
        <v>1</v>
      </c>
    </row>
    <row r="33" spans="1:29" ht="15" hidden="1">
      <c r="A33" s="379"/>
      <c r="B33" s="407"/>
      <c r="C33" s="398"/>
      <c r="D33" s="399"/>
      <c r="E33" s="1904"/>
      <c r="F33" s="399"/>
      <c r="G33" s="1904"/>
      <c r="H33" s="399"/>
      <c r="I33" s="398"/>
      <c r="J33" s="399"/>
      <c r="K33" s="562"/>
      <c r="L33" s="2721"/>
      <c r="M33" s="2715"/>
      <c r="N33" s="2715"/>
      <c r="O33" s="2773"/>
      <c r="P33" s="3708"/>
      <c r="Q33" s="1352"/>
      <c r="R33" s="705"/>
      <c r="S33" s="706"/>
      <c r="T33" s="705"/>
      <c r="U33" s="706"/>
      <c r="V33" s="705"/>
      <c r="W33" s="706"/>
      <c r="X33" s="1355"/>
      <c r="Y33" s="3708"/>
      <c r="Z33" s="1356"/>
      <c r="AA33" s="1353">
        <v>1</v>
      </c>
      <c r="AB33" s="1353">
        <v>1</v>
      </c>
      <c r="AC33" s="1353">
        <v>1</v>
      </c>
    </row>
    <row r="34" spans="1:29" ht="15" hidden="1">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8"/>
      <c r="Q34" s="1352" t="str">
        <f t="shared" si="8"/>
        <v>土地级别</v>
      </c>
      <c r="R34" s="705" t="s">
        <v>14</v>
      </c>
      <c r="S34" s="706">
        <f t="shared" si="10"/>
        <v>100</v>
      </c>
      <c r="T34" s="705" t="s">
        <v>14</v>
      </c>
      <c r="U34" s="706">
        <f t="shared" si="11"/>
        <v>100</v>
      </c>
      <c r="V34" s="705" t="s">
        <v>14</v>
      </c>
      <c r="W34" s="706">
        <f t="shared" si="12"/>
        <v>100</v>
      </c>
      <c r="X34" s="1355"/>
      <c r="Y34" s="3708"/>
      <c r="Z34" s="1356" t="str">
        <f t="shared" si="13"/>
        <v>土地级别</v>
      </c>
      <c r="AA34" s="1353">
        <f t="shared" si="3"/>
        <v>1</v>
      </c>
      <c r="AB34" s="1353">
        <f t="shared" si="4"/>
        <v>1</v>
      </c>
      <c r="AC34" s="1353">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8"/>
      <c r="Q35" s="1352">
        <f t="shared" si="8"/>
        <v>111</v>
      </c>
      <c r="R35" s="705" t="s">
        <v>14</v>
      </c>
      <c r="S35" s="706">
        <f t="shared" si="10"/>
        <v>100</v>
      </c>
      <c r="T35" s="705" t="s">
        <v>14</v>
      </c>
      <c r="U35" s="706">
        <f t="shared" si="11"/>
        <v>100</v>
      </c>
      <c r="V35" s="705" t="s">
        <v>14</v>
      </c>
      <c r="W35" s="706">
        <f t="shared" si="12"/>
        <v>100</v>
      </c>
      <c r="X35" s="1355"/>
      <c r="Y35" s="3708"/>
      <c r="Z35" s="1356">
        <f t="shared" si="13"/>
        <v>111</v>
      </c>
      <c r="AA35" s="1353">
        <f t="shared" si="3"/>
        <v>1</v>
      </c>
      <c r="AB35" s="1353">
        <f t="shared" si="4"/>
        <v>1</v>
      </c>
      <c r="AC35" s="1353">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1" t="s">
        <v>1696</v>
      </c>
      <c r="Q36" s="1352">
        <f t="shared" si="8"/>
        <v>111</v>
      </c>
      <c r="R36" s="705" t="s">
        <v>14</v>
      </c>
      <c r="S36" s="706">
        <f t="shared" si="10"/>
        <v>100</v>
      </c>
      <c r="T36" s="705" t="s">
        <v>14</v>
      </c>
      <c r="U36" s="706">
        <f t="shared" si="11"/>
        <v>100</v>
      </c>
      <c r="V36" s="705" t="s">
        <v>14</v>
      </c>
      <c r="W36" s="706">
        <f t="shared" si="12"/>
        <v>100</v>
      </c>
      <c r="X36" s="1355"/>
      <c r="Y36" s="3712" t="s">
        <v>1696</v>
      </c>
      <c r="Z36" s="1356">
        <f t="shared" si="13"/>
        <v>111</v>
      </c>
      <c r="AA36" s="1353">
        <f t="shared" si="3"/>
        <v>1</v>
      </c>
      <c r="AB36" s="1353">
        <f t="shared" si="4"/>
        <v>1</v>
      </c>
      <c r="AC36" s="1353">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2"/>
      <c r="Q37" s="1352">
        <f t="shared" si="8"/>
        <v>111</v>
      </c>
      <c r="R37" s="708" t="s">
        <v>14</v>
      </c>
      <c r="S37" s="709">
        <f t="shared" si="10"/>
        <v>100</v>
      </c>
      <c r="T37" s="708" t="s">
        <v>14</v>
      </c>
      <c r="U37" s="709">
        <f t="shared" si="11"/>
        <v>100</v>
      </c>
      <c r="V37" s="708" t="s">
        <v>14</v>
      </c>
      <c r="W37" s="709">
        <f t="shared" si="12"/>
        <v>100</v>
      </c>
      <c r="X37" s="710"/>
      <c r="Y37" s="3712"/>
      <c r="Z37" s="711">
        <f t="shared" si="13"/>
        <v>111</v>
      </c>
      <c r="AA37" s="1353">
        <f t="shared" si="3"/>
        <v>1</v>
      </c>
      <c r="AB37" s="1353">
        <f t="shared" si="4"/>
        <v>1</v>
      </c>
      <c r="AC37" s="1353">
        <f t="shared" si="5"/>
        <v>1</v>
      </c>
    </row>
    <row r="38" spans="1:29" ht="15">
      <c r="A38" s="423" t="s">
        <v>1694</v>
      </c>
      <c r="B38" s="407" t="s">
        <v>1874</v>
      </c>
      <c r="C38" s="627">
        <f>ROUND('数据-汇总表'!F19/'数据-汇总表'!I7,2)</f>
        <v>11465.49</v>
      </c>
      <c r="D38" s="418">
        <v>100</v>
      </c>
      <c r="E38" s="627">
        <f>土地案例!I2</f>
        <v>14341.5</v>
      </c>
      <c r="F38" s="418">
        <f>LOOKUP(E38,116:116,117:117)-LOOKUP(C38,116:116,117:117)+100</f>
        <v>100</v>
      </c>
      <c r="G38" s="627">
        <f>土地案例!I3</f>
        <v>8515.9699999999993</v>
      </c>
      <c r="H38" s="418">
        <f>LOOKUP(G38,116:116,117:117)-LOOKUP(C38,116:116,117:117)+100</f>
        <v>99</v>
      </c>
      <c r="I38" s="479">
        <f>土地案例!I8</f>
        <v>14164.84</v>
      </c>
      <c r="J38" s="418">
        <f>LOOKUP(I38,116:116,117:117)-LOOKUP(C38,116:116,117:117)+100</f>
        <v>100</v>
      </c>
      <c r="K38" s="562"/>
      <c r="L38" s="2721"/>
      <c r="M38" s="2715"/>
      <c r="N38" s="2715"/>
      <c r="O38" s="2773"/>
      <c r="P38" s="3712"/>
      <c r="Q38" s="1352" t="str">
        <f>B38</f>
        <v>宗地面积</v>
      </c>
      <c r="R38" s="705" t="s">
        <v>14</v>
      </c>
      <c r="S38" s="706">
        <f t="shared" si="10"/>
        <v>100</v>
      </c>
      <c r="T38" s="705" t="s">
        <v>14</v>
      </c>
      <c r="U38" s="706">
        <f t="shared" si="11"/>
        <v>99</v>
      </c>
      <c r="V38" s="705" t="s">
        <v>14</v>
      </c>
      <c r="W38" s="706">
        <f t="shared" si="12"/>
        <v>100</v>
      </c>
      <c r="X38" s="1355"/>
      <c r="Y38" s="3712"/>
      <c r="Z38" s="1356" t="str">
        <f t="shared" si="13"/>
        <v>宗地面积</v>
      </c>
      <c r="AA38" s="1353">
        <f t="shared" si="3"/>
        <v>1</v>
      </c>
      <c r="AB38" s="1353">
        <f t="shared" si="4"/>
        <v>1.0101010101010102</v>
      </c>
      <c r="AC38" s="1353">
        <f t="shared" si="5"/>
        <v>1</v>
      </c>
    </row>
    <row r="39" spans="1:29" ht="15">
      <c r="A39" s="423"/>
      <c r="B39" s="375" t="s">
        <v>1875</v>
      </c>
      <c r="C39" s="1906" t="s">
        <v>3424</v>
      </c>
      <c r="D39" s="386">
        <v>100</v>
      </c>
      <c r="E39" s="1906" t="s">
        <v>3424</v>
      </c>
      <c r="F39" s="386">
        <f>SUMIF(118:118,E39,119:119)-SUMIF(118:118,C39,119:119)+100</f>
        <v>100</v>
      </c>
      <c r="G39" s="1906" t="s">
        <v>3424</v>
      </c>
      <c r="H39" s="386">
        <f>SUMIF(118:118,G39,119:119)-SUMIF(118:118,C39,119:119)+100</f>
        <v>100</v>
      </c>
      <c r="I39" s="1906" t="s">
        <v>3424</v>
      </c>
      <c r="J39" s="386">
        <f>SUMIF(118:118,I39,119:119)-SUMIF(118:118,C39,119:119)+100</f>
        <v>100</v>
      </c>
      <c r="K39" s="561">
        <v>1</v>
      </c>
      <c r="L39" s="2721"/>
      <c r="M39" s="2715"/>
      <c r="N39" s="2715"/>
      <c r="O39" s="2773"/>
      <c r="P39" s="3712"/>
      <c r="Q39" s="1352" t="str">
        <f t="shared" ref="Q39:Q45" si="14">B39</f>
        <v>宗地形状</v>
      </c>
      <c r="R39" s="705" t="s">
        <v>14</v>
      </c>
      <c r="S39" s="706">
        <f t="shared" si="10"/>
        <v>100</v>
      </c>
      <c r="T39" s="705" t="s">
        <v>14</v>
      </c>
      <c r="U39" s="706">
        <f t="shared" si="11"/>
        <v>100</v>
      </c>
      <c r="V39" s="705" t="s">
        <v>14</v>
      </c>
      <c r="W39" s="706">
        <f t="shared" si="12"/>
        <v>100</v>
      </c>
      <c r="X39" s="1355"/>
      <c r="Y39" s="3712"/>
      <c r="Z39" s="1356" t="str">
        <f t="shared" si="13"/>
        <v>宗地形状</v>
      </c>
      <c r="AA39" s="1353">
        <f t="shared" si="3"/>
        <v>1</v>
      </c>
      <c r="AB39" s="1353">
        <f t="shared" si="4"/>
        <v>1</v>
      </c>
      <c r="AC39" s="1353">
        <f t="shared" si="5"/>
        <v>1</v>
      </c>
    </row>
    <row r="40" spans="1:29" ht="15">
      <c r="A40" s="423"/>
      <c r="B40" s="375" t="s">
        <v>1876</v>
      </c>
      <c r="C40" s="1906" t="s">
        <v>3425</v>
      </c>
      <c r="D40" s="386">
        <v>100</v>
      </c>
      <c r="E40" s="1906" t="s">
        <v>3425</v>
      </c>
      <c r="F40" s="386">
        <f>SUMIF(120:120,E40,121:121)-SUMIF(120:120,C40,121:121)+100</f>
        <v>100</v>
      </c>
      <c r="G40" s="1906" t="s">
        <v>3425</v>
      </c>
      <c r="H40" s="386">
        <f>SUMIF(120:120,G40,121:121)-SUMIF(120:120,C40,121:121)+100</f>
        <v>100</v>
      </c>
      <c r="I40" s="1906" t="s">
        <v>3425</v>
      </c>
      <c r="J40" s="386">
        <f>SUMIF(120:120,I40,121:121)-SUMIF(120:120,C40,121:121)+100</f>
        <v>100</v>
      </c>
      <c r="K40" s="561">
        <v>1</v>
      </c>
      <c r="L40" s="2721"/>
      <c r="M40" s="2715"/>
      <c r="N40" s="2715"/>
      <c r="O40" s="2773"/>
      <c r="P40" s="3712"/>
      <c r="Q40" s="1352" t="str">
        <f t="shared" si="14"/>
        <v>临街宽度及深度</v>
      </c>
      <c r="R40" s="705" t="s">
        <v>14</v>
      </c>
      <c r="S40" s="706">
        <f t="shared" si="10"/>
        <v>100</v>
      </c>
      <c r="T40" s="705" t="s">
        <v>14</v>
      </c>
      <c r="U40" s="706">
        <f t="shared" si="11"/>
        <v>100</v>
      </c>
      <c r="V40" s="705" t="s">
        <v>14</v>
      </c>
      <c r="W40" s="706">
        <f t="shared" si="12"/>
        <v>100</v>
      </c>
      <c r="X40" s="1355"/>
      <c r="Y40" s="3712"/>
      <c r="Z40" s="1356" t="str">
        <f t="shared" si="13"/>
        <v>临街宽度及深度</v>
      </c>
      <c r="AA40" s="1353">
        <f t="shared" si="3"/>
        <v>1</v>
      </c>
      <c r="AB40" s="1353">
        <f t="shared" si="4"/>
        <v>1</v>
      </c>
      <c r="AC40" s="1353">
        <f t="shared" si="5"/>
        <v>1</v>
      </c>
    </row>
    <row r="41" spans="1:29" s="108" customFormat="1" ht="15">
      <c r="A41" s="424"/>
      <c r="B41" s="375" t="s">
        <v>1877</v>
      </c>
      <c r="C41" s="1980" t="s">
        <v>3415</v>
      </c>
      <c r="D41" s="127">
        <v>100</v>
      </c>
      <c r="E41" s="1980" t="s">
        <v>3415</v>
      </c>
      <c r="F41" s="386">
        <f>SUMIF(122:122,E41,123:123)-SUMIF(122:122,C41,123:123)+100</f>
        <v>100</v>
      </c>
      <c r="G41" s="1980" t="s">
        <v>3415</v>
      </c>
      <c r="H41" s="386">
        <f>SUMIF(122:122,G41,123:123)-SUMIF(122:122,C41,123:123)+100</f>
        <v>100</v>
      </c>
      <c r="I41" s="1980" t="s">
        <v>3415</v>
      </c>
      <c r="J41" s="386">
        <f>SUMIF(122:122,I41,123:123)-SUMIF(122:122,C41,123:123)+100</f>
        <v>100</v>
      </c>
      <c r="K41" s="561">
        <v>1</v>
      </c>
      <c r="L41" s="2716"/>
      <c r="M41" s="2717"/>
      <c r="N41" s="2717"/>
      <c r="O41" s="2771"/>
      <c r="P41" s="3712"/>
      <c r="Q41" s="1352" t="str">
        <f t="shared" si="14"/>
        <v>宗地开发程度</v>
      </c>
      <c r="R41" s="701" t="s">
        <v>14</v>
      </c>
      <c r="S41" s="702">
        <f t="shared" si="10"/>
        <v>100</v>
      </c>
      <c r="T41" s="701" t="s">
        <v>14</v>
      </c>
      <c r="U41" s="702">
        <f t="shared" si="11"/>
        <v>100</v>
      </c>
      <c r="V41" s="701" t="s">
        <v>14</v>
      </c>
      <c r="W41" s="702">
        <f t="shared" si="12"/>
        <v>100</v>
      </c>
      <c r="X41" s="703"/>
      <c r="Y41" s="3712"/>
      <c r="Z41" s="52" t="str">
        <f t="shared" si="13"/>
        <v>宗地开发程度</v>
      </c>
      <c r="AA41" s="704">
        <f t="shared" si="3"/>
        <v>1</v>
      </c>
      <c r="AB41" s="704">
        <f t="shared" si="4"/>
        <v>1</v>
      </c>
      <c r="AC41" s="704">
        <f t="shared" si="5"/>
        <v>1</v>
      </c>
    </row>
    <row r="42" spans="1:29" ht="15.75" thickBot="1">
      <c r="A42" s="423"/>
      <c r="B42" s="375" t="s">
        <v>1878</v>
      </c>
      <c r="C42" s="1906" t="s">
        <v>3420</v>
      </c>
      <c r="D42" s="386">
        <v>100</v>
      </c>
      <c r="E42" s="1906" t="s">
        <v>3420</v>
      </c>
      <c r="F42" s="386">
        <f>SUMIF(124:124,E42,125:125)-SUMIF(124:124,C42,125:125)+100</f>
        <v>100</v>
      </c>
      <c r="G42" s="1906" t="s">
        <v>3420</v>
      </c>
      <c r="H42" s="386">
        <f>SUMIF(124:124,G42,125:125)-SUMIF(124:124,C42,125:125)+100</f>
        <v>100</v>
      </c>
      <c r="I42" s="1906" t="s">
        <v>3420</v>
      </c>
      <c r="J42" s="386">
        <f>SUMIF(124:124,I42,125:125)-SUMIF(124:124,C42,125:125)+100</f>
        <v>100</v>
      </c>
      <c r="K42" s="561">
        <v>1</v>
      </c>
      <c r="L42" s="2721"/>
      <c r="M42" s="2715"/>
      <c r="N42" s="2715"/>
      <c r="O42" s="2773"/>
      <c r="P42" s="3712" t="s">
        <v>1696</v>
      </c>
      <c r="Q42" s="1352" t="str">
        <f t="shared" si="14"/>
        <v>工程地质条件</v>
      </c>
      <c r="R42" s="705" t="s">
        <v>14</v>
      </c>
      <c r="S42" s="706">
        <f t="shared" si="10"/>
        <v>100</v>
      </c>
      <c r="T42" s="705" t="s">
        <v>14</v>
      </c>
      <c r="U42" s="706">
        <f t="shared" si="11"/>
        <v>100</v>
      </c>
      <c r="V42" s="705" t="s">
        <v>14</v>
      </c>
      <c r="W42" s="706">
        <f t="shared" si="12"/>
        <v>100</v>
      </c>
      <c r="X42" s="1355"/>
      <c r="Y42" s="3712" t="s">
        <v>1696</v>
      </c>
      <c r="Z42" s="1356" t="str">
        <f t="shared" si="13"/>
        <v>工程地质条件</v>
      </c>
      <c r="AA42" s="1353">
        <f t="shared" si="3"/>
        <v>1</v>
      </c>
      <c r="AB42" s="1353">
        <f t="shared" si="4"/>
        <v>1</v>
      </c>
      <c r="AC42" s="1353">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2"/>
      <c r="Q43" s="1352">
        <f t="shared" si="14"/>
        <v>111</v>
      </c>
      <c r="R43" s="705" t="s">
        <v>14</v>
      </c>
      <c r="S43" s="706">
        <f t="shared" si="10"/>
        <v>100</v>
      </c>
      <c r="T43" s="705" t="s">
        <v>14</v>
      </c>
      <c r="U43" s="706">
        <f t="shared" si="11"/>
        <v>100</v>
      </c>
      <c r="V43" s="705" t="s">
        <v>14</v>
      </c>
      <c r="W43" s="706">
        <f t="shared" si="12"/>
        <v>100</v>
      </c>
      <c r="X43" s="1355"/>
      <c r="Y43" s="3712"/>
      <c r="Z43" s="1356">
        <f t="shared" si="13"/>
        <v>111</v>
      </c>
      <c r="AA43" s="1353">
        <f t="shared" si="3"/>
        <v>1</v>
      </c>
      <c r="AB43" s="1353">
        <f t="shared" si="4"/>
        <v>1</v>
      </c>
      <c r="AC43" s="1353">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2"/>
      <c r="Q44" s="1352">
        <f t="shared" si="14"/>
        <v>111</v>
      </c>
      <c r="R44" s="705" t="s">
        <v>14</v>
      </c>
      <c r="S44" s="706">
        <f t="shared" si="10"/>
        <v>100</v>
      </c>
      <c r="T44" s="705" t="s">
        <v>14</v>
      </c>
      <c r="U44" s="706">
        <f t="shared" si="11"/>
        <v>100</v>
      </c>
      <c r="V44" s="705" t="s">
        <v>14</v>
      </c>
      <c r="W44" s="706">
        <f t="shared" si="12"/>
        <v>100</v>
      </c>
      <c r="X44" s="1355"/>
      <c r="Y44" s="3712"/>
      <c r="Z44" s="1356">
        <f t="shared" si="13"/>
        <v>111</v>
      </c>
      <c r="AA44" s="1353">
        <f t="shared" si="3"/>
        <v>1</v>
      </c>
      <c r="AB44" s="1353">
        <f t="shared" si="4"/>
        <v>1</v>
      </c>
      <c r="AC44" s="1353">
        <f t="shared" si="5"/>
        <v>1</v>
      </c>
    </row>
    <row r="45" spans="1:29" s="422" customFormat="1" ht="15.75" hidden="1"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2"/>
      <c r="Q45" s="1352">
        <f t="shared" si="14"/>
        <v>111</v>
      </c>
      <c r="R45" s="708" t="s">
        <v>14</v>
      </c>
      <c r="S45" s="709">
        <f t="shared" si="10"/>
        <v>100</v>
      </c>
      <c r="T45" s="708" t="s">
        <v>14</v>
      </c>
      <c r="U45" s="709">
        <f t="shared" si="11"/>
        <v>100</v>
      </c>
      <c r="V45" s="708" t="s">
        <v>14</v>
      </c>
      <c r="W45" s="709">
        <f t="shared" si="12"/>
        <v>100</v>
      </c>
      <c r="X45" s="710"/>
      <c r="Y45" s="3712"/>
      <c r="Z45" s="711">
        <f t="shared" si="13"/>
        <v>111</v>
      </c>
      <c r="AA45" s="1353">
        <f t="shared" si="3"/>
        <v>1</v>
      </c>
      <c r="AB45" s="1353">
        <f t="shared" si="4"/>
        <v>1</v>
      </c>
      <c r="AC45" s="1353">
        <f t="shared" si="5"/>
        <v>1</v>
      </c>
    </row>
    <row r="46" spans="1:29" ht="15">
      <c r="A46" s="430" t="s">
        <v>1844</v>
      </c>
      <c r="B46" s="1982" t="s">
        <v>1879</v>
      </c>
      <c r="C46" s="630" t="s">
        <v>0</v>
      </c>
      <c r="D46" s="432"/>
      <c r="E46" s="433">
        <f>土地案例!AP2</f>
        <v>1126</v>
      </c>
      <c r="F46" s="434"/>
      <c r="G46" s="435">
        <f>土地案例!AP3</f>
        <v>1074</v>
      </c>
      <c r="H46" s="436"/>
      <c r="I46" s="433">
        <f>土地案例!AP8</f>
        <v>1612</v>
      </c>
      <c r="J46" s="436"/>
      <c r="K46" s="714"/>
      <c r="L46" s="2723"/>
      <c r="M46" s="2724"/>
      <c r="N46" s="2715"/>
      <c r="O46" s="2724"/>
      <c r="P46" s="3705" t="str">
        <f>A46</f>
        <v>成交单价</v>
      </c>
      <c r="Q46" s="3705"/>
      <c r="R46" s="3700">
        <f>E46</f>
        <v>1126</v>
      </c>
      <c r="S46" s="3700"/>
      <c r="T46" s="3700">
        <f>G46</f>
        <v>1074</v>
      </c>
      <c r="U46" s="3700"/>
      <c r="V46" s="3700">
        <f>I46</f>
        <v>1612</v>
      </c>
      <c r="W46" s="3700"/>
      <c r="X46" s="690"/>
      <c r="Y46" s="712"/>
      <c r="Z46" s="690"/>
      <c r="AA46" s="690"/>
      <c r="AB46" s="690"/>
      <c r="AC46" s="690"/>
    </row>
    <row r="47" spans="1:29" ht="15.75" thickBot="1">
      <c r="A47" s="437" t="s">
        <v>1793</v>
      </c>
      <c r="B47" s="631"/>
      <c r="C47" s="440">
        <f>R48</f>
        <v>1238</v>
      </c>
      <c r="D47" s="2317" t="s">
        <v>2137</v>
      </c>
      <c r="E47" s="440">
        <f>R47</f>
        <v>1158</v>
      </c>
      <c r="F47" s="2318"/>
      <c r="G47" s="439">
        <f>T47</f>
        <v>1059</v>
      </c>
      <c r="H47" s="2318"/>
      <c r="I47" s="440">
        <f>V47</f>
        <v>1496</v>
      </c>
      <c r="J47" s="2318"/>
      <c r="K47" s="2320">
        <f>F47+H47+J47</f>
        <v>0</v>
      </c>
      <c r="L47" s="2723"/>
      <c r="M47" s="2724"/>
      <c r="N47" s="2724"/>
      <c r="O47" s="2724"/>
      <c r="P47" s="3705" t="str">
        <f>A47</f>
        <v>比较价值（元/平方米）</v>
      </c>
      <c r="Q47" s="3705"/>
      <c r="R47" s="3734">
        <f>ROUND(PRODUCT(R46,AA7:AA45),0)</f>
        <v>1158</v>
      </c>
      <c r="S47" s="3734"/>
      <c r="T47" s="3734">
        <f>ROUND(PRODUCT(T46,AB7:AB45),0)</f>
        <v>1059</v>
      </c>
      <c r="U47" s="3734"/>
      <c r="V47" s="3734">
        <f>ROUND(PRODUCT(V46,AC7:AC45),0)</f>
        <v>1496</v>
      </c>
      <c r="W47" s="3734"/>
      <c r="X47" s="690"/>
      <c r="Y47" s="690"/>
      <c r="Z47" s="690"/>
      <c r="AA47" s="690"/>
      <c r="AB47" s="690"/>
      <c r="AC47" s="690"/>
    </row>
    <row r="48" spans="1:29" ht="15.75" thickBot="1">
      <c r="A48" s="441" t="s">
        <v>1880</v>
      </c>
      <c r="B48" s="442"/>
      <c r="C48" s="443">
        <f>R48</f>
        <v>1238</v>
      </c>
      <c r="D48" s="443"/>
      <c r="E48" s="443"/>
      <c r="F48" s="443"/>
      <c r="G48" s="443"/>
      <c r="H48" s="443"/>
      <c r="I48" s="443"/>
      <c r="J48" s="443"/>
      <c r="K48" s="715"/>
      <c r="L48" s="2723"/>
      <c r="M48" s="2724"/>
      <c r="N48" s="2724"/>
      <c r="O48" s="2724"/>
      <c r="P48" s="3702" t="str">
        <f>A48</f>
        <v>估价对象XX用房的比较价值（楼面单价，元/平方米）</v>
      </c>
      <c r="Q48" s="3703"/>
      <c r="R48" s="3735">
        <f>ROUND(IF(D47="简单平均",AVERAGE(R47:W47),R47*F47+T47*H47+V47*J47),0)</f>
        <v>1238</v>
      </c>
      <c r="S48" s="3735"/>
      <c r="T48" s="3735"/>
      <c r="U48" s="3735"/>
      <c r="V48" s="3735"/>
      <c r="W48" s="373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f>IF(E46&lt;E47,E47/E46-1,E46/E47-1)</f>
        <v>2.8419182948490329E-2</v>
      </c>
      <c r="F51" s="449" t="str">
        <f>IF(OR(E51&gt;=0.3,E51&lt;=-0.3),"超过30%","")</f>
        <v/>
      </c>
      <c r="G51" s="448">
        <f>IF(G46&lt;G47,G47/G46-1,G46/G47-1)</f>
        <v>1.4164305949008416E-2</v>
      </c>
      <c r="H51" s="449" t="str">
        <f>IF(OR(G51&gt;=0.3,G51&lt;=-0.3),"超过30%","")</f>
        <v/>
      </c>
      <c r="I51" s="448">
        <f>IF(I46&lt;I47,I47/I46-1,I46/I47-1)</f>
        <v>7.7540106951871746E-2</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f>IF(E47&lt;G47,G47/E47-1,E47/G47-1)</f>
        <v>9.3484419263456076E-2</v>
      </c>
      <c r="F52" s="449" t="str">
        <f>IF(OR(E52&gt;=0.2,E52&lt;=-0.2),"超过20%","")</f>
        <v/>
      </c>
      <c r="G52" s="448">
        <f>IF(G47&lt;I47,I47/G47-1,G47/I47-1)</f>
        <v>0.41265344664778092</v>
      </c>
      <c r="H52" s="449" t="str">
        <f>IF(OR(G52&gt;=0.2,G52&lt;=-0.2),"超过20%","")</f>
        <v>超过20%</v>
      </c>
      <c r="I52" s="448">
        <f>IF(I47&lt;E47,E47/I47-1,I47/E47-1)</f>
        <v>0.2918825561312608</v>
      </c>
      <c r="J52" s="449" t="str">
        <f>IF(OR(I52&gt;=0.2,I52&lt;=-0.2),"超过20%","")</f>
        <v>超过20%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f>IF(E46&lt;G46,G46/E46-1,E46/G46-1)</f>
        <v>4.8417132216014958E-2</v>
      </c>
      <c r="F53" s="449" t="str">
        <f>IF(OR(E53&gt;=0.3,E53&lt;=-0.3),"超过30%","")</f>
        <v/>
      </c>
      <c r="G53" s="448">
        <f>IF(G46&lt;I46,I46/G46-1,G46/I46-1)</f>
        <v>0.50093109869646191</v>
      </c>
      <c r="H53" s="449" t="str">
        <f>IF(OR(G53&gt;=0.3,G53&lt;=-0.3),"超过30%","")</f>
        <v>超过30%</v>
      </c>
      <c r="I53" s="448">
        <f>IF(I46&lt;E46,E46/I46-1,I46/E46-1)</f>
        <v>0.43161634103019542</v>
      </c>
      <c r="J53" s="449" t="str">
        <f>IF(OR(I53&gt;=0.3,I53&lt;=-0.3),"超过30%","")</f>
        <v>超过30%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88" t="s">
        <v>1887</v>
      </c>
      <c r="H55" s="3736"/>
      <c r="I55" s="135" t="s">
        <v>1888</v>
      </c>
      <c r="J55" s="1985" t="str">
        <f>项目基本情况!F35</f>
        <v>江苏省南京市</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f>C48</f>
        <v>1238</v>
      </c>
      <c r="C56" s="638">
        <v>1</v>
      </c>
      <c r="D56" s="944">
        <v>1</v>
      </c>
      <c r="E56" s="638">
        <f>'数据-汇总表'!E8+'数据-汇总表'!E9</f>
        <v>17198.240000000002</v>
      </c>
      <c r="F56" s="886">
        <f t="shared" ref="F56:F64" si="15">ROUND(B56*E56/10000,0)</f>
        <v>2129</v>
      </c>
      <c r="G56" s="3687"/>
      <c r="H56" s="3705"/>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f>ROUND($C$48*C57*D57,0)</f>
        <v>0</v>
      </c>
      <c r="C57" s="171">
        <f t="shared" ref="C57:C64" si="16">IF($C$55="北京市系数",I57,J57)</f>
        <v>0</v>
      </c>
      <c r="D57" s="945">
        <v>0.25</v>
      </c>
      <c r="E57" s="642"/>
      <c r="F57" s="886">
        <f t="shared" si="15"/>
        <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f t="shared" ref="B58:B64" si="17">ROUND($C$48*C58*D58,0)</f>
        <v>0</v>
      </c>
      <c r="C58" s="171">
        <f t="shared" si="16"/>
        <v>0</v>
      </c>
      <c r="D58" s="945">
        <v>0.25</v>
      </c>
      <c r="E58" s="642"/>
      <c r="F58" s="886">
        <f t="shared" si="15"/>
        <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f t="shared" si="17"/>
        <v>0</v>
      </c>
      <c r="C59" s="171">
        <f t="shared" si="16"/>
        <v>0</v>
      </c>
      <c r="D59" s="945">
        <v>0.25</v>
      </c>
      <c r="E59" s="642"/>
      <c r="F59" s="886">
        <f t="shared" si="15"/>
        <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f t="shared" si="17"/>
        <v>0</v>
      </c>
      <c r="C60" s="171">
        <f t="shared" si="16"/>
        <v>0</v>
      </c>
      <c r="D60" s="945">
        <v>0.25</v>
      </c>
      <c r="E60" s="217">
        <f>'数据-汇总表'!E11</f>
        <v>0</v>
      </c>
      <c r="F60" s="886">
        <f t="shared" si="15"/>
        <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f t="shared" si="17"/>
        <v>0</v>
      </c>
      <c r="C61" s="171">
        <f t="shared" si="16"/>
        <v>0</v>
      </c>
      <c r="D61" s="945">
        <v>0.25</v>
      </c>
      <c r="E61" s="217">
        <f>'数据-汇总表'!E12</f>
        <v>0</v>
      </c>
      <c r="F61" s="886">
        <f t="shared" si="15"/>
        <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f t="shared" si="17"/>
        <v>0</v>
      </c>
      <c r="C62" s="171">
        <f t="shared" si="16"/>
        <v>0</v>
      </c>
      <c r="D62" s="945">
        <v>0.25</v>
      </c>
      <c r="E62" s="217">
        <f>'数据-汇总表'!E13</f>
        <v>0</v>
      </c>
      <c r="F62" s="886">
        <f t="shared" si="15"/>
        <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f t="shared" si="17"/>
        <v>0</v>
      </c>
      <c r="C63" s="171">
        <f t="shared" si="16"/>
        <v>0</v>
      </c>
      <c r="D63" s="945">
        <v>0.25</v>
      </c>
      <c r="E63" s="217">
        <f>'数据-汇总表'!E14</f>
        <v>0</v>
      </c>
      <c r="F63" s="886">
        <f t="shared" si="15"/>
        <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f t="shared" si="17"/>
        <v>0</v>
      </c>
      <c r="C64" s="171">
        <f t="shared" si="16"/>
        <v>0</v>
      </c>
      <c r="D64" s="945">
        <v>0.25</v>
      </c>
      <c r="E64" s="217">
        <f>'数据-汇总表'!E15</f>
        <v>0</v>
      </c>
      <c r="F64" s="886">
        <f t="shared" si="15"/>
        <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17198.240000000002</v>
      </c>
      <c r="F65" s="645">
        <f>IF(B46="楼面地价",SUM(F56:F64),ROUND(C48*E65/10000,0))</f>
        <v>2129</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90" t="s">
        <v>3407</v>
      </c>
      <c r="B70" s="288" t="str">
        <f>"北京市平均增长率"&amp;TEXT(SUMIF(基准地价修正!N25:N29,A70,基准地价修正!P25:P29),"0.00%")</f>
        <v>北京市平均增长率0.00%</v>
      </c>
      <c r="C70" s="552">
        <v>100</v>
      </c>
      <c r="D70" s="544">
        <f>C70-C71</f>
        <v>99.8</v>
      </c>
      <c r="E70" s="544">
        <f t="shared" ref="E70:M70" si="20">D70-D71</f>
        <v>99.8</v>
      </c>
      <c r="F70" s="544">
        <f t="shared" si="20"/>
        <v>99.8</v>
      </c>
      <c r="G70" s="544">
        <f t="shared" si="20"/>
        <v>99.8</v>
      </c>
      <c r="H70" s="544">
        <f t="shared" si="20"/>
        <v>99.8</v>
      </c>
      <c r="I70" s="544">
        <f t="shared" si="20"/>
        <v>99.8</v>
      </c>
      <c r="J70" s="544">
        <f t="shared" si="20"/>
        <v>99.8</v>
      </c>
      <c r="K70" s="544">
        <f t="shared" si="20"/>
        <v>99.8</v>
      </c>
      <c r="L70" s="544">
        <f t="shared" si="20"/>
        <v>99.8</v>
      </c>
      <c r="M70" s="544">
        <f t="shared" si="20"/>
        <v>99.8</v>
      </c>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v>0.2</v>
      </c>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3451" t="s">
        <v>3409</v>
      </c>
      <c r="D74" s="3451" t="s">
        <v>3411</v>
      </c>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v>100</v>
      </c>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0（含）-1</v>
      </c>
      <c r="D78" s="496" t="str">
        <f t="shared" ref="D78:L78" si="21">D79&amp;"（含）"&amp;"-"&amp;E79</f>
        <v>1（含）-2</v>
      </c>
      <c r="E78" s="496" t="str">
        <f t="shared" si="21"/>
        <v>2（含）-3</v>
      </c>
      <c r="F78" s="496" t="str">
        <f t="shared" si="21"/>
        <v>3（含）-4</v>
      </c>
      <c r="G78" s="496" t="str">
        <f t="shared" si="21"/>
        <v>4（含）-</v>
      </c>
      <c r="H78" s="496" t="str">
        <f t="shared" si="21"/>
        <v>（含）-</v>
      </c>
      <c r="I78" s="496" t="str">
        <f t="shared" si="21"/>
        <v>（含）-</v>
      </c>
      <c r="J78" s="496" t="str">
        <f t="shared" si="21"/>
        <v>（含）-</v>
      </c>
      <c r="K78" s="496" t="str">
        <f t="shared" si="21"/>
        <v>（含）-</v>
      </c>
      <c r="L78" s="496" t="str">
        <f t="shared" si="21"/>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2">IF($B$46="单位面积地价",C80+$K11,C80-$K11)</f>
        <v>95</v>
      </c>
      <c r="E80" s="493">
        <f t="shared" si="22"/>
        <v>90</v>
      </c>
      <c r="F80" s="493">
        <f t="shared" si="22"/>
        <v>85</v>
      </c>
      <c r="G80" s="493">
        <f t="shared" si="22"/>
        <v>80</v>
      </c>
      <c r="H80" s="493">
        <f t="shared" si="22"/>
        <v>75</v>
      </c>
      <c r="I80" s="493">
        <f t="shared" si="22"/>
        <v>70</v>
      </c>
      <c r="J80" s="493">
        <f t="shared" si="22"/>
        <v>65</v>
      </c>
      <c r="K80" s="493">
        <f t="shared" si="22"/>
        <v>60</v>
      </c>
      <c r="L80" s="493">
        <f t="shared" si="22"/>
        <v>55</v>
      </c>
      <c r="M80" s="493">
        <f t="shared" si="22"/>
        <v>50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1905</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95</v>
      </c>
      <c r="E92" s="493">
        <f>D92-$K19</f>
        <v>90</v>
      </c>
      <c r="F92" s="493">
        <f>E92-$K19</f>
        <v>85</v>
      </c>
      <c r="G92" s="493">
        <f>F92-$K19</f>
        <v>80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95</v>
      </c>
      <c r="E94" s="493">
        <f>D94-$K21</f>
        <v>90</v>
      </c>
      <c r="F94" s="493">
        <f>E94-$K21</f>
        <v>85</v>
      </c>
      <c r="G94" s="493">
        <f>F94-$K21</f>
        <v>80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1906</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1907</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95</v>
      </c>
      <c r="E98" s="493">
        <f>D98-$K25</f>
        <v>90</v>
      </c>
      <c r="F98" s="493">
        <f>E98-$K25</f>
        <v>85</v>
      </c>
      <c r="G98" s="493">
        <f>F98-$K25</f>
        <v>80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95</v>
      </c>
      <c r="E100" s="493">
        <f>D100-$K27</f>
        <v>90</v>
      </c>
      <c r="F100" s="493">
        <f>E100-$K27</f>
        <v>85</v>
      </c>
      <c r="G100" s="493">
        <f>F100-$K27</f>
        <v>80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1694</v>
      </c>
      <c r="B115" s="477" t="s">
        <v>1912</v>
      </c>
      <c r="C115" s="478" t="str">
        <f>C116&amp;"(含)"&amp;"-"&amp;D116</f>
        <v>0(含)-10000</v>
      </c>
      <c r="D115" s="478" t="str">
        <f t="shared" ref="D115:M115" si="26">D116&amp;"(含)"&amp;"-"&amp;E116</f>
        <v>10000(含)-20000</v>
      </c>
      <c r="E115" s="478" t="str">
        <f t="shared" si="26"/>
        <v>20000(含)-30000</v>
      </c>
      <c r="F115" s="478" t="str">
        <f t="shared" si="26"/>
        <v>30000(含)-40000</v>
      </c>
      <c r="G115" s="478" t="str">
        <f t="shared" si="26"/>
        <v>40000(含)-50000</v>
      </c>
      <c r="H115" s="478" t="str">
        <f t="shared" si="26"/>
        <v>50000(含)-</v>
      </c>
      <c r="I115" s="478" t="str">
        <f t="shared" si="26"/>
        <v>(含)-</v>
      </c>
      <c r="J115" s="478" t="str">
        <f t="shared" si="26"/>
        <v>(含)-</v>
      </c>
      <c r="K115" s="478" t="str">
        <f t="shared" si="26"/>
        <v>(含)-</v>
      </c>
      <c r="L115" s="478" t="str">
        <f t="shared" si="26"/>
        <v>(含)-</v>
      </c>
      <c r="M115" s="478" t="str">
        <f t="shared" si="26"/>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f>C116+10000</f>
        <v>10000</v>
      </c>
      <c r="E116" s="544">
        <f t="shared" ref="E116:H116" si="27">D116+10000</f>
        <v>20000</v>
      </c>
      <c r="F116" s="544">
        <f t="shared" si="27"/>
        <v>30000</v>
      </c>
      <c r="G116" s="544">
        <f t="shared" si="27"/>
        <v>40000</v>
      </c>
      <c r="H116" s="544">
        <f t="shared" si="27"/>
        <v>50000</v>
      </c>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v>100</v>
      </c>
      <c r="D117" s="540">
        <f>C117+1</f>
        <v>101</v>
      </c>
      <c r="E117" s="540">
        <f t="shared" ref="E117:H117" si="28">D117+1</f>
        <v>102</v>
      </c>
      <c r="F117" s="540">
        <f t="shared" si="28"/>
        <v>103</v>
      </c>
      <c r="G117" s="540">
        <f t="shared" si="28"/>
        <v>104</v>
      </c>
      <c r="H117" s="540">
        <f t="shared" si="28"/>
        <v>105</v>
      </c>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3452" t="s">
        <v>3412</v>
      </c>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9">C119-$K39</f>
        <v>99</v>
      </c>
      <c r="E119" s="493">
        <f t="shared" si="29"/>
        <v>98</v>
      </c>
      <c r="F119" s="493">
        <f t="shared" si="29"/>
        <v>97</v>
      </c>
      <c r="G119" s="493">
        <f t="shared" si="29"/>
        <v>96</v>
      </c>
      <c r="H119" s="493">
        <f t="shared" si="29"/>
        <v>95</v>
      </c>
      <c r="I119" s="493">
        <f t="shared" si="29"/>
        <v>94</v>
      </c>
      <c r="J119" s="493">
        <f t="shared" si="29"/>
        <v>93</v>
      </c>
      <c r="K119" s="493">
        <f t="shared" si="29"/>
        <v>92</v>
      </c>
      <c r="L119" s="493">
        <f t="shared" si="29"/>
        <v>91</v>
      </c>
      <c r="M119" s="494">
        <f t="shared" si="29"/>
        <v>90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3453" t="s">
        <v>3413</v>
      </c>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30">C121-$K40</f>
        <v>99</v>
      </c>
      <c r="E121" s="493">
        <f t="shared" si="30"/>
        <v>98</v>
      </c>
      <c r="F121" s="493">
        <f t="shared" si="30"/>
        <v>97</v>
      </c>
      <c r="G121" s="493">
        <f t="shared" si="30"/>
        <v>96</v>
      </c>
      <c r="H121" s="493">
        <f t="shared" si="30"/>
        <v>95</v>
      </c>
      <c r="I121" s="493">
        <f t="shared" si="30"/>
        <v>94</v>
      </c>
      <c r="J121" s="493">
        <f t="shared" si="30"/>
        <v>93</v>
      </c>
      <c r="K121" s="493">
        <f t="shared" si="30"/>
        <v>92</v>
      </c>
      <c r="L121" s="493">
        <f t="shared" si="30"/>
        <v>91</v>
      </c>
      <c r="M121" s="494">
        <f t="shared" si="30"/>
        <v>90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t="s">
        <v>3414</v>
      </c>
      <c r="D122" s="503" t="s">
        <v>3415</v>
      </c>
      <c r="E122" s="503" t="s">
        <v>3416</v>
      </c>
      <c r="F122" s="503" t="s">
        <v>3417</v>
      </c>
      <c r="G122" s="503" t="s">
        <v>3418</v>
      </c>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31">C123-$K41</f>
        <v>99</v>
      </c>
      <c r="E123" s="493">
        <f t="shared" si="31"/>
        <v>98</v>
      </c>
      <c r="F123" s="493">
        <f t="shared" si="31"/>
        <v>97</v>
      </c>
      <c r="G123" s="493">
        <f t="shared" si="31"/>
        <v>96</v>
      </c>
      <c r="H123" s="493">
        <f t="shared" si="31"/>
        <v>95</v>
      </c>
      <c r="I123" s="493">
        <f t="shared" si="31"/>
        <v>94</v>
      </c>
      <c r="J123" s="493">
        <f t="shared" si="31"/>
        <v>93</v>
      </c>
      <c r="K123" s="493">
        <f t="shared" si="31"/>
        <v>92</v>
      </c>
      <c r="L123" s="493">
        <f t="shared" si="31"/>
        <v>91</v>
      </c>
      <c r="M123" s="494">
        <f t="shared" si="31"/>
        <v>90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t="s">
        <v>3419</v>
      </c>
      <c r="D124" s="503" t="s">
        <v>3420</v>
      </c>
      <c r="E124" s="532" t="s">
        <v>3421</v>
      </c>
      <c r="F124" s="532" t="s">
        <v>3422</v>
      </c>
      <c r="G124" s="532" t="s">
        <v>3423</v>
      </c>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32">C125-$K42</f>
        <v>99</v>
      </c>
      <c r="E125" s="493">
        <f t="shared" si="32"/>
        <v>98</v>
      </c>
      <c r="F125" s="493">
        <f t="shared" si="32"/>
        <v>97</v>
      </c>
      <c r="G125" s="493">
        <f t="shared" si="32"/>
        <v>96</v>
      </c>
      <c r="H125" s="493">
        <f t="shared" si="32"/>
        <v>95</v>
      </c>
      <c r="I125" s="493">
        <f t="shared" si="32"/>
        <v>94</v>
      </c>
      <c r="J125" s="493">
        <f t="shared" si="32"/>
        <v>93</v>
      </c>
      <c r="K125" s="493">
        <f t="shared" si="32"/>
        <v>92</v>
      </c>
      <c r="L125" s="493">
        <f t="shared" si="32"/>
        <v>91</v>
      </c>
      <c r="M125" s="494">
        <f t="shared" si="32"/>
        <v>90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22" sqref="I2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1917</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4"/>
      <c r="M5" s="2715"/>
      <c r="N5" s="2715"/>
      <c r="O5" s="2715"/>
      <c r="P5" s="3694"/>
      <c r="Q5" s="3695"/>
      <c r="R5" s="3677"/>
      <c r="S5" s="3678"/>
      <c r="T5" s="3677"/>
      <c r="U5" s="3678"/>
      <c r="V5" s="3700"/>
      <c r="W5" s="3700"/>
      <c r="X5" s="1355"/>
      <c r="Y5" s="3677"/>
      <c r="Z5" s="3678"/>
      <c r="AA5" s="3671"/>
      <c r="AB5" s="3671"/>
      <c r="AC5" s="3671"/>
    </row>
    <row r="6" spans="1:29" ht="15.75" thickBot="1">
      <c r="A6" s="360"/>
      <c r="B6" s="361"/>
      <c r="C6" s="3737" t="s">
        <v>1918</v>
      </c>
      <c r="D6" s="3738"/>
      <c r="E6" s="3739" t="s">
        <v>1918</v>
      </c>
      <c r="F6" s="3740"/>
      <c r="G6" s="3737" t="s">
        <v>1918</v>
      </c>
      <c r="H6" s="3738"/>
      <c r="I6" s="3737" t="s">
        <v>1918</v>
      </c>
      <c r="J6" s="3738"/>
      <c r="K6" s="559" t="s">
        <v>1678</v>
      </c>
      <c r="L6" s="2714"/>
      <c r="M6" s="2715"/>
      <c r="N6" s="2715"/>
      <c r="O6" s="2715"/>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45061</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3" t="s">
        <v>1683</v>
      </c>
      <c r="Q8" s="3674"/>
      <c r="R8" s="701" t="s">
        <v>14</v>
      </c>
      <c r="S8" s="702">
        <f t="shared" si="0"/>
        <v>0</v>
      </c>
      <c r="T8" s="701" t="s">
        <v>14</v>
      </c>
      <c r="U8" s="702">
        <f t="shared" si="1"/>
        <v>0</v>
      </c>
      <c r="V8" s="701" t="s">
        <v>14</v>
      </c>
      <c r="W8" s="702">
        <f t="shared" si="2"/>
        <v>0</v>
      </c>
      <c r="X8" s="703"/>
      <c r="Y8" s="3673" t="s">
        <v>1683</v>
      </c>
      <c r="Z8" s="367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05"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8"/>
      <c r="M10" s="2719"/>
      <c r="N10" s="2719"/>
      <c r="O10" s="2772"/>
      <c r="P10" s="3705"/>
      <c r="Q10" s="1343" t="str">
        <f t="shared" si="6"/>
        <v>土地使用年限（年）</v>
      </c>
      <c r="R10" s="701" t="s">
        <v>14</v>
      </c>
      <c r="S10" s="702">
        <f t="shared" si="0"/>
        <v>108</v>
      </c>
      <c r="T10" s="701" t="s">
        <v>14</v>
      </c>
      <c r="U10" s="702">
        <f t="shared" si="1"/>
        <v>108</v>
      </c>
      <c r="V10" s="701" t="s">
        <v>14</v>
      </c>
      <c r="W10" s="702">
        <f t="shared" si="2"/>
        <v>108</v>
      </c>
      <c r="X10" s="703"/>
      <c r="Y10" s="3617"/>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5"/>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5"/>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5"/>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57">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7" t="s">
        <v>1691</v>
      </c>
      <c r="Q15" s="1352" t="str">
        <f t="shared" si="6"/>
        <v>产业集聚程度</v>
      </c>
      <c r="R15" s="705" t="s">
        <v>14</v>
      </c>
      <c r="S15" s="706">
        <f t="shared" si="0"/>
        <v>100</v>
      </c>
      <c r="T15" s="705" t="s">
        <v>14</v>
      </c>
      <c r="U15" s="706">
        <f t="shared" si="1"/>
        <v>100</v>
      </c>
      <c r="V15" s="705" t="s">
        <v>14</v>
      </c>
      <c r="W15" s="706">
        <f t="shared" si="2"/>
        <v>100</v>
      </c>
      <c r="X15" s="1355"/>
      <c r="Y15" s="370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08"/>
      <c r="Q16" s="1352"/>
      <c r="R16" s="705"/>
      <c r="S16" s="706"/>
      <c r="T16" s="705"/>
      <c r="U16" s="706"/>
      <c r="V16" s="705"/>
      <c r="W16" s="706"/>
      <c r="X16" s="1355"/>
      <c r="Y16" s="370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8"/>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08"/>
      <c r="Q18" s="1352"/>
      <c r="R18" s="705"/>
      <c r="S18" s="706"/>
      <c r="T18" s="705"/>
      <c r="U18" s="706"/>
      <c r="V18" s="705"/>
      <c r="W18" s="706"/>
      <c r="X18" s="1355"/>
      <c r="Y18" s="370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8"/>
      <c r="Q19" s="1352" t="str">
        <f t="shared" ref="Q19:Q33" si="8">B19</f>
        <v>区域土地利用方向</v>
      </c>
      <c r="R19" s="705" t="s">
        <v>14</v>
      </c>
      <c r="S19" s="706">
        <f>F19</f>
        <v>100</v>
      </c>
      <c r="T19" s="705" t="s">
        <v>14</v>
      </c>
      <c r="U19" s="706">
        <f>H19</f>
        <v>100</v>
      </c>
      <c r="V19" s="705" t="s">
        <v>14</v>
      </c>
      <c r="W19" s="706">
        <f>J19</f>
        <v>100</v>
      </c>
      <c r="X19" s="1355"/>
      <c r="Y19" s="370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08"/>
      <c r="Q20" s="1352"/>
      <c r="R20" s="705"/>
      <c r="S20" s="706"/>
      <c r="T20" s="705"/>
      <c r="U20" s="706"/>
      <c r="V20" s="705"/>
      <c r="W20" s="706"/>
      <c r="X20" s="1355"/>
      <c r="Y20" s="3708"/>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8"/>
      <c r="Q21" s="1352" t="str">
        <f t="shared" si="8"/>
        <v>环境状况</v>
      </c>
      <c r="R21" s="705" t="s">
        <v>14</v>
      </c>
      <c r="S21" s="706">
        <f>F21</f>
        <v>100</v>
      </c>
      <c r="T21" s="705" t="s">
        <v>14</v>
      </c>
      <c r="U21" s="706">
        <f>H21</f>
        <v>100</v>
      </c>
      <c r="V21" s="705" t="s">
        <v>14</v>
      </c>
      <c r="W21" s="706">
        <f>J21</f>
        <v>100</v>
      </c>
      <c r="X21" s="1355"/>
      <c r="Y21" s="370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08"/>
      <c r="Q22" s="1352"/>
      <c r="R22" s="705"/>
      <c r="S22" s="706"/>
      <c r="T22" s="705"/>
      <c r="U22" s="706"/>
      <c r="V22" s="705"/>
      <c r="W22" s="706"/>
      <c r="X22" s="1355"/>
      <c r="Y22" s="370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8"/>
      <c r="Q23" s="1343" t="str">
        <f t="shared" si="8"/>
        <v>公共配套设施</v>
      </c>
      <c r="R23" s="701" t="s">
        <v>14</v>
      </c>
      <c r="S23" s="702">
        <f>F23</f>
        <v>100</v>
      </c>
      <c r="T23" s="701" t="s">
        <v>14</v>
      </c>
      <c r="U23" s="702">
        <f>H23</f>
        <v>100</v>
      </c>
      <c r="V23" s="701" t="s">
        <v>14</v>
      </c>
      <c r="W23" s="702">
        <f>J23</f>
        <v>100</v>
      </c>
      <c r="X23" s="703"/>
      <c r="Y23" s="370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08"/>
      <c r="Q24" s="1343"/>
      <c r="R24" s="701"/>
      <c r="S24" s="702"/>
      <c r="T24" s="701"/>
      <c r="U24" s="702"/>
      <c r="V24" s="701"/>
      <c r="W24" s="702"/>
      <c r="X24" s="703"/>
      <c r="Y24" s="370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8"/>
      <c r="Q25" s="1343" t="str">
        <f t="shared" ref="Q25" si="9">B25</f>
        <v>基础设施水平</v>
      </c>
      <c r="R25" s="701" t="s">
        <v>14</v>
      </c>
      <c r="S25" s="702">
        <f>F25</f>
        <v>100</v>
      </c>
      <c r="T25" s="701" t="s">
        <v>14</v>
      </c>
      <c r="U25" s="702">
        <f>H25</f>
        <v>100</v>
      </c>
      <c r="V25" s="701" t="s">
        <v>14</v>
      </c>
      <c r="W25" s="702">
        <f>J25</f>
        <v>100</v>
      </c>
      <c r="X25" s="703"/>
      <c r="Y25" s="370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08"/>
      <c r="Q26" s="1343"/>
      <c r="R26" s="701"/>
      <c r="S26" s="702"/>
      <c r="T26" s="701"/>
      <c r="U26" s="702"/>
      <c r="V26" s="701"/>
      <c r="W26" s="702"/>
      <c r="X26" s="703"/>
      <c r="Y26" s="370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8"/>
      <c r="Q28" s="1352" t="str">
        <f t="shared" si="8"/>
        <v>毗邻道路的类型与等级</v>
      </c>
      <c r="R28" s="705" t="s">
        <v>14</v>
      </c>
      <c r="S28" s="706">
        <f t="shared" si="10"/>
        <v>100</v>
      </c>
      <c r="T28" s="705" t="s">
        <v>14</v>
      </c>
      <c r="U28" s="706">
        <f t="shared" si="11"/>
        <v>100</v>
      </c>
      <c r="V28" s="705" t="s">
        <v>14</v>
      </c>
      <c r="W28" s="706">
        <f t="shared" si="12"/>
        <v>100</v>
      </c>
      <c r="X28" s="1355"/>
      <c r="Y28" s="370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08"/>
      <c r="Q29" s="1352"/>
      <c r="R29" s="705"/>
      <c r="S29" s="706"/>
      <c r="T29" s="705"/>
      <c r="U29" s="706"/>
      <c r="V29" s="705"/>
      <c r="W29" s="706"/>
      <c r="X29" s="1355"/>
      <c r="Y29" s="370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8"/>
      <c r="Q30" s="1352" t="str">
        <f t="shared" si="8"/>
        <v>土地级别</v>
      </c>
      <c r="R30" s="705" t="s">
        <v>14</v>
      </c>
      <c r="S30" s="706">
        <f t="shared" si="10"/>
        <v>100</v>
      </c>
      <c r="T30" s="705" t="s">
        <v>14</v>
      </c>
      <c r="U30" s="706">
        <f t="shared" si="11"/>
        <v>100</v>
      </c>
      <c r="V30" s="705" t="s">
        <v>14</v>
      </c>
      <c r="W30" s="706">
        <f t="shared" si="12"/>
        <v>100</v>
      </c>
      <c r="X30" s="1355"/>
      <c r="Y30" s="370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8"/>
      <c r="Q31" s="1352">
        <f t="shared" si="8"/>
        <v>111</v>
      </c>
      <c r="R31" s="705" t="s">
        <v>14</v>
      </c>
      <c r="S31" s="706">
        <f t="shared" si="10"/>
        <v>100</v>
      </c>
      <c r="T31" s="705" t="s">
        <v>14</v>
      </c>
      <c r="U31" s="706">
        <f t="shared" si="11"/>
        <v>100</v>
      </c>
      <c r="V31" s="705" t="s">
        <v>14</v>
      </c>
      <c r="W31" s="706">
        <f t="shared" si="12"/>
        <v>100</v>
      </c>
      <c r="X31" s="1355"/>
      <c r="Y31" s="370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1" t="s">
        <v>1696</v>
      </c>
      <c r="Q32" s="1352">
        <f t="shared" si="8"/>
        <v>111</v>
      </c>
      <c r="R32" s="705" t="s">
        <v>14</v>
      </c>
      <c r="S32" s="706">
        <f t="shared" si="10"/>
        <v>100</v>
      </c>
      <c r="T32" s="705" t="s">
        <v>14</v>
      </c>
      <c r="U32" s="706">
        <f t="shared" si="11"/>
        <v>100</v>
      </c>
      <c r="V32" s="705" t="s">
        <v>14</v>
      </c>
      <c r="W32" s="706">
        <f t="shared" si="12"/>
        <v>100</v>
      </c>
      <c r="X32" s="1355"/>
      <c r="Y32" s="371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2"/>
      <c r="Q33" s="1352">
        <f t="shared" si="8"/>
        <v>111</v>
      </c>
      <c r="R33" s="708" t="s">
        <v>14</v>
      </c>
      <c r="S33" s="709">
        <f t="shared" si="10"/>
        <v>100</v>
      </c>
      <c r="T33" s="708" t="s">
        <v>14</v>
      </c>
      <c r="U33" s="709">
        <f t="shared" si="11"/>
        <v>100</v>
      </c>
      <c r="V33" s="708" t="s">
        <v>14</v>
      </c>
      <c r="W33" s="709">
        <f t="shared" si="12"/>
        <v>100</v>
      </c>
      <c r="X33" s="710"/>
      <c r="Y33" s="371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2"/>
      <c r="Q34" s="1352" t="str">
        <f>B34</f>
        <v>宗地面积</v>
      </c>
      <c r="R34" s="705" t="s">
        <v>14</v>
      </c>
      <c r="S34" s="706" t="e">
        <f t="shared" si="10"/>
        <v>#N/A</v>
      </c>
      <c r="T34" s="705" t="s">
        <v>14</v>
      </c>
      <c r="U34" s="706" t="e">
        <f t="shared" si="11"/>
        <v>#N/A</v>
      </c>
      <c r="V34" s="705" t="s">
        <v>14</v>
      </c>
      <c r="W34" s="706" t="e">
        <f t="shared" si="12"/>
        <v>#N/A</v>
      </c>
      <c r="X34" s="1355"/>
      <c r="Y34" s="371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12"/>
      <c r="Q35" s="1352" t="str">
        <f t="shared" ref="Q35:Q40" si="14">B35</f>
        <v>宗地形状</v>
      </c>
      <c r="R35" s="705" t="s">
        <v>14</v>
      </c>
      <c r="S35" s="706">
        <f t="shared" si="10"/>
        <v>100</v>
      </c>
      <c r="T35" s="705" t="s">
        <v>14</v>
      </c>
      <c r="U35" s="706">
        <f t="shared" si="11"/>
        <v>100</v>
      </c>
      <c r="V35" s="705" t="s">
        <v>14</v>
      </c>
      <c r="W35" s="706">
        <f t="shared" si="12"/>
        <v>100</v>
      </c>
      <c r="X35" s="1355"/>
      <c r="Y35" s="371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12"/>
      <c r="Q36" s="1352" t="str">
        <f t="shared" si="14"/>
        <v>宗地开发程度</v>
      </c>
      <c r="R36" s="701" t="s">
        <v>14</v>
      </c>
      <c r="S36" s="702">
        <f t="shared" si="10"/>
        <v>100</v>
      </c>
      <c r="T36" s="701" t="s">
        <v>14</v>
      </c>
      <c r="U36" s="702">
        <f t="shared" si="11"/>
        <v>100</v>
      </c>
      <c r="V36" s="701" t="s">
        <v>14</v>
      </c>
      <c r="W36" s="702">
        <f t="shared" si="12"/>
        <v>100</v>
      </c>
      <c r="X36" s="703"/>
      <c r="Y36" s="371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12" t="s">
        <v>1696</v>
      </c>
      <c r="Q37" s="1352" t="str">
        <f t="shared" si="14"/>
        <v>工程地质条件</v>
      </c>
      <c r="R37" s="705" t="s">
        <v>14</v>
      </c>
      <c r="S37" s="706">
        <f t="shared" si="10"/>
        <v>100</v>
      </c>
      <c r="T37" s="705" t="s">
        <v>14</v>
      </c>
      <c r="U37" s="706">
        <f t="shared" si="11"/>
        <v>100</v>
      </c>
      <c r="V37" s="705" t="s">
        <v>14</v>
      </c>
      <c r="W37" s="706">
        <f t="shared" si="12"/>
        <v>100</v>
      </c>
      <c r="X37" s="1355"/>
      <c r="Y37" s="371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2"/>
      <c r="Q38" s="1352">
        <f t="shared" si="14"/>
        <v>111</v>
      </c>
      <c r="R38" s="705" t="s">
        <v>14</v>
      </c>
      <c r="S38" s="706">
        <f t="shared" si="10"/>
        <v>100</v>
      </c>
      <c r="T38" s="705" t="s">
        <v>14</v>
      </c>
      <c r="U38" s="706">
        <f t="shared" si="11"/>
        <v>100</v>
      </c>
      <c r="V38" s="705" t="s">
        <v>14</v>
      </c>
      <c r="W38" s="706">
        <f t="shared" si="12"/>
        <v>100</v>
      </c>
      <c r="X38" s="1355"/>
      <c r="Y38" s="371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2"/>
      <c r="Q39" s="1352">
        <f t="shared" si="14"/>
        <v>111</v>
      </c>
      <c r="R39" s="705" t="s">
        <v>14</v>
      </c>
      <c r="S39" s="706">
        <f t="shared" si="10"/>
        <v>100</v>
      </c>
      <c r="T39" s="705" t="s">
        <v>14</v>
      </c>
      <c r="U39" s="706">
        <f t="shared" si="11"/>
        <v>100</v>
      </c>
      <c r="V39" s="705" t="s">
        <v>14</v>
      </c>
      <c r="W39" s="706">
        <f t="shared" si="12"/>
        <v>100</v>
      </c>
      <c r="X39" s="1355"/>
      <c r="Y39" s="371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2"/>
      <c r="Q40" s="1352">
        <f t="shared" si="14"/>
        <v>111</v>
      </c>
      <c r="R40" s="708" t="s">
        <v>14</v>
      </c>
      <c r="S40" s="709">
        <f t="shared" si="10"/>
        <v>100</v>
      </c>
      <c r="T40" s="708" t="s">
        <v>14</v>
      </c>
      <c r="U40" s="709">
        <f t="shared" si="11"/>
        <v>100</v>
      </c>
      <c r="V40" s="708" t="s">
        <v>14</v>
      </c>
      <c r="W40" s="709">
        <f t="shared" si="12"/>
        <v>100</v>
      </c>
      <c r="X40" s="710"/>
      <c r="Y40" s="3712"/>
      <c r="Z40" s="711">
        <f t="shared" si="13"/>
        <v>111</v>
      </c>
      <c r="AA40" s="1353">
        <f t="shared" si="3"/>
        <v>1</v>
      </c>
      <c r="AB40" s="1353">
        <f t="shared" si="4"/>
        <v>1</v>
      </c>
      <c r="AC40" s="1353">
        <f t="shared" si="5"/>
        <v>1</v>
      </c>
    </row>
    <row r="41" spans="1:31" ht="15">
      <c r="A41" s="430" t="s">
        <v>1844</v>
      </c>
      <c r="B41" s="1982" t="s">
        <v>1921</v>
      </c>
      <c r="C41" s="630" t="s">
        <v>0</v>
      </c>
      <c r="D41" s="432"/>
      <c r="E41" s="433"/>
      <c r="F41" s="434"/>
      <c r="G41" s="435"/>
      <c r="H41" s="436"/>
      <c r="I41" s="433"/>
      <c r="J41" s="436"/>
      <c r="K41" s="714"/>
      <c r="L41" s="2723"/>
      <c r="M41" s="2715"/>
      <c r="N41" s="2715"/>
      <c r="O41" s="2724"/>
      <c r="P41" s="3705" t="str">
        <f>A41</f>
        <v>成交单价</v>
      </c>
      <c r="Q41" s="3705"/>
      <c r="R41" s="3700">
        <f>E41</f>
        <v>0</v>
      </c>
      <c r="S41" s="3700"/>
      <c r="T41" s="3700">
        <f>G41</f>
        <v>0</v>
      </c>
      <c r="U41" s="3700"/>
      <c r="V41" s="3700">
        <f>I41</f>
        <v>0</v>
      </c>
      <c r="W41" s="3700"/>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3"/>
      <c r="M42" s="2715"/>
      <c r="N42" s="2715"/>
      <c r="O42" s="2724"/>
      <c r="P42" s="3705" t="str">
        <f>A42</f>
        <v>比较价值（元/平方米）</v>
      </c>
      <c r="Q42" s="3705"/>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02" t="str">
        <f>A43</f>
        <v>估价对象XX用房的比较价值（楼面单价，元/平方米）</v>
      </c>
      <c r="Q43" s="3703"/>
      <c r="R43" s="3735" t="e">
        <f>ROUND(IF(D42="简单平均",AVERAGE(R42:W42),R42*F42+T42*H42+V42*J42),0)</f>
        <v>#DIV/0!</v>
      </c>
      <c r="S43" s="3735"/>
      <c r="T43" s="3735"/>
      <c r="U43" s="3735"/>
      <c r="V43" s="3735"/>
      <c r="W43" s="373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88" t="s">
        <v>1887</v>
      </c>
      <c r="H50" s="3736"/>
      <c r="I50" s="1356" t="s">
        <v>1922</v>
      </c>
      <c r="J50" s="1356" t="str">
        <f>项目基本情况!F35</f>
        <v>江苏省南京市</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17198.240000000002</v>
      </c>
      <c r="F51" s="639" t="e">
        <f t="shared" ref="F51:F60" si="15">ROUND(B51*E51/10000,0)</f>
        <v>#DIV/0!</v>
      </c>
      <c r="G51" s="3687"/>
      <c r="H51" s="3705"/>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1906</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I22" sqref="I22"/>
      <selection pane="bottomLeft" activeCell="I22" sqref="I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44" t="s">
        <v>2083</v>
      </c>
      <c r="D1" s="3745"/>
      <c r="E1" s="3745"/>
      <c r="F1" s="3745"/>
      <c r="G1" s="3745"/>
      <c r="H1" s="3745"/>
      <c r="I1" s="3745"/>
      <c r="J1" s="3745"/>
      <c r="K1" s="3745"/>
      <c r="L1" s="3745"/>
      <c r="M1" s="3745"/>
      <c r="N1" s="3745"/>
      <c r="O1" s="3745"/>
      <c r="P1" s="3745"/>
      <c r="Q1" s="3745"/>
      <c r="R1" s="3745"/>
      <c r="S1" s="3746"/>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41" t="s">
        <v>27</v>
      </c>
      <c r="D22" s="3742"/>
      <c r="E22" s="3742"/>
      <c r="F22" s="3742"/>
      <c r="G22" s="3742"/>
      <c r="H22" s="3742"/>
      <c r="I22" s="3742"/>
      <c r="J22" s="3742"/>
      <c r="K22" s="3742"/>
      <c r="L22" s="3742"/>
      <c r="M22" s="3742"/>
      <c r="N22" s="3742"/>
      <c r="O22" s="3742"/>
      <c r="P22" s="3742"/>
      <c r="Q22" s="3743"/>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22" sqref="I2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2"/>
      <c r="G1" s="2792"/>
      <c r="H1" s="2792"/>
      <c r="I1" s="2792"/>
      <c r="J1" s="2792"/>
      <c r="K1" s="2792"/>
      <c r="L1" s="2792"/>
      <c r="M1" s="2792"/>
      <c r="N1" s="2792"/>
      <c r="O1" s="2792"/>
      <c r="P1" s="2792"/>
    </row>
    <row r="2" spans="1:16" ht="15.75">
      <c r="A2" s="2145" t="s">
        <v>2072</v>
      </c>
      <c r="B2" s="2601" t="e">
        <f ca="1">SUMIF(B6:B13,"&lt;&gt;#ref!",B6:B13)</f>
        <v>#DIV/0!</v>
      </c>
      <c r="C2" s="2145" t="s">
        <v>2073</v>
      </c>
      <c r="D2" s="2145" t="s">
        <v>2074</v>
      </c>
      <c r="E2" s="2611">
        <f ca="1">SUMIF(E6:E13,"&lt;&gt;#ref!",E6:E13)</f>
        <v>0</v>
      </c>
      <c r="F2" s="2792"/>
      <c r="G2" s="2792"/>
      <c r="H2" s="2792"/>
      <c r="I2" s="2792"/>
      <c r="J2" s="2792"/>
      <c r="K2" s="2792"/>
      <c r="L2" s="2792"/>
      <c r="M2" s="2792"/>
      <c r="N2" s="2792"/>
      <c r="O2" s="2792"/>
      <c r="P2" s="2792"/>
    </row>
    <row r="3" spans="1:16" ht="15.75">
      <c r="A3" s="2145" t="s">
        <v>2075</v>
      </c>
      <c r="B3" s="2601" t="e">
        <f ca="1">ROUND(B2*10000/E2,0)</f>
        <v>#DIV/0!</v>
      </c>
      <c r="C3" s="2145"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6"/>
      <c r="D5" s="2792"/>
      <c r="E5" s="2610" t="s">
        <v>2078</v>
      </c>
      <c r="F5" s="2792"/>
      <c r="G5" s="2792"/>
      <c r="H5" s="2792"/>
      <c r="I5" s="2792"/>
      <c r="J5" s="2792"/>
      <c r="K5" s="2792"/>
      <c r="L5" s="2792"/>
      <c r="M5" s="2792"/>
      <c r="N5" s="2792"/>
      <c r="O5" s="2792"/>
      <c r="P5" s="2792"/>
    </row>
    <row r="6" spans="1:16" ht="15.75">
      <c r="A6" s="2608" t="s">
        <v>2079</v>
      </c>
      <c r="B6" s="2601" t="e">
        <f ca="1">SUMIF(INDIRECT("'"&amp;A6&amp;"'"&amp;"!A:A"),"总价",INDIRECT("'"&amp;A6&amp;"'"&amp;"!B:B"))</f>
        <v>#DIV/0!</v>
      </c>
      <c r="C6" s="2145" t="s">
        <v>2073</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5"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I22" sqref="I2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t="e">
        <f>C30</f>
        <v>#DIV/0!</v>
      </c>
      <c r="C2" s="1999" t="s">
        <v>1934</v>
      </c>
      <c r="D2" s="2000" t="s">
        <v>1935</v>
      </c>
      <c r="E2" s="3421"/>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9" t="s">
        <v>1940</v>
      </c>
      <c r="D3" s="2000" t="s">
        <v>1941</v>
      </c>
      <c r="E3" s="3419"/>
      <c r="F3" s="2004"/>
      <c r="G3" s="752">
        <f>IF(F3="宗地容积率",'数据-汇总表'!I4,IF(F3="估价对象容积率",'数据-汇总表'!I6,'数据-汇总表'!I7))</f>
        <v>1.5</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54"/>
      <c r="B4" s="3755"/>
      <c r="C4" s="3755"/>
      <c r="D4" s="3756"/>
      <c r="E4" s="3756"/>
      <c r="F4" s="3756"/>
      <c r="G4" s="3756"/>
      <c r="H4" s="3756"/>
      <c r="I4" s="3756"/>
      <c r="J4" s="3757"/>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3241</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1954</v>
      </c>
      <c r="X7" s="1214">
        <f>G2</f>
        <v>0</v>
      </c>
      <c r="Y7" s="1214" t="s">
        <v>1955</v>
      </c>
      <c r="Z7" s="1215">
        <f>G3</f>
        <v>1.5</v>
      </c>
      <c r="AA7" s="1216"/>
      <c r="AB7" s="1216"/>
      <c r="AC7" s="1217"/>
      <c r="AD7" s="1218"/>
      <c r="AE7" s="1218"/>
      <c r="AF7" s="1218"/>
      <c r="AG7" s="1218"/>
      <c r="AH7" s="1218"/>
      <c r="AI7" s="1218"/>
      <c r="AJ7" s="1219"/>
    </row>
    <row r="8" spans="1:36" ht="15">
      <c r="A8" s="3298"/>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51" t="s">
        <v>1959</v>
      </c>
      <c r="X8" s="3752"/>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53"/>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5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3242</v>
      </c>
      <c r="B12" s="3304" t="s">
        <v>3243</v>
      </c>
      <c r="C12" s="3305"/>
      <c r="D12" s="3306" t="s">
        <v>3244</v>
      </c>
      <c r="E12" s="3307" t="s">
        <v>3245</v>
      </c>
      <c r="F12" s="3308"/>
      <c r="G12" s="3309"/>
      <c r="H12" s="3309"/>
      <c r="I12" s="3309"/>
      <c r="J12" s="3310"/>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3246</v>
      </c>
      <c r="B13" s="2034" t="s">
        <v>1981</v>
      </c>
      <c r="C13" s="755">
        <f>ROUND(C16*D16*E16*F16*G16*H16*I16*J16,4)</f>
        <v>0</v>
      </c>
      <c r="D13" s="2035" t="s">
        <v>1982</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1984</v>
      </c>
      <c r="C14" s="2041" t="s">
        <v>1985</v>
      </c>
      <c r="D14" s="1350" t="s">
        <v>1986</v>
      </c>
      <c r="E14" s="27" t="s">
        <v>1987</v>
      </c>
      <c r="F14" s="3311" t="s">
        <v>3247</v>
      </c>
      <c r="G14" s="3311" t="s">
        <v>3247</v>
      </c>
      <c r="H14" s="3311" t="s">
        <v>3247</v>
      </c>
      <c r="I14" s="3311" t="s">
        <v>3247</v>
      </c>
      <c r="J14" s="3311" t="s">
        <v>3247</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3248</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t="e">
        <f>ROUND(G18/I18,2)</f>
        <v>#DIV/0!</v>
      </c>
      <c r="F17" s="3321" t="s">
        <v>3254</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3252</v>
      </c>
      <c r="E18" s="3328"/>
      <c r="F18" s="3323" t="s">
        <v>3255</v>
      </c>
      <c r="G18" s="3327">
        <f>ROUND(1-(1/(POWER(1+G24,E18))),4)</f>
        <v>0</v>
      </c>
      <c r="H18" s="3323" t="s">
        <v>3257</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3253</v>
      </c>
      <c r="E19" s="3337"/>
      <c r="F19" s="3338" t="s">
        <v>3256</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58" t="s">
        <v>3258</v>
      </c>
      <c r="B20" s="167" t="s">
        <v>1993</v>
      </c>
      <c r="C20" s="3324" t="e">
        <f>ROUND(IF(F21="与级别开发程度一致",0,(G21-E21)/C21),0)</f>
        <v>#DIV/0!</v>
      </c>
      <c r="D20" s="3340" t="s">
        <v>1997</v>
      </c>
      <c r="E20" s="3341"/>
      <c r="F20" s="3764" t="s">
        <v>1994</v>
      </c>
      <c r="G20" s="3765"/>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59"/>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1999</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2001</v>
      </c>
      <c r="E23" s="761">
        <v>44197</v>
      </c>
      <c r="F23" s="2054" t="s">
        <v>2002</v>
      </c>
      <c r="G23" s="762">
        <f>'数据-取费表'!B2</f>
        <v>45061</v>
      </c>
      <c r="H23" s="3342" t="s">
        <v>3260</v>
      </c>
      <c r="I23" s="3343" t="str">
        <f>IF(H23="季度增幅（自定义）",SUMIF(N25:N28,E2,O25:O28),"")</f>
        <v/>
      </c>
      <c r="J23" s="3445" t="s">
        <v>3259</v>
      </c>
      <c r="K23" s="1125"/>
      <c r="L23" s="2055" t="s">
        <v>2003</v>
      </c>
      <c r="M23" s="1328">
        <f>ROUND(SUMIF(地价!B2:G2,E2,地价!B16:G16),0)</f>
        <v>0</v>
      </c>
      <c r="N23" s="2056" t="s">
        <v>2004</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t="e">
        <f>ROUND(POWER(1+G24,J24-I24)*(POWER(1+G24,I24)-1)/(POWER(1+G24,J24)-1),4)</f>
        <v>#DIV/0!</v>
      </c>
      <c r="D24" s="2060" t="s">
        <v>2006</v>
      </c>
      <c r="E24" s="1335">
        <f>存贷款利率!E22/100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3339</v>
      </c>
      <c r="C25" s="771">
        <f>IF(B25="容积率修正",IF(G3&lt;10,D26,J26),C27)</f>
        <v>0</v>
      </c>
      <c r="D25" s="2067"/>
      <c r="E25" s="2067"/>
      <c r="F25" s="2067"/>
      <c r="G25" s="2067"/>
      <c r="H25" s="2067"/>
      <c r="I25" s="2067"/>
      <c r="J25" s="2068"/>
      <c r="K25" s="1125"/>
      <c r="L25" s="2787"/>
      <c r="M25" s="2787"/>
      <c r="N25" s="2069"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4" t="s">
        <v>3261</v>
      </c>
      <c r="D26" s="1352">
        <f>IF(E26=G26,F26,IF(G3&lt;10,ROUND(F26+(H26-F26)*(G3-E26)/(G26-E26),4),"——"))</f>
        <v>0</v>
      </c>
      <c r="E26" s="752">
        <f>ROUNDDOWN(G3,1)</f>
        <v>1.5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3262</v>
      </c>
      <c r="J26" s="772" t="str">
        <f>IF(G3&gt;=10,D115,"——")</f>
        <v>——</v>
      </c>
      <c r="K26" s="1125"/>
      <c r="L26" s="2787"/>
      <c r="M26" s="2787"/>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0</v>
      </c>
      <c r="D28" s="2052"/>
      <c r="E28" s="2077"/>
      <c r="F28" s="2077"/>
      <c r="G28" s="2077"/>
      <c r="H28" s="2077"/>
      <c r="I28" s="2077"/>
      <c r="J28" s="2078"/>
      <c r="K28" s="1125"/>
      <c r="L28" s="2787"/>
      <c r="M28" s="2787"/>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t="e">
        <f>IF(B25="容积率修正",E33+SUM(E37:E42),SUM(V2:V16)+SUM(E37:E42))</f>
        <v>#DIV/0!</v>
      </c>
      <c r="D30" s="2083"/>
      <c r="E30" s="2046"/>
      <c r="F30" s="2084"/>
      <c r="G30" s="2046"/>
      <c r="H30" s="2046"/>
      <c r="I30" s="2046"/>
      <c r="J30" s="2085"/>
      <c r="K30" s="1119"/>
      <c r="L30" s="3350" t="s">
        <v>1935</v>
      </c>
      <c r="M30" s="3351" t="s">
        <v>1989</v>
      </c>
      <c r="N30" s="3351" t="s">
        <v>1990</v>
      </c>
      <c r="O30" s="3351" t="s">
        <v>1991</v>
      </c>
      <c r="P30" s="3351" t="s">
        <v>1992</v>
      </c>
      <c r="Q30" s="3354"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t="e">
        <f>E34+SUM(I37:I42)</f>
        <v>#DIV/0!</v>
      </c>
      <c r="D31" s="2087"/>
      <c r="E31" s="2088"/>
      <c r="F31" s="2089"/>
      <c r="G31" s="2088"/>
      <c r="H31" s="2088"/>
      <c r="I31" s="2088"/>
      <c r="J31" s="2090"/>
      <c r="K31" s="1119"/>
      <c r="L31" s="3352" t="s">
        <v>1995</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t="e">
        <f>ROUND(C5*C22*C23*C24*C25*C28,0)</f>
        <v>#DIV/0!</v>
      </c>
      <c r="D33" s="2098"/>
      <c r="E33" s="773" t="e">
        <f>ROUND(C33*D33/10000,0)</f>
        <v>#DIV/0!</v>
      </c>
      <c r="F33" s="3345" t="s">
        <v>3264</v>
      </c>
      <c r="G33" s="2099"/>
      <c r="H33" s="2099"/>
      <c r="I33" s="2099"/>
      <c r="J33" s="2100"/>
      <c r="K33" s="1119"/>
      <c r="L33" s="3348" t="s">
        <v>3267</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8" t="s">
        <v>3268</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6" t="s">
        <v>3265</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6" t="s">
        <v>3269</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2"/>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3270</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3"/>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3"/>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3271</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3273</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2053</v>
      </c>
      <c r="B53" s="2135" t="s">
        <v>2054</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2056</v>
      </c>
      <c r="B55" s="2136" t="s">
        <v>2057</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2058</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3273</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3273</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2058</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2059</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2060</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1721</v>
      </c>
      <c r="K82" s="552" t="s">
        <v>1722</v>
      </c>
      <c r="L82" s="552" t="s">
        <v>1723</v>
      </c>
      <c r="M82" s="552" t="s">
        <v>1724</v>
      </c>
      <c r="N82" s="552" t="s">
        <v>1725</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3274</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2614</v>
      </c>
      <c r="B91" s="3377">
        <f>1+E93</f>
        <v>1</v>
      </c>
      <c r="C91" s="3370"/>
      <c r="D91" s="3371"/>
      <c r="E91" s="1814"/>
      <c r="F91" s="1814"/>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3277</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3273</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3278</v>
      </c>
      <c r="B96" s="3384" t="s">
        <v>3289</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3279</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3280</v>
      </c>
      <c r="B98" s="3385" t="s">
        <v>3290</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3281</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3282</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3283</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0" t="s">
        <v>3298</v>
      </c>
      <c r="B103" s="3760"/>
      <c r="C103" s="3760"/>
      <c r="D103" s="3760"/>
      <c r="E103" s="3760"/>
      <c r="F103" s="3760"/>
      <c r="G103" s="3760"/>
      <c r="H103" s="3760"/>
      <c r="I103" s="3760"/>
      <c r="J103" s="3760"/>
      <c r="K103" s="3389"/>
      <c r="L103" s="3389"/>
      <c r="M103" s="3389"/>
      <c r="N103" s="3389"/>
    </row>
    <row r="104" spans="1:14">
      <c r="A104" s="3761" t="s">
        <v>3299</v>
      </c>
      <c r="B104" s="3761" t="s">
        <v>3300</v>
      </c>
      <c r="C104" s="3390" t="s">
        <v>3301</v>
      </c>
      <c r="D104" s="3391"/>
      <c r="E104" s="3391"/>
      <c r="F104" s="3391"/>
      <c r="G104" s="3391"/>
      <c r="H104" s="3391"/>
      <c r="I104" s="3391"/>
      <c r="J104" s="3392"/>
      <c r="K104" s="3393"/>
      <c r="L104" s="3393"/>
      <c r="M104" s="3393"/>
      <c r="N104" s="3393"/>
    </row>
    <row r="105" spans="1:14">
      <c r="A105" s="3761"/>
      <c r="B105" s="3761"/>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47"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8"/>
      <c r="B111" s="3394" t="s">
        <v>3272</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0" t="s">
        <v>3315</v>
      </c>
      <c r="B113" s="3750"/>
      <c r="C113" s="3750"/>
      <c r="D113" s="3750"/>
      <c r="E113" s="3750"/>
      <c r="F113" s="3750"/>
      <c r="G113" s="3750"/>
      <c r="H113" s="3750"/>
      <c r="I113" s="3750"/>
      <c r="J113" s="375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1.5</v>
      </c>
      <c r="C116" s="3399" t="s">
        <v>3317</v>
      </c>
      <c r="D116" s="3400">
        <f>SUMPRODUCT((A118:A122=F116)*(B117:M117=H116)*B118:M122)</f>
        <v>0</v>
      </c>
      <c r="E116" s="2000" t="s">
        <v>3318</v>
      </c>
      <c r="F116" s="3401">
        <f>E2</f>
        <v>0</v>
      </c>
      <c r="G116" s="2000" t="s">
        <v>3319</v>
      </c>
      <c r="H116" s="3401">
        <f>G2</f>
        <v>0</v>
      </c>
      <c r="I116" s="2000"/>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0.98029999999999995</v>
      </c>
      <c r="C118" s="3387">
        <f>B118</f>
        <v>0.98029999999999995</v>
      </c>
      <c r="D118" s="3387">
        <f>ROUND(0.949-0.014*B116,4)</f>
        <v>0.92800000000000005</v>
      </c>
      <c r="E118" s="3387">
        <f>D118</f>
        <v>0.92800000000000005</v>
      </c>
      <c r="F118" s="3387">
        <f>E118</f>
        <v>0.92800000000000005</v>
      </c>
      <c r="G118" s="3387">
        <f>F118</f>
        <v>0.92800000000000005</v>
      </c>
      <c r="H118" s="3387">
        <f>G118</f>
        <v>0.92800000000000005</v>
      </c>
      <c r="I118" s="3387">
        <f>ROUND(0.8486-0.018*B116,4)</f>
        <v>0.8216</v>
      </c>
      <c r="J118" s="3387">
        <f t="shared" ref="J118:M122" si="35">I118</f>
        <v>0.8216</v>
      </c>
      <c r="K118" s="3387">
        <f t="shared" si="35"/>
        <v>0.8216</v>
      </c>
      <c r="L118" s="3387">
        <f t="shared" si="35"/>
        <v>0.8216</v>
      </c>
      <c r="M118" s="3410">
        <f t="shared" si="35"/>
        <v>0.8216</v>
      </c>
      <c r="N118" s="3397"/>
    </row>
    <row r="119" spans="1:14">
      <c r="A119" s="3409" t="s">
        <v>3333</v>
      </c>
      <c r="B119" s="3387">
        <f>ROUND(0.993-0.0112*B116,4)</f>
        <v>0.97619999999999996</v>
      </c>
      <c r="C119" s="3387">
        <f>B119</f>
        <v>0.97619999999999996</v>
      </c>
      <c r="D119" s="3387">
        <f>ROUND(0.9415-0.0142*B116,4)</f>
        <v>0.92020000000000002</v>
      </c>
      <c r="E119" s="3387">
        <f t="shared" ref="E119:H120" si="36">D119</f>
        <v>0.92020000000000002</v>
      </c>
      <c r="F119" s="3387">
        <f t="shared" si="36"/>
        <v>0.92020000000000002</v>
      </c>
      <c r="G119" s="3387">
        <f t="shared" si="36"/>
        <v>0.92020000000000002</v>
      </c>
      <c r="H119" s="3387">
        <f t="shared" si="36"/>
        <v>0.92020000000000002</v>
      </c>
      <c r="I119" s="3387">
        <f>ROUND(0.838-0.0182*B116,4)</f>
        <v>0.81069999999999998</v>
      </c>
      <c r="J119" s="3387">
        <f t="shared" si="35"/>
        <v>0.81069999999999998</v>
      </c>
      <c r="K119" s="3387">
        <f t="shared" si="35"/>
        <v>0.81069999999999998</v>
      </c>
      <c r="L119" s="3387">
        <f t="shared" si="35"/>
        <v>0.81069999999999998</v>
      </c>
      <c r="M119" s="3410">
        <f t="shared" si="35"/>
        <v>0.81069999999999998</v>
      </c>
      <c r="N119" s="3397"/>
    </row>
    <row r="120" spans="1:14">
      <c r="A120" s="3409" t="s">
        <v>3334</v>
      </c>
      <c r="B120" s="3387">
        <f>ROUND(0.9448-0.0115*B116,4)</f>
        <v>0.92759999999999998</v>
      </c>
      <c r="C120" s="3387">
        <f>B120</f>
        <v>0.92759999999999998</v>
      </c>
      <c r="D120" s="3387">
        <f>ROUND(0.937-0.0145*B116,4)</f>
        <v>0.9153</v>
      </c>
      <c r="E120" s="3387">
        <f t="shared" si="36"/>
        <v>0.9153</v>
      </c>
      <c r="F120" s="3387">
        <f t="shared" si="36"/>
        <v>0.9153</v>
      </c>
      <c r="G120" s="3387">
        <f t="shared" si="36"/>
        <v>0.9153</v>
      </c>
      <c r="H120" s="3387">
        <f t="shared" si="36"/>
        <v>0.9153</v>
      </c>
      <c r="I120" s="3387">
        <f>ROUND(0.7965-0.0185*B116,4)</f>
        <v>0.76880000000000004</v>
      </c>
      <c r="J120" s="3387">
        <f t="shared" si="35"/>
        <v>0.76880000000000004</v>
      </c>
      <c r="K120" s="3387">
        <f t="shared" si="35"/>
        <v>0.76880000000000004</v>
      </c>
      <c r="L120" s="3387">
        <f t="shared" si="35"/>
        <v>0.76880000000000004</v>
      </c>
      <c r="M120" s="3410">
        <f t="shared" si="35"/>
        <v>0.76880000000000004</v>
      </c>
      <c r="N120" s="3397"/>
    </row>
    <row r="121" spans="1:14" ht="13.5" thickBot="1">
      <c r="A121" s="3411" t="s">
        <v>3335</v>
      </c>
      <c r="B121" s="3412">
        <f>ROUND(0.7836-0.012*B116,4)</f>
        <v>0.76559999999999995</v>
      </c>
      <c r="C121" s="3412">
        <f>B121</f>
        <v>0.76559999999999995</v>
      </c>
      <c r="D121" s="3412">
        <f>ROUND(0.753-0.015*B116,4)</f>
        <v>0.73050000000000004</v>
      </c>
      <c r="E121" s="3412">
        <f>D121</f>
        <v>0.73050000000000004</v>
      </c>
      <c r="F121" s="3412">
        <f>E121</f>
        <v>0.73050000000000004</v>
      </c>
      <c r="G121" s="3412">
        <f>ROUND(0.6612-0.018*B116,4)</f>
        <v>0.63419999999999999</v>
      </c>
      <c r="H121" s="3412">
        <f>G121</f>
        <v>0.63419999999999999</v>
      </c>
      <c r="I121" s="3412">
        <f>ROUND(0.5905-0.019*B116,4)</f>
        <v>0.56200000000000006</v>
      </c>
      <c r="J121" s="3412">
        <f t="shared" si="35"/>
        <v>0.56200000000000006</v>
      </c>
      <c r="K121" s="3412">
        <f t="shared" si="35"/>
        <v>0.56200000000000006</v>
      </c>
      <c r="L121" s="3412">
        <f t="shared" si="35"/>
        <v>0.56200000000000006</v>
      </c>
      <c r="M121" s="3413">
        <f t="shared" si="35"/>
        <v>0.56200000000000006</v>
      </c>
      <c r="N121" s="3397"/>
    </row>
    <row r="122" spans="1:14">
      <c r="A122" s="3414" t="s">
        <v>2614</v>
      </c>
      <c r="B122" s="3387">
        <f>ROUND(0.9404-0.0106*B116,4)</f>
        <v>0.92449999999999999</v>
      </c>
      <c r="C122" s="3387">
        <f>B122</f>
        <v>0.92449999999999999</v>
      </c>
      <c r="D122" s="3387">
        <f>ROUND(0.8955-0.0135*B116,4)</f>
        <v>0.87529999999999997</v>
      </c>
      <c r="E122" s="3387">
        <f t="shared" ref="E122:H122" si="37">D122</f>
        <v>0.87529999999999997</v>
      </c>
      <c r="F122" s="3387">
        <f t="shared" si="37"/>
        <v>0.87529999999999997</v>
      </c>
      <c r="G122" s="3387">
        <f t="shared" si="37"/>
        <v>0.87529999999999997</v>
      </c>
      <c r="H122" s="3387">
        <f t="shared" si="37"/>
        <v>0.87529999999999997</v>
      </c>
      <c r="I122" s="3387">
        <f>ROUND(0.7632-0.0166*B116,4)</f>
        <v>0.73829999999999996</v>
      </c>
      <c r="J122" s="3387">
        <f t="shared" si="35"/>
        <v>0.73829999999999996</v>
      </c>
      <c r="K122" s="3387">
        <f t="shared" si="35"/>
        <v>0.73829999999999996</v>
      </c>
      <c r="L122" s="3387">
        <f t="shared" si="35"/>
        <v>0.73829999999999996</v>
      </c>
      <c r="M122" s="3410">
        <f t="shared" si="35"/>
        <v>0.73829999999999996</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73" t="s">
        <v>2609</v>
      </c>
      <c r="B20" s="3766" t="s">
        <v>2630</v>
      </c>
      <c r="C20" s="3102" t="s">
        <v>2441</v>
      </c>
      <c r="D20" s="3103"/>
      <c r="E20" s="3104">
        <v>1</v>
      </c>
      <c r="F20" s="3105" t="s">
        <v>2442</v>
      </c>
      <c r="G20" s="3105"/>
    </row>
    <row r="21" spans="1:13" ht="19.5" customHeight="1">
      <c r="A21" s="3774"/>
      <c r="B21" s="3767"/>
      <c r="C21" s="3106" t="s">
        <v>2443</v>
      </c>
      <c r="D21" s="3107"/>
      <c r="E21" s="3108">
        <v>1</v>
      </c>
      <c r="F21" s="3105" t="s">
        <v>2444</v>
      </c>
      <c r="G21" s="3105"/>
    </row>
    <row r="22" spans="1:13" ht="19.5" customHeight="1">
      <c r="A22" s="3774"/>
      <c r="B22" s="3767"/>
      <c r="C22" s="3106" t="s">
        <v>2445</v>
      </c>
      <c r="D22" s="3107"/>
      <c r="E22" s="3108">
        <v>0.9</v>
      </c>
      <c r="F22" s="3105" t="s">
        <v>2446</v>
      </c>
      <c r="G22" s="3105"/>
    </row>
    <row r="23" spans="1:13" ht="19.5" customHeight="1">
      <c r="A23" s="3774"/>
      <c r="B23" s="3767"/>
      <c r="C23" s="3106" t="s">
        <v>2447</v>
      </c>
      <c r="D23" s="3107"/>
      <c r="E23" s="3108">
        <v>0.9</v>
      </c>
      <c r="F23" s="3105" t="s">
        <v>2448</v>
      </c>
      <c r="G23" s="3105"/>
    </row>
    <row r="24" spans="1:13" ht="19.5" customHeight="1">
      <c r="A24" s="3774"/>
      <c r="B24" s="3767"/>
      <c r="C24" s="3106" t="s">
        <v>2449</v>
      </c>
      <c r="D24" s="3107"/>
      <c r="E24" s="3108">
        <v>0.8</v>
      </c>
      <c r="F24" s="3105" t="s">
        <v>2450</v>
      </c>
      <c r="G24" s="3105"/>
    </row>
    <row r="25" spans="1:13" ht="19.5" customHeight="1" thickBot="1">
      <c r="A25" s="3775"/>
      <c r="B25" s="3768"/>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69" t="s">
        <v>2633</v>
      </c>
      <c r="B27" s="3766" t="s">
        <v>2614</v>
      </c>
      <c r="C27" s="3102" t="s">
        <v>2454</v>
      </c>
      <c r="D27" s="3103"/>
      <c r="E27" s="3104">
        <v>1</v>
      </c>
      <c r="F27" s="3105" t="s">
        <v>2455</v>
      </c>
      <c r="G27" s="3105"/>
    </row>
    <row r="28" spans="1:13" ht="19.5" customHeight="1">
      <c r="A28" s="3770"/>
      <c r="B28" s="3767"/>
      <c r="C28" s="3106" t="s">
        <v>2456</v>
      </c>
      <c r="D28" s="3107"/>
      <c r="E28" s="3108">
        <v>1</v>
      </c>
      <c r="F28" s="3105" t="s">
        <v>2457</v>
      </c>
      <c r="G28" s="3105"/>
    </row>
    <row r="29" spans="1:13" ht="19.5" customHeight="1">
      <c r="A29" s="3770"/>
      <c r="B29" s="3767"/>
      <c r="C29" s="3106" t="s">
        <v>2458</v>
      </c>
      <c r="D29" s="3107"/>
      <c r="E29" s="3108">
        <v>0.8</v>
      </c>
      <c r="F29" s="3105" t="s">
        <v>2459</v>
      </c>
      <c r="G29" s="3105"/>
    </row>
    <row r="30" spans="1:13" ht="19.5" customHeight="1">
      <c r="A30" s="3770"/>
      <c r="B30" s="3767"/>
      <c r="C30" s="3106" t="s">
        <v>2460</v>
      </c>
      <c r="D30" s="3107"/>
      <c r="E30" s="3108">
        <v>0.8</v>
      </c>
      <c r="F30" s="3105" t="s">
        <v>2461</v>
      </c>
      <c r="G30" s="3105"/>
    </row>
    <row r="31" spans="1:13" ht="19.5" customHeight="1">
      <c r="A31" s="3770"/>
      <c r="B31" s="3767"/>
      <c r="C31" s="3106" t="s">
        <v>2462</v>
      </c>
      <c r="D31" s="3107"/>
      <c r="E31" s="3108">
        <v>0.8</v>
      </c>
      <c r="F31" s="3105" t="s">
        <v>2463</v>
      </c>
      <c r="G31" s="3105"/>
    </row>
    <row r="32" spans="1:13" ht="19.5" customHeight="1">
      <c r="A32" s="3770"/>
      <c r="B32" s="3767"/>
      <c r="C32" s="3106" t="s">
        <v>2464</v>
      </c>
      <c r="D32" s="3107"/>
      <c r="E32" s="3108">
        <v>0.7</v>
      </c>
      <c r="F32" s="3105" t="s">
        <v>2465</v>
      </c>
      <c r="G32" s="3105"/>
    </row>
    <row r="33" spans="1:7" ht="19.5" customHeight="1">
      <c r="A33" s="3770"/>
      <c r="B33" s="3767"/>
      <c r="C33" s="3106" t="s">
        <v>2466</v>
      </c>
      <c r="D33" s="3107"/>
      <c r="E33" s="3108">
        <v>0.8</v>
      </c>
      <c r="F33" s="3105" t="s">
        <v>2467</v>
      </c>
      <c r="G33" s="3105"/>
    </row>
    <row r="34" spans="1:7" ht="19.5" customHeight="1">
      <c r="A34" s="3770"/>
      <c r="B34" s="3767"/>
      <c r="C34" s="3106" t="s">
        <v>2468</v>
      </c>
      <c r="D34" s="3107"/>
      <c r="E34" s="3108">
        <v>0.6</v>
      </c>
      <c r="F34" s="3105" t="s">
        <v>2469</v>
      </c>
      <c r="G34" s="3105"/>
    </row>
    <row r="35" spans="1:7" ht="19.5" customHeight="1">
      <c r="A35" s="3770"/>
      <c r="B35" s="3767"/>
      <c r="C35" s="3106" t="s">
        <v>2470</v>
      </c>
      <c r="D35" s="3107"/>
      <c r="E35" s="3108">
        <v>0.2</v>
      </c>
      <c r="F35" s="3105" t="s">
        <v>2471</v>
      </c>
      <c r="G35" s="3105"/>
    </row>
    <row r="36" spans="1:7" ht="19.5" customHeight="1">
      <c r="A36" s="3770"/>
      <c r="B36" s="3767"/>
      <c r="C36" s="3106" t="s">
        <v>2472</v>
      </c>
      <c r="D36" s="3107"/>
      <c r="E36" s="3108">
        <v>0.2</v>
      </c>
      <c r="F36" s="3105" t="s">
        <v>2473</v>
      </c>
      <c r="G36" s="3105"/>
    </row>
    <row r="37" spans="1:7" ht="19.5" customHeight="1">
      <c r="A37" s="3770"/>
      <c r="B37" s="3772" t="s">
        <v>2634</v>
      </c>
      <c r="C37" s="3106" t="s">
        <v>2474</v>
      </c>
      <c r="D37" s="3107"/>
      <c r="E37" s="3108">
        <v>0.6</v>
      </c>
      <c r="F37" s="3105" t="s">
        <v>2475</v>
      </c>
      <c r="G37" s="3105"/>
    </row>
    <row r="38" spans="1:7" ht="19.5" customHeight="1">
      <c r="A38" s="3770"/>
      <c r="B38" s="3767"/>
      <c r="C38" s="3106" t="s">
        <v>2476</v>
      </c>
      <c r="D38" s="3107"/>
      <c r="E38" s="3108">
        <v>0.6</v>
      </c>
      <c r="F38" s="3105" t="s">
        <v>2477</v>
      </c>
      <c r="G38" s="3105"/>
    </row>
    <row r="39" spans="1:7" ht="19.5" customHeight="1" thickBot="1">
      <c r="A39" s="3771"/>
      <c r="B39" s="3768"/>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73" t="s">
        <v>2612</v>
      </c>
      <c r="B41" s="3766" t="s">
        <v>2636</v>
      </c>
      <c r="C41" s="3102" t="s">
        <v>2481</v>
      </c>
      <c r="D41" s="3103"/>
      <c r="E41" s="3104">
        <v>1</v>
      </c>
      <c r="F41" s="3105" t="s">
        <v>2482</v>
      </c>
      <c r="G41" s="3105"/>
    </row>
    <row r="42" spans="1:7" ht="19.5" customHeight="1">
      <c r="A42" s="3774"/>
      <c r="B42" s="3767"/>
      <c r="C42" s="3106" t="s">
        <v>2483</v>
      </c>
      <c r="D42" s="3107"/>
      <c r="E42" s="3108">
        <v>1</v>
      </c>
      <c r="F42" s="3105" t="s">
        <v>2484</v>
      </c>
      <c r="G42" s="3105"/>
    </row>
    <row r="43" spans="1:7" ht="19.5" customHeight="1">
      <c r="A43" s="3774"/>
      <c r="B43" s="3776"/>
      <c r="C43" s="3106" t="s">
        <v>2485</v>
      </c>
      <c r="D43" s="3107"/>
      <c r="E43" s="3108">
        <v>1.5</v>
      </c>
      <c r="F43" s="3105" t="s">
        <v>2486</v>
      </c>
      <c r="G43" s="3105"/>
    </row>
    <row r="44" spans="1:7" ht="19.5" customHeight="1">
      <c r="A44" s="3774"/>
      <c r="B44" s="3117" t="s">
        <v>2637</v>
      </c>
      <c r="C44" s="3106" t="s">
        <v>2638</v>
      </c>
      <c r="D44" s="3107"/>
      <c r="E44" s="3108">
        <v>2</v>
      </c>
      <c r="F44" s="3105" t="s">
        <v>2487</v>
      </c>
      <c r="G44" s="3105"/>
    </row>
    <row r="45" spans="1:7" ht="19.5" customHeight="1">
      <c r="A45" s="3774"/>
      <c r="B45" s="3772" t="s">
        <v>2639</v>
      </c>
      <c r="C45" s="3106" t="s">
        <v>2488</v>
      </c>
      <c r="D45" s="3107"/>
      <c r="E45" s="3108">
        <v>1</v>
      </c>
      <c r="F45" s="3105" t="s">
        <v>2489</v>
      </c>
      <c r="G45" s="3105"/>
    </row>
    <row r="46" spans="1:7" ht="19.5" customHeight="1">
      <c r="A46" s="3774"/>
      <c r="B46" s="3767"/>
      <c r="C46" s="3106" t="s">
        <v>2490</v>
      </c>
      <c r="D46" s="3107"/>
      <c r="E46" s="3108">
        <v>1</v>
      </c>
      <c r="F46" s="3105" t="s">
        <v>2491</v>
      </c>
      <c r="G46" s="3105"/>
    </row>
    <row r="47" spans="1:7" ht="19.5" customHeight="1">
      <c r="A47" s="3774"/>
      <c r="B47" s="3767"/>
      <c r="C47" s="3106" t="s">
        <v>2492</v>
      </c>
      <c r="D47" s="3107"/>
      <c r="E47" s="3108">
        <v>1</v>
      </c>
      <c r="F47" s="3105" t="s">
        <v>2493</v>
      </c>
      <c r="G47" s="3105"/>
    </row>
    <row r="48" spans="1:7" ht="19.5" customHeight="1">
      <c r="A48" s="3774"/>
      <c r="B48" s="3767"/>
      <c r="C48" s="3106" t="s">
        <v>2494</v>
      </c>
      <c r="D48" s="3107"/>
      <c r="E48" s="3108">
        <v>1</v>
      </c>
      <c r="F48" s="3105" t="s">
        <v>2495</v>
      </c>
      <c r="G48" s="3105"/>
    </row>
    <row r="49" spans="1:7" ht="19.5" customHeight="1">
      <c r="A49" s="3774"/>
      <c r="B49" s="3767"/>
      <c r="C49" s="3106" t="s">
        <v>2496</v>
      </c>
      <c r="D49" s="3107"/>
      <c r="E49" s="3108">
        <v>1</v>
      </c>
      <c r="F49" s="3105" t="s">
        <v>2497</v>
      </c>
      <c r="G49" s="3105"/>
    </row>
    <row r="50" spans="1:7" ht="19.5" customHeight="1">
      <c r="A50" s="3774"/>
      <c r="B50" s="3767"/>
      <c r="C50" s="3106" t="s">
        <v>2498</v>
      </c>
      <c r="D50" s="3107"/>
      <c r="E50" s="3108">
        <v>1</v>
      </c>
      <c r="F50" s="3105" t="s">
        <v>2499</v>
      </c>
      <c r="G50" s="3105"/>
    </row>
    <row r="51" spans="1:7" ht="19.5" customHeight="1" thickBot="1">
      <c r="A51" s="3775"/>
      <c r="B51" s="3768"/>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72" t="s">
        <v>2653</v>
      </c>
      <c r="C73" s="3091" t="s">
        <v>2654</v>
      </c>
      <c r="D73" s="3091" t="s">
        <v>2655</v>
      </c>
      <c r="E73" s="3117">
        <v>0.2</v>
      </c>
      <c r="F73" s="3117">
        <v>25</v>
      </c>
    </row>
    <row r="74" spans="1:7" ht="24">
      <c r="A74" s="3117">
        <v>2</v>
      </c>
      <c r="B74" s="3767"/>
      <c r="C74" s="3091" t="s">
        <v>2656</v>
      </c>
      <c r="D74" s="3091" t="s">
        <v>2657</v>
      </c>
      <c r="E74" s="3117">
        <v>0.2</v>
      </c>
      <c r="F74" s="3117">
        <v>25</v>
      </c>
    </row>
    <row r="75" spans="1:7" ht="24">
      <c r="A75" s="3117">
        <v>3</v>
      </c>
      <c r="B75" s="3767"/>
      <c r="C75" s="3091" t="s">
        <v>2658</v>
      </c>
      <c r="D75" s="3091" t="s">
        <v>2659</v>
      </c>
      <c r="E75" s="3117">
        <v>0.2</v>
      </c>
      <c r="F75" s="3117">
        <v>25</v>
      </c>
    </row>
    <row r="76" spans="1:7" ht="13.5">
      <c r="A76" s="3117">
        <v>4</v>
      </c>
      <c r="B76" s="3767"/>
      <c r="C76" s="3091" t="s">
        <v>2660</v>
      </c>
      <c r="D76" s="3091" t="s">
        <v>2661</v>
      </c>
      <c r="E76" s="3117">
        <v>0.15</v>
      </c>
      <c r="F76" s="3117">
        <v>20</v>
      </c>
    </row>
    <row r="77" spans="1:7" ht="24">
      <c r="A77" s="3117">
        <v>5</v>
      </c>
      <c r="B77" s="3767"/>
      <c r="C77" s="3091" t="s">
        <v>2662</v>
      </c>
      <c r="D77" s="3091" t="s">
        <v>2663</v>
      </c>
      <c r="E77" s="3117">
        <v>0.15</v>
      </c>
      <c r="F77" s="3117">
        <v>20</v>
      </c>
    </row>
    <row r="78" spans="1:7" ht="24">
      <c r="A78" s="3117">
        <v>6</v>
      </c>
      <c r="B78" s="3767"/>
      <c r="C78" s="3091" t="s">
        <v>2664</v>
      </c>
      <c r="D78" s="3091" t="s">
        <v>2665</v>
      </c>
      <c r="E78" s="3117">
        <v>0.15</v>
      </c>
      <c r="F78" s="3117">
        <v>20</v>
      </c>
    </row>
    <row r="79" spans="1:7" ht="24">
      <c r="A79" s="3117">
        <v>7</v>
      </c>
      <c r="B79" s="3767"/>
      <c r="C79" s="3091" t="s">
        <v>2666</v>
      </c>
      <c r="D79" s="3091" t="s">
        <v>2667</v>
      </c>
      <c r="E79" s="3117">
        <v>0.15</v>
      </c>
      <c r="F79" s="3117">
        <v>20</v>
      </c>
    </row>
    <row r="80" spans="1:7" ht="24">
      <c r="A80" s="3117">
        <v>8</v>
      </c>
      <c r="B80" s="3767"/>
      <c r="C80" s="3091" t="s">
        <v>2668</v>
      </c>
      <c r="D80" s="3091" t="s">
        <v>2669</v>
      </c>
      <c r="E80" s="3117">
        <v>0.1</v>
      </c>
      <c r="F80" s="3117">
        <v>15</v>
      </c>
    </row>
    <row r="81" spans="1:6" ht="24">
      <c r="A81" s="3117">
        <v>9</v>
      </c>
      <c r="B81" s="3767"/>
      <c r="C81" s="3091" t="s">
        <v>2670</v>
      </c>
      <c r="D81" s="3091" t="s">
        <v>2671</v>
      </c>
      <c r="E81" s="3117">
        <v>0.1</v>
      </c>
      <c r="F81" s="3117">
        <v>15</v>
      </c>
    </row>
    <row r="82" spans="1:6" ht="24">
      <c r="A82" s="3117">
        <v>10</v>
      </c>
      <c r="B82" s="3767"/>
      <c r="C82" s="3091" t="s">
        <v>2672</v>
      </c>
      <c r="D82" s="3091" t="s">
        <v>2673</v>
      </c>
      <c r="E82" s="3117">
        <v>0.1</v>
      </c>
      <c r="F82" s="3117">
        <v>15</v>
      </c>
    </row>
    <row r="83" spans="1:6" ht="24">
      <c r="A83" s="3117">
        <v>11</v>
      </c>
      <c r="B83" s="3767"/>
      <c r="C83" s="3091" t="s">
        <v>2674</v>
      </c>
      <c r="D83" s="3091" t="s">
        <v>2675</v>
      </c>
      <c r="E83" s="3117">
        <v>0.1</v>
      </c>
      <c r="F83" s="3117">
        <v>15</v>
      </c>
    </row>
    <row r="84" spans="1:6" ht="24">
      <c r="A84" s="3117">
        <v>12</v>
      </c>
      <c r="B84" s="3767"/>
      <c r="C84" s="3091" t="s">
        <v>2676</v>
      </c>
      <c r="D84" s="3091" t="s">
        <v>2677</v>
      </c>
      <c r="E84" s="3117">
        <v>0.1</v>
      </c>
      <c r="F84" s="3117">
        <v>15</v>
      </c>
    </row>
    <row r="85" spans="1:6" ht="13.5">
      <c r="A85" s="3117">
        <v>13</v>
      </c>
      <c r="B85" s="3767"/>
      <c r="C85" s="3091" t="s">
        <v>2678</v>
      </c>
      <c r="D85" s="3091" t="s">
        <v>2679</v>
      </c>
      <c r="E85" s="3117">
        <v>0.1</v>
      </c>
      <c r="F85" s="3117">
        <v>15</v>
      </c>
    </row>
    <row r="86" spans="1:6" ht="13.5">
      <c r="A86" s="3117">
        <v>14</v>
      </c>
      <c r="B86" s="3767"/>
      <c r="C86" s="3091" t="s">
        <v>2680</v>
      </c>
      <c r="D86" s="3091" t="s">
        <v>2681</v>
      </c>
      <c r="E86" s="3117">
        <v>0.1</v>
      </c>
      <c r="F86" s="3117">
        <v>15</v>
      </c>
    </row>
    <row r="87" spans="1:6" ht="13.5">
      <c r="A87" s="3117">
        <v>15</v>
      </c>
      <c r="B87" s="3767"/>
      <c r="C87" s="3091" t="s">
        <v>2682</v>
      </c>
      <c r="D87" s="3091" t="s">
        <v>2683</v>
      </c>
      <c r="E87" s="3117">
        <v>0.1</v>
      </c>
      <c r="F87" s="3117">
        <v>15</v>
      </c>
    </row>
    <row r="88" spans="1:6" ht="24">
      <c r="A88" s="3117">
        <v>16</v>
      </c>
      <c r="B88" s="3767"/>
      <c r="C88" s="3091" t="s">
        <v>2684</v>
      </c>
      <c r="D88" s="3091" t="s">
        <v>2685</v>
      </c>
      <c r="E88" s="3117">
        <v>0.1</v>
      </c>
      <c r="F88" s="3117">
        <v>15</v>
      </c>
    </row>
    <row r="89" spans="1:6" ht="24">
      <c r="A89" s="3117">
        <v>17</v>
      </c>
      <c r="B89" s="3776"/>
      <c r="C89" s="3091" t="s">
        <v>2686</v>
      </c>
      <c r="D89" s="3091" t="s">
        <v>2687</v>
      </c>
      <c r="E89" s="3117">
        <v>0.1</v>
      </c>
      <c r="F89" s="3117">
        <v>15</v>
      </c>
    </row>
    <row r="90" spans="1:6" ht="13.5">
      <c r="A90" s="3117">
        <v>18</v>
      </c>
      <c r="B90" s="3772" t="s">
        <v>2688</v>
      </c>
      <c r="C90" s="3091" t="s">
        <v>2689</v>
      </c>
      <c r="D90" s="3091" t="s">
        <v>2690</v>
      </c>
      <c r="E90" s="3117">
        <v>0.2</v>
      </c>
      <c r="F90" s="3117">
        <v>25</v>
      </c>
    </row>
    <row r="91" spans="1:6" ht="24">
      <c r="A91" s="3117">
        <v>19</v>
      </c>
      <c r="B91" s="3767"/>
      <c r="C91" s="3091" t="s">
        <v>2691</v>
      </c>
      <c r="D91" s="3091" t="s">
        <v>2692</v>
      </c>
      <c r="E91" s="3117">
        <v>0.2</v>
      </c>
      <c r="F91" s="3117">
        <v>25</v>
      </c>
    </row>
    <row r="92" spans="1:6" ht="13.5">
      <c r="A92" s="3117">
        <v>20</v>
      </c>
      <c r="B92" s="3767"/>
      <c r="C92" s="3091" t="s">
        <v>2693</v>
      </c>
      <c r="D92" s="3091" t="s">
        <v>2694</v>
      </c>
      <c r="E92" s="3117">
        <v>0.15</v>
      </c>
      <c r="F92" s="3117">
        <v>20</v>
      </c>
    </row>
    <row r="93" spans="1:6" ht="13.5">
      <c r="A93" s="3117">
        <v>21</v>
      </c>
      <c r="B93" s="3767"/>
      <c r="C93" s="3091" t="s">
        <v>2695</v>
      </c>
      <c r="D93" s="3091" t="s">
        <v>2696</v>
      </c>
      <c r="E93" s="3117">
        <v>0.15</v>
      </c>
      <c r="F93" s="3117">
        <v>20</v>
      </c>
    </row>
    <row r="94" spans="1:6" ht="13.5">
      <c r="A94" s="3117">
        <v>22</v>
      </c>
      <c r="B94" s="3767"/>
      <c r="C94" s="3091" t="s">
        <v>2697</v>
      </c>
      <c r="D94" s="3091" t="s">
        <v>2698</v>
      </c>
      <c r="E94" s="3117">
        <v>0.15</v>
      </c>
      <c r="F94" s="3117">
        <v>20</v>
      </c>
    </row>
    <row r="95" spans="1:6" ht="36">
      <c r="A95" s="3117">
        <v>23</v>
      </c>
      <c r="B95" s="3767"/>
      <c r="C95" s="3091" t="s">
        <v>2699</v>
      </c>
      <c r="D95" s="3091" t="s">
        <v>2700</v>
      </c>
      <c r="E95" s="3117">
        <v>0.15</v>
      </c>
      <c r="F95" s="3117">
        <v>20</v>
      </c>
    </row>
    <row r="96" spans="1:6" ht="13.5">
      <c r="A96" s="3117">
        <v>24</v>
      </c>
      <c r="B96" s="3767"/>
      <c r="C96" s="3091" t="s">
        <v>2701</v>
      </c>
      <c r="D96" s="3091" t="s">
        <v>2702</v>
      </c>
      <c r="E96" s="3117">
        <v>0.1</v>
      </c>
      <c r="F96" s="3117">
        <v>15</v>
      </c>
    </row>
    <row r="97" spans="1:6" ht="13.5">
      <c r="A97" s="3117">
        <v>25</v>
      </c>
      <c r="B97" s="3767"/>
      <c r="C97" s="3091" t="s">
        <v>2703</v>
      </c>
      <c r="D97" s="3091" t="s">
        <v>2704</v>
      </c>
      <c r="E97" s="3117">
        <v>0.1</v>
      </c>
      <c r="F97" s="3117">
        <v>15</v>
      </c>
    </row>
    <row r="98" spans="1:6" ht="24">
      <c r="A98" s="3117">
        <v>26</v>
      </c>
      <c r="B98" s="3767"/>
      <c r="C98" s="3091" t="s">
        <v>2705</v>
      </c>
      <c r="D98" s="3091" t="s">
        <v>2706</v>
      </c>
      <c r="E98" s="3117">
        <v>0.1</v>
      </c>
      <c r="F98" s="3117">
        <v>15</v>
      </c>
    </row>
    <row r="99" spans="1:6" ht="24">
      <c r="A99" s="3117">
        <v>27</v>
      </c>
      <c r="B99" s="3767"/>
      <c r="C99" s="3091" t="s">
        <v>2707</v>
      </c>
      <c r="D99" s="3091" t="s">
        <v>2708</v>
      </c>
      <c r="E99" s="3117">
        <v>0.1</v>
      </c>
      <c r="F99" s="3117">
        <v>15</v>
      </c>
    </row>
    <row r="100" spans="1:6" ht="13.5">
      <c r="A100" s="3117">
        <v>28</v>
      </c>
      <c r="B100" s="3767"/>
      <c r="C100" s="3091" t="s">
        <v>2709</v>
      </c>
      <c r="D100" s="3091" t="s">
        <v>2710</v>
      </c>
      <c r="E100" s="3117">
        <v>0.1</v>
      </c>
      <c r="F100" s="3117">
        <v>15</v>
      </c>
    </row>
    <row r="101" spans="1:6" ht="13.5">
      <c r="A101" s="3117">
        <v>29</v>
      </c>
      <c r="B101" s="3767"/>
      <c r="C101" s="3091" t="s">
        <v>2711</v>
      </c>
      <c r="D101" s="3091" t="s">
        <v>2712</v>
      </c>
      <c r="E101" s="3117">
        <v>0.1</v>
      </c>
      <c r="F101" s="3117">
        <v>15</v>
      </c>
    </row>
    <row r="102" spans="1:6" ht="13.5">
      <c r="A102" s="3117">
        <v>30</v>
      </c>
      <c r="B102" s="3767"/>
      <c r="C102" s="3091" t="s">
        <v>2713</v>
      </c>
      <c r="D102" s="3091" t="s">
        <v>2714</v>
      </c>
      <c r="E102" s="3117">
        <v>0.1</v>
      </c>
      <c r="F102" s="3117">
        <v>15</v>
      </c>
    </row>
    <row r="103" spans="1:6" ht="24">
      <c r="A103" s="3117">
        <v>31</v>
      </c>
      <c r="B103" s="3767"/>
      <c r="C103" s="3091" t="s">
        <v>2715</v>
      </c>
      <c r="D103" s="3091" t="s">
        <v>2716</v>
      </c>
      <c r="E103" s="3117">
        <v>0.1</v>
      </c>
      <c r="F103" s="3117">
        <v>15</v>
      </c>
    </row>
    <row r="104" spans="1:6" ht="24">
      <c r="A104" s="3117">
        <v>32</v>
      </c>
      <c r="B104" s="3767"/>
      <c r="C104" s="3091" t="s">
        <v>2717</v>
      </c>
      <c r="D104" s="3091" t="s">
        <v>2718</v>
      </c>
      <c r="E104" s="3117">
        <v>0.1</v>
      </c>
      <c r="F104" s="3117">
        <v>15</v>
      </c>
    </row>
    <row r="105" spans="1:6" ht="24">
      <c r="A105" s="3117">
        <v>33</v>
      </c>
      <c r="B105" s="3767"/>
      <c r="C105" s="3091" t="s">
        <v>2719</v>
      </c>
      <c r="D105" s="3091" t="s">
        <v>2720</v>
      </c>
      <c r="E105" s="3117">
        <v>0.1</v>
      </c>
      <c r="F105" s="3117">
        <v>15</v>
      </c>
    </row>
    <row r="106" spans="1:6" ht="24">
      <c r="A106" s="3117">
        <v>34</v>
      </c>
      <c r="B106" s="3776"/>
      <c r="C106" s="3091" t="s">
        <v>2721</v>
      </c>
      <c r="D106" s="3091" t="s">
        <v>2722</v>
      </c>
      <c r="E106" s="3117">
        <v>0.1</v>
      </c>
      <c r="F106" s="3117">
        <v>15</v>
      </c>
    </row>
    <row r="107" spans="1:6" ht="24">
      <c r="A107" s="3117">
        <v>35</v>
      </c>
      <c r="B107" s="3772" t="s">
        <v>2723</v>
      </c>
      <c r="C107" s="3117" t="s">
        <v>2724</v>
      </c>
      <c r="D107" s="3091" t="s">
        <v>2725</v>
      </c>
      <c r="E107" s="3117">
        <v>0.15</v>
      </c>
      <c r="F107" s="3117">
        <v>20</v>
      </c>
    </row>
    <row r="108" spans="1:6" ht="13.5">
      <c r="A108" s="3117">
        <v>36</v>
      </c>
      <c r="B108" s="3767"/>
      <c r="C108" s="3117" t="s">
        <v>2726</v>
      </c>
      <c r="D108" s="3091" t="s">
        <v>2727</v>
      </c>
      <c r="E108" s="3117">
        <v>0.15</v>
      </c>
      <c r="F108" s="3117">
        <v>20</v>
      </c>
    </row>
    <row r="109" spans="1:6" ht="13.5">
      <c r="A109" s="3117">
        <v>37</v>
      </c>
      <c r="B109" s="3767"/>
      <c r="C109" s="3117" t="s">
        <v>2728</v>
      </c>
      <c r="D109" s="3091" t="s">
        <v>2729</v>
      </c>
      <c r="E109" s="3117">
        <v>0.15</v>
      </c>
      <c r="F109" s="3117">
        <v>20</v>
      </c>
    </row>
    <row r="110" spans="1:6" ht="13.5">
      <c r="A110" s="3117">
        <v>38</v>
      </c>
      <c r="B110" s="3767"/>
      <c r="C110" s="3117" t="s">
        <v>2730</v>
      </c>
      <c r="D110" s="3091" t="s">
        <v>2731</v>
      </c>
      <c r="E110" s="3117">
        <v>0.1</v>
      </c>
      <c r="F110" s="3117">
        <v>15</v>
      </c>
    </row>
    <row r="111" spans="1:6" ht="24">
      <c r="A111" s="3117">
        <v>39</v>
      </c>
      <c r="B111" s="3767"/>
      <c r="C111" s="3117" t="s">
        <v>2732</v>
      </c>
      <c r="D111" s="3091" t="s">
        <v>2733</v>
      </c>
      <c r="E111" s="3117">
        <v>0.1</v>
      </c>
      <c r="F111" s="3117">
        <v>15</v>
      </c>
    </row>
    <row r="112" spans="1:6" ht="24">
      <c r="A112" s="3117">
        <v>40</v>
      </c>
      <c r="B112" s="3776"/>
      <c r="C112" s="3117" t="s">
        <v>2734</v>
      </c>
      <c r="D112" s="3091" t="s">
        <v>2735</v>
      </c>
      <c r="E112" s="3117">
        <v>0.1</v>
      </c>
      <c r="F112" s="3117">
        <v>15</v>
      </c>
    </row>
    <row r="113" spans="1:6" ht="13.5">
      <c r="A113" s="3117">
        <v>41</v>
      </c>
      <c r="B113" s="3777" t="s">
        <v>2736</v>
      </c>
      <c r="C113" s="3117" t="s">
        <v>2737</v>
      </c>
      <c r="D113" s="3091" t="s">
        <v>2738</v>
      </c>
      <c r="E113" s="3117">
        <v>0.1</v>
      </c>
      <c r="F113" s="3117">
        <v>15</v>
      </c>
    </row>
    <row r="114" spans="1:6" ht="13.5">
      <c r="A114" s="3117">
        <v>42</v>
      </c>
      <c r="B114" s="3777"/>
      <c r="C114" s="3117" t="s">
        <v>2739</v>
      </c>
      <c r="D114" s="3091" t="s">
        <v>2740</v>
      </c>
      <c r="E114" s="3117">
        <v>0.1</v>
      </c>
      <c r="F114" s="3117">
        <v>15</v>
      </c>
    </row>
    <row r="115" spans="1:6" ht="24">
      <c r="A115" s="3117">
        <v>43</v>
      </c>
      <c r="B115" s="3777"/>
      <c r="C115" s="3117" t="s">
        <v>2741</v>
      </c>
      <c r="D115" s="3091" t="s">
        <v>2742</v>
      </c>
      <c r="E115" s="3117">
        <v>0.1</v>
      </c>
      <c r="F115" s="3117">
        <v>15</v>
      </c>
    </row>
    <row r="116" spans="1:6" ht="13.5">
      <c r="A116" s="3117">
        <v>44</v>
      </c>
      <c r="B116" s="3772" t="s">
        <v>2743</v>
      </c>
      <c r="C116" s="3117" t="s">
        <v>2744</v>
      </c>
      <c r="D116" s="3091" t="s">
        <v>2745</v>
      </c>
      <c r="E116" s="3117">
        <v>0.1</v>
      </c>
      <c r="F116" s="3117">
        <v>15</v>
      </c>
    </row>
    <row r="117" spans="1:6" ht="24">
      <c r="A117" s="3117">
        <v>45</v>
      </c>
      <c r="B117" s="3776"/>
      <c r="C117" s="3091" t="s">
        <v>2746</v>
      </c>
      <c r="D117" s="3091" t="s">
        <v>2747</v>
      </c>
      <c r="E117" s="3117">
        <v>0.1</v>
      </c>
      <c r="F117" s="3117">
        <v>15</v>
      </c>
    </row>
    <row r="118" spans="1:6" ht="24">
      <c r="A118" s="3117">
        <v>46</v>
      </c>
      <c r="B118" s="3772" t="s">
        <v>2748</v>
      </c>
      <c r="C118" s="3117" t="s">
        <v>2749</v>
      </c>
      <c r="D118" s="3091" t="s">
        <v>2750</v>
      </c>
      <c r="E118" s="3117">
        <v>0.1</v>
      </c>
      <c r="F118" s="3117">
        <v>15</v>
      </c>
    </row>
    <row r="119" spans="1:6" ht="24">
      <c r="A119" s="3117">
        <v>47</v>
      </c>
      <c r="B119" s="3776"/>
      <c r="C119" s="3117" t="s">
        <v>2751</v>
      </c>
      <c r="D119" s="3091" t="s">
        <v>2752</v>
      </c>
      <c r="E119" s="3117">
        <v>0.1</v>
      </c>
      <c r="F119" s="3117">
        <v>15</v>
      </c>
    </row>
    <row r="120" spans="1:6" ht="13.5">
      <c r="A120" s="3117">
        <v>48</v>
      </c>
      <c r="B120" s="3772" t="s">
        <v>2753</v>
      </c>
      <c r="C120" s="3117" t="s">
        <v>2754</v>
      </c>
      <c r="D120" s="3091" t="s">
        <v>2755</v>
      </c>
      <c r="E120" s="3117">
        <v>0.1</v>
      </c>
      <c r="F120" s="3117">
        <v>15</v>
      </c>
    </row>
    <row r="121" spans="1:6" ht="13.5">
      <c r="A121" s="3117">
        <v>49</v>
      </c>
      <c r="B121" s="3776"/>
      <c r="C121" s="3117" t="s">
        <v>2756</v>
      </c>
      <c r="D121" s="3091" t="s">
        <v>2757</v>
      </c>
      <c r="E121" s="3117">
        <v>0.1</v>
      </c>
      <c r="F121" s="3117">
        <v>15</v>
      </c>
    </row>
    <row r="122" spans="1:6" ht="24">
      <c r="A122" s="3117">
        <v>50</v>
      </c>
      <c r="B122" s="3777" t="s">
        <v>2758</v>
      </c>
      <c r="C122" s="3117" t="s">
        <v>2759</v>
      </c>
      <c r="D122" s="3091" t="s">
        <v>2760</v>
      </c>
      <c r="E122" s="3117">
        <v>0.1</v>
      </c>
      <c r="F122" s="3117">
        <v>15</v>
      </c>
    </row>
    <row r="123" spans="1:6" ht="24">
      <c r="A123" s="3117">
        <v>51</v>
      </c>
      <c r="B123" s="3777"/>
      <c r="C123" s="3117" t="s">
        <v>2761</v>
      </c>
      <c r="D123" s="3091" t="s">
        <v>2762</v>
      </c>
      <c r="E123" s="3117">
        <v>0.1</v>
      </c>
      <c r="F123" s="3117">
        <v>15</v>
      </c>
    </row>
    <row r="124" spans="1:6" ht="24">
      <c r="A124" s="3117">
        <v>52</v>
      </c>
      <c r="B124" s="3777" t="s">
        <v>2763</v>
      </c>
      <c r="C124" s="3117" t="s">
        <v>2764</v>
      </c>
      <c r="D124" s="3091" t="s">
        <v>2765</v>
      </c>
      <c r="E124" s="3117">
        <v>0.1</v>
      </c>
      <c r="F124" s="3117">
        <v>15</v>
      </c>
    </row>
    <row r="125" spans="1:6" ht="24">
      <c r="A125" s="3117">
        <v>53</v>
      </c>
      <c r="B125" s="3777"/>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77" t="s">
        <v>2771</v>
      </c>
      <c r="C127" s="3117" t="s">
        <v>2772</v>
      </c>
      <c r="D127" s="3091" t="s">
        <v>2773</v>
      </c>
      <c r="E127" s="3117">
        <v>0.1</v>
      </c>
      <c r="F127" s="3117">
        <v>15</v>
      </c>
    </row>
    <row r="128" spans="1:6" ht="13.5">
      <c r="A128" s="3117">
        <v>56</v>
      </c>
      <c r="B128" s="3777"/>
      <c r="C128" s="3117" t="s">
        <v>2774</v>
      </c>
      <c r="D128" s="3091" t="s">
        <v>2775</v>
      </c>
      <c r="E128" s="3117">
        <v>0.1</v>
      </c>
      <c r="F128" s="3117">
        <v>15</v>
      </c>
    </row>
    <row r="129" spans="1:6" ht="24">
      <c r="A129" s="3117">
        <v>57</v>
      </c>
      <c r="B129" s="3777"/>
      <c r="C129" s="3117" t="s">
        <v>2776</v>
      </c>
      <c r="D129" s="3091" t="s">
        <v>2777</v>
      </c>
      <c r="E129" s="3117">
        <v>0.1</v>
      </c>
      <c r="F129" s="3117">
        <v>15</v>
      </c>
    </row>
    <row r="130" spans="1:6" ht="24">
      <c r="A130" s="3117">
        <v>58</v>
      </c>
      <c r="B130" s="3777" t="s">
        <v>2778</v>
      </c>
      <c r="C130" s="3117" t="s">
        <v>2779</v>
      </c>
      <c r="D130" s="3091" t="s">
        <v>2780</v>
      </c>
      <c r="E130" s="3117">
        <v>0.1</v>
      </c>
      <c r="F130" s="3117">
        <v>15</v>
      </c>
    </row>
    <row r="131" spans="1:6" ht="13.5">
      <c r="A131" s="3117">
        <v>59</v>
      </c>
      <c r="B131" s="3777"/>
      <c r="C131" s="3117" t="s">
        <v>2781</v>
      </c>
      <c r="D131" s="3091" t="s">
        <v>2782</v>
      </c>
      <c r="E131" s="3117">
        <v>0.1</v>
      </c>
      <c r="F131" s="3117">
        <v>15</v>
      </c>
    </row>
    <row r="132" spans="1:6" ht="13.5">
      <c r="A132" s="3117">
        <v>60</v>
      </c>
      <c r="B132" s="3772" t="s">
        <v>2783</v>
      </c>
      <c r="C132" s="3117" t="s">
        <v>2784</v>
      </c>
      <c r="D132" s="3091" t="s">
        <v>2785</v>
      </c>
      <c r="E132" s="3117">
        <v>0.1</v>
      </c>
      <c r="F132" s="3117">
        <v>15</v>
      </c>
    </row>
    <row r="133" spans="1:6" ht="13.5">
      <c r="A133" s="3117">
        <v>61</v>
      </c>
      <c r="B133" s="3776"/>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77" t="s">
        <v>2791</v>
      </c>
      <c r="C135" s="3117" t="s">
        <v>2792</v>
      </c>
      <c r="D135" s="3091" t="s">
        <v>2793</v>
      </c>
      <c r="E135" s="3117">
        <v>0.1</v>
      </c>
      <c r="F135" s="3117">
        <v>15</v>
      </c>
    </row>
    <row r="136" spans="1:6" ht="13.5">
      <c r="A136" s="3117">
        <v>64</v>
      </c>
      <c r="B136" s="3777"/>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3"/>
      <c r="B4" s="3462" t="s">
        <v>917</v>
      </c>
      <c r="C4" s="3462"/>
      <c r="D4" s="3462"/>
      <c r="E4" s="1493"/>
    </row>
    <row r="5" spans="1:5" ht="16.5" thickTop="1">
      <c r="A5" s="1491"/>
      <c r="B5" s="3460" t="s">
        <v>909</v>
      </c>
      <c r="C5" s="1494" t="s">
        <v>910</v>
      </c>
      <c r="D5" s="850">
        <f ca="1">结果表!H101</f>
        <v>29666</v>
      </c>
      <c r="E5" s="1491"/>
    </row>
    <row r="6" spans="1:5" ht="15.75">
      <c r="A6" s="1491"/>
      <c r="B6" s="3460"/>
      <c r="C6" s="1494" t="s">
        <v>911</v>
      </c>
      <c r="D6" s="850" t="str">
        <f ca="1">NUMBERSTRING(INT(D5*10000),2)&amp;"元整"</f>
        <v>贰亿玖仟陆佰陆拾陆万元整</v>
      </c>
      <c r="E6" s="1491"/>
    </row>
    <row r="7" spans="1:5" ht="15.75">
      <c r="A7" s="1491"/>
      <c r="B7" s="3465"/>
      <c r="C7" s="1495" t="s">
        <v>912</v>
      </c>
      <c r="D7" s="851">
        <f ca="1">结果表!H102</f>
        <v>17249</v>
      </c>
      <c r="E7" s="1491"/>
    </row>
    <row r="8" spans="1:5" ht="15.75">
      <c r="A8" s="1491"/>
      <c r="B8" s="3466" t="str">
        <f>结果表!E103</f>
        <v>2.估价师知悉的法定优先受偿款</v>
      </c>
      <c r="C8" s="1496" t="s">
        <v>913</v>
      </c>
      <c r="D8" s="851">
        <f>结果表!H103</f>
        <v>0</v>
      </c>
      <c r="E8" s="1491"/>
    </row>
    <row r="9" spans="1:5" ht="15.75">
      <c r="A9" s="1491"/>
      <c r="B9" s="346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9" t="str">
        <f>结果表!E107</f>
        <v>3.房地产抵押价值</v>
      </c>
      <c r="C13" s="1499" t="s">
        <v>910</v>
      </c>
      <c r="D13" s="853">
        <f ca="1">结果表!H107</f>
        <v>29666</v>
      </c>
      <c r="E13" s="1491"/>
    </row>
    <row r="14" spans="1:5" ht="15.75">
      <c r="A14" s="1491"/>
      <c r="B14" s="3460"/>
      <c r="C14" s="1494" t="s">
        <v>911</v>
      </c>
      <c r="D14" s="850" t="str">
        <f ca="1">NUMBERSTRING(INT(D13*10000),2)&amp;"元整"</f>
        <v>贰亿玖仟陆佰陆拾陆万元整</v>
      </c>
      <c r="E14" s="1491"/>
    </row>
    <row r="15" spans="1:5" ht="15">
      <c r="A15" s="1491"/>
      <c r="B15" s="3465"/>
      <c r="C15" s="1495" t="s">
        <v>921</v>
      </c>
      <c r="D15" s="859">
        <f ca="1">结果表!H108</f>
        <v>17249</v>
      </c>
      <c r="E15" s="1491"/>
    </row>
    <row r="16" spans="1:5" ht="15">
      <c r="A16" s="1491"/>
      <c r="B16" s="3466" t="str">
        <f>结果表!E109</f>
        <v>——</v>
      </c>
      <c r="C16" s="1499" t="s">
        <v>922</v>
      </c>
      <c r="D16" s="1500" t="str">
        <f>结果表!H109</f>
        <v>——</v>
      </c>
      <c r="E16" s="1491"/>
    </row>
    <row r="17" spans="1:5" ht="15.75">
      <c r="A17" s="1491"/>
      <c r="B17" s="3467"/>
      <c r="C17" s="1494" t="s">
        <v>923</v>
      </c>
      <c r="D17" s="850" t="e">
        <f>NUMBERSTRING(INT(D16*10000),2)&amp;"元整"</f>
        <v>#VALUE!</v>
      </c>
      <c r="E17" s="1491"/>
    </row>
    <row r="18" spans="1:5" ht="15">
      <c r="A18" s="1491"/>
      <c r="B18" s="3468"/>
      <c r="C18" s="1495" t="s">
        <v>912</v>
      </c>
      <c r="D18" s="859" t="str">
        <f>结果表!H110</f>
        <v>——</v>
      </c>
      <c r="E18" s="1491"/>
    </row>
    <row r="19" spans="1:5" ht="15.75">
      <c r="A19" s="1491"/>
      <c r="B19" s="3459" t="str">
        <f>结果表!E111</f>
        <v>4.抵押净值</v>
      </c>
      <c r="C19" s="1499" t="s">
        <v>910</v>
      </c>
      <c r="D19" s="851">
        <f ca="1">结果表!H111</f>
        <v>29510</v>
      </c>
      <c r="E19" s="1491"/>
    </row>
    <row r="20" spans="1:5" ht="15.75">
      <c r="A20" s="1491"/>
      <c r="B20" s="3460"/>
      <c r="C20" s="1494" t="s">
        <v>923</v>
      </c>
      <c r="D20" s="850" t="str">
        <f ca="1">NUMBERSTRING(INT(D19*10000),2)&amp;"元整"</f>
        <v>贰亿玖仟伍佰壹拾万元整</v>
      </c>
      <c r="E20" s="1491"/>
    </row>
    <row r="21" spans="1:5" ht="15.75" thickBot="1">
      <c r="A21" s="1491"/>
      <c r="B21" s="3461"/>
      <c r="C21" s="1501" t="s">
        <v>921</v>
      </c>
      <c r="D21" s="860">
        <f ca="1">结果表!H112</f>
        <v>17159</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43780</v>
      </c>
      <c r="C2" s="2" t="s">
        <v>106</v>
      </c>
      <c r="D2" s="199"/>
      <c r="E2" s="199"/>
      <c r="F2" s="199"/>
      <c r="G2" s="199"/>
    </row>
    <row r="3" spans="1:7" s="200" customFormat="1" ht="18" customHeight="1" thickBot="1">
      <c r="A3" s="203" t="s">
        <v>58</v>
      </c>
      <c r="B3" s="204">
        <f ca="1">ROUND(B2*10000/'数据-汇总表'!E3,0)</f>
        <v>25456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258</v>
      </c>
      <c r="D10" s="845">
        <f>'数据-汇总表'!E6</f>
        <v>17198.240000000002</v>
      </c>
      <c r="E10" s="225">
        <f>'数据-取费表'!B28</f>
        <v>150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344</v>
      </c>
      <c r="D19" s="849">
        <f>'数据-汇总表'!E3</f>
        <v>17198.240000000002</v>
      </c>
      <c r="E19" s="211">
        <f>'数据-取费表'!B31</f>
        <v>200</v>
      </c>
      <c r="F19" s="231"/>
      <c r="G19" s="1" t="s">
        <v>436</v>
      </c>
    </row>
    <row r="20" spans="1:7" s="214" customFormat="1" ht="13.5" customHeight="1">
      <c r="A20" s="777" t="s">
        <v>419</v>
      </c>
      <c r="B20" s="210" t="s">
        <v>77</v>
      </c>
      <c r="C20" s="232">
        <f>ROUND((C5+C19)*F20,0)</f>
        <v>419</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1792</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29</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3206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3206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28575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14081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12899</v>
      </c>
      <c r="D34" s="217"/>
      <c r="E34" s="220"/>
      <c r="F34" s="257">
        <f>IF('数据-取费表'!B24=0,1,'数据-取费表'!N16)</f>
        <v>1</v>
      </c>
      <c r="G34" s="219" t="s">
        <v>89</v>
      </c>
    </row>
    <row r="35" spans="1:7" ht="13.5" customHeight="1">
      <c r="A35" s="780" t="s">
        <v>351</v>
      </c>
      <c r="B35" s="215" t="s">
        <v>33</v>
      </c>
      <c r="C35" s="220">
        <f>ROUND(C34*F35,0)</f>
        <v>645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344</v>
      </c>
      <c r="D37" s="217">
        <f>'数据-汇总表'!E3</f>
        <v>17198.240000000002</v>
      </c>
      <c r="E37" s="249">
        <f>'数据-取费表'!B35</f>
        <v>200</v>
      </c>
      <c r="F37" s="259"/>
      <c r="G37" s="261" t="s">
        <v>92</v>
      </c>
    </row>
    <row r="38" spans="1:7" ht="13.5" customHeight="1">
      <c r="A38" s="780" t="s">
        <v>354</v>
      </c>
      <c r="B38" s="215" t="s">
        <v>36</v>
      </c>
      <c r="C38" s="220">
        <f>ROUND(C34*F38,0)</f>
        <v>193</v>
      </c>
      <c r="D38" s="220"/>
      <c r="E38" s="220"/>
      <c r="F38" s="259">
        <f>'数据-取费表'!B36</f>
        <v>1.4999999999999999E-2</v>
      </c>
      <c r="G38" s="219" t="s">
        <v>90</v>
      </c>
    </row>
    <row r="39" spans="1:7" s="214" customFormat="1" ht="13.5" customHeight="1">
      <c r="A39" s="777" t="s">
        <v>338</v>
      </c>
      <c r="B39" s="210" t="s">
        <v>77</v>
      </c>
      <c r="C39" s="232">
        <f>ROUND(C33*F20,0)</f>
        <v>282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596</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584</v>
      </c>
      <c r="D42" s="238"/>
      <c r="E42" s="238"/>
      <c r="F42" s="239"/>
      <c r="G42" s="3641" t="s">
        <v>94</v>
      </c>
    </row>
    <row r="43" spans="1:7" ht="13.5" customHeight="1">
      <c r="A43" s="780" t="s">
        <v>347</v>
      </c>
      <c r="B43" s="215" t="s">
        <v>426</v>
      </c>
      <c r="C43" s="238">
        <f ca="1">ROUND(IF('数据-取费表'!B22&lt;=1,C39*F22*'数据-取费表'!B21/2,C39*(POWER((1+F22),'数据-取费表'!B21/2)-1)),0)</f>
        <v>12</v>
      </c>
      <c r="D43" s="238"/>
      <c r="E43" s="238"/>
      <c r="F43" s="239"/>
      <c r="G43" s="3642"/>
    </row>
    <row r="44" spans="1:7" ht="13.5" customHeight="1">
      <c r="A44" s="780" t="s">
        <v>348</v>
      </c>
      <c r="B44" s="215" t="s">
        <v>428</v>
      </c>
      <c r="C44" s="238">
        <f ca="1">ROUND(IF('数据-取费表'!B22&lt;=1,C40*F22*'数据-取费表'!B21/2,C40*(POWER((1+F22),'数据-取费表'!B21/2)-1)),4)</f>
        <v>8.0000000000000004E-4</v>
      </c>
      <c r="D44" s="238"/>
      <c r="E44" s="238"/>
      <c r="F44" s="239"/>
      <c r="G44" s="3643"/>
    </row>
    <row r="45" spans="1:7" s="214" customFormat="1" ht="13.5" customHeight="1">
      <c r="A45" s="777" t="s">
        <v>341</v>
      </c>
      <c r="B45" s="244" t="s">
        <v>85</v>
      </c>
      <c r="C45" s="245">
        <f>C46</f>
        <v>2154</v>
      </c>
      <c r="D45" s="235">
        <f>C47</f>
        <v>3.0000000000000001E-3</v>
      </c>
      <c r="E45" s="236" t="s">
        <v>102</v>
      </c>
      <c r="F45" s="246"/>
      <c r="G45" s="247" t="s">
        <v>434</v>
      </c>
    </row>
    <row r="46" spans="1:7" s="214" customFormat="1" ht="13.5" customHeight="1">
      <c r="A46" s="780" t="s">
        <v>349</v>
      </c>
      <c r="B46" s="248" t="s">
        <v>427</v>
      </c>
      <c r="C46" s="249">
        <f>ROUND((C33+C39)*F27,0)</f>
        <v>2154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18543</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15205</v>
      </c>
      <c r="D51" s="232"/>
      <c r="E51" s="232"/>
      <c r="F51" s="264"/>
      <c r="G51" s="234" t="s">
        <v>37</v>
      </c>
    </row>
    <row r="52" spans="1:7" s="208" customFormat="1" ht="16.5" thickBot="1">
      <c r="A52" s="265" t="s">
        <v>38</v>
      </c>
      <c r="B52" s="266"/>
      <c r="C52" s="267">
        <f ca="1">C31+C51</f>
        <v>43780</v>
      </c>
      <c r="D52" s="266"/>
      <c r="E52" s="266"/>
      <c r="F52" s="266"/>
      <c r="G52" s="268"/>
    </row>
    <row r="55" spans="1:7" ht="15">
      <c r="B55" s="270" t="s">
        <v>39</v>
      </c>
      <c r="C55" s="271"/>
    </row>
    <row r="56" spans="1:7">
      <c r="B56" s="273" t="s">
        <v>40</v>
      </c>
      <c r="C56" s="274">
        <f ca="1">ROUND(C51/C52,3)</f>
        <v>0.34699999999999998</v>
      </c>
    </row>
    <row r="57" spans="1:7">
      <c r="B57" s="273" t="s">
        <v>41</v>
      </c>
      <c r="C57" s="275">
        <f ca="1">1-C56</f>
        <v>0.65300000000000002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0" t="s">
        <v>2843</v>
      </c>
      <c r="B1" s="3780"/>
      <c r="C1" s="3780"/>
      <c r="D1" s="3780"/>
      <c r="E1" s="3780"/>
      <c r="F1" s="3780"/>
      <c r="G1" s="3781"/>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78" t="s">
        <v>2870</v>
      </c>
      <c r="B3" s="3229"/>
      <c r="C3" s="3230" t="s">
        <v>2813</v>
      </c>
      <c r="D3" s="3230" t="s">
        <v>2871</v>
      </c>
      <c r="E3" s="3230" t="s">
        <v>2815</v>
      </c>
      <c r="F3" s="3230" t="s">
        <v>2872</v>
      </c>
      <c r="G3" s="3230" t="s">
        <v>2633</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79"/>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2" t="s">
        <v>3185</v>
      </c>
      <c r="B1" s="3782"/>
    </row>
    <row r="2" spans="1:7" ht="14.25" thickBot="1">
      <c r="A2" s="3254"/>
      <c r="B2" s="3254"/>
    </row>
    <row r="3" spans="1:7" ht="14.25" thickBot="1">
      <c r="A3" s="3254"/>
      <c r="B3" s="3254"/>
      <c r="C3" s="3255" t="s">
        <v>2813</v>
      </c>
      <c r="D3" s="3255" t="s">
        <v>2871</v>
      </c>
      <c r="E3" s="3255" t="s">
        <v>2815</v>
      </c>
      <c r="F3" s="3255" t="s">
        <v>2872</v>
      </c>
      <c r="G3" s="3255" t="s">
        <v>2633</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3" t="s">
        <v>3236</v>
      </c>
      <c r="B1" s="3783"/>
      <c r="C1" s="3783"/>
      <c r="D1" s="3783"/>
      <c r="E1" s="3783"/>
      <c r="F1" s="3784"/>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20">
        <f>基准地价修正!G23</f>
        <v>45061</v>
      </c>
      <c r="B1" s="3209" t="s">
        <v>2842</v>
      </c>
      <c r="C1" s="3210"/>
      <c r="D1" s="3210"/>
      <c r="E1" s="3210"/>
      <c r="F1" s="3210"/>
      <c r="G1" s="3210"/>
      <c r="H1" s="3210"/>
      <c r="I1" s="3210"/>
      <c r="J1" s="3164"/>
      <c r="K1" s="3210" t="s">
        <v>454</v>
      </c>
      <c r="L1" s="3210"/>
      <c r="M1" s="3210"/>
      <c r="N1" s="3210"/>
      <c r="O1" s="3210"/>
      <c r="P1" s="3210"/>
      <c r="Q1" s="3164"/>
      <c r="R1" s="3785" t="s">
        <v>456</v>
      </c>
      <c r="S1" s="3786"/>
      <c r="T1" s="3786"/>
      <c r="U1" s="3786"/>
      <c r="V1" s="3786"/>
      <c r="W1" s="3786"/>
      <c r="X1" s="3164"/>
      <c r="Y1" s="3785" t="s">
        <v>457</v>
      </c>
      <c r="Z1" s="3786"/>
      <c r="AA1" s="3786"/>
      <c r="AB1" s="3786"/>
      <c r="AC1" s="3786"/>
      <c r="AD1" s="3786"/>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3372</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3373</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3371</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3374</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3375</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3367</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2822</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2823</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2824</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2825</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2826</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3369</v>
      </c>
    </row>
    <row r="19" spans="1:30" s="3008" customFormat="1">
      <c r="I19" s="3207" t="s">
        <v>2827</v>
      </c>
    </row>
    <row r="20" spans="1:30" s="3008" customFormat="1"/>
    <row r="21" spans="1:30" s="3208" customFormat="1" ht="12.75">
      <c r="B21" s="3209" t="s">
        <v>2828</v>
      </c>
      <c r="C21" s="3210"/>
      <c r="D21" s="3210"/>
      <c r="E21" s="3210"/>
      <c r="F21" s="3210"/>
      <c r="G21" s="3210"/>
      <c r="H21" s="3210"/>
      <c r="I21" s="3210"/>
      <c r="J21" s="3164"/>
      <c r="K21" s="3210" t="s">
        <v>2829</v>
      </c>
      <c r="L21" s="3210"/>
      <c r="M21" s="3210"/>
      <c r="N21" s="3210"/>
      <c r="O21" s="3210"/>
      <c r="P21" s="3210"/>
      <c r="Q21" s="3164"/>
      <c r="R21" s="3785" t="s">
        <v>2830</v>
      </c>
      <c r="S21" s="3786"/>
      <c r="T21" s="3786"/>
      <c r="U21" s="3786"/>
      <c r="V21" s="3786"/>
      <c r="W21" s="3786"/>
      <c r="X21" s="3164"/>
      <c r="Y21" s="3785" t="s">
        <v>2831</v>
      </c>
      <c r="Z21" s="3786"/>
      <c r="AA21" s="3786"/>
      <c r="AB21" s="3786"/>
      <c r="AC21" s="3786"/>
      <c r="AD21" s="3786"/>
    </row>
    <row r="22" spans="1:30" s="3142" customFormat="1" ht="14.25" thickBot="1">
      <c r="B22" s="3143"/>
      <c r="C22" s="3144"/>
      <c r="D22" s="3145" t="s">
        <v>2832</v>
      </c>
      <c r="E22" s="3146" t="s">
        <v>2833</v>
      </c>
      <c r="F22" s="3146" t="s">
        <v>2834</v>
      </c>
      <c r="G22" s="3146" t="s">
        <v>2835</v>
      </c>
      <c r="H22" s="3146"/>
      <c r="I22" s="3146" t="s">
        <v>2836</v>
      </c>
      <c r="J22" s="3147"/>
      <c r="K22" s="3145" t="s">
        <v>2832</v>
      </c>
      <c r="L22" s="3146" t="s">
        <v>2833</v>
      </c>
      <c r="M22" s="3146" t="s">
        <v>2834</v>
      </c>
      <c r="N22" s="3146" t="s">
        <v>2835</v>
      </c>
      <c r="O22" s="3146"/>
      <c r="P22" s="3146" t="s">
        <v>2836</v>
      </c>
      <c r="Q22" s="3147"/>
      <c r="R22" s="3145" t="s">
        <v>2832</v>
      </c>
      <c r="S22" s="3146" t="s">
        <v>2833</v>
      </c>
      <c r="T22" s="3146" t="s">
        <v>2834</v>
      </c>
      <c r="U22" s="3146" t="s">
        <v>2835</v>
      </c>
      <c r="V22" s="3146"/>
      <c r="W22" s="3146" t="s">
        <v>2836</v>
      </c>
      <c r="X22" s="3147"/>
      <c r="Y22" s="3145" t="s">
        <v>2832</v>
      </c>
      <c r="Z22" s="3146" t="s">
        <v>2833</v>
      </c>
      <c r="AA22" s="3146" t="s">
        <v>2834</v>
      </c>
      <c r="AB22" s="3146" t="s">
        <v>2835</v>
      </c>
      <c r="AC22" s="3146"/>
      <c r="AD22" s="3146" t="s">
        <v>2836</v>
      </c>
    </row>
    <row r="23" spans="1:30" s="3160" customFormat="1" ht="12.75">
      <c r="A23" s="3148" t="s">
        <v>2837</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3372</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3373</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3371</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3374</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3375</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3368</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2838</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2839</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2840</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2841</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2826</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45061</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2312</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46"/>
  <sheetViews>
    <sheetView topLeftCell="E1" workbookViewId="0">
      <selection activeCell="AC19" sqref="AC19"/>
    </sheetView>
  </sheetViews>
  <sheetFormatPr defaultRowHeight="12"/>
  <cols>
    <col min="1" max="1" width="12.625" style="3450" customWidth="1"/>
    <col min="2" max="2" width="0" style="3450" hidden="1" customWidth="1"/>
    <col min="3" max="3" width="9" style="3450"/>
    <col min="4" max="4" width="0" style="3450" hidden="1" customWidth="1"/>
    <col min="5" max="5" width="6" style="3450" customWidth="1"/>
    <col min="6" max="6" width="9" style="3450"/>
    <col min="7" max="8" width="0" style="3450" hidden="1" customWidth="1"/>
    <col min="9" max="10" width="9.125" style="3450" bestFit="1" customWidth="1"/>
    <col min="11" max="11" width="9" style="3450"/>
    <col min="12" max="12" width="0" style="3450" hidden="1" customWidth="1"/>
    <col min="13" max="13" width="9" style="3450"/>
    <col min="14" max="16" width="0" style="3450" hidden="1" customWidth="1"/>
    <col min="17" max="17" width="9.125" style="3450" hidden="1" customWidth="1"/>
    <col min="18" max="21" width="0" style="3450" hidden="1" customWidth="1"/>
    <col min="22" max="25" width="9.125" style="3450" hidden="1" customWidth="1"/>
    <col min="26" max="28" width="10.25" style="3450" hidden="1" customWidth="1"/>
    <col min="29" max="29" width="10.25" style="3450" bestFit="1" customWidth="1"/>
    <col min="30" max="31" width="0" style="3450" hidden="1" customWidth="1"/>
    <col min="32" max="32" width="9" style="3450"/>
    <col min="33" max="34" width="0" style="3450" hidden="1" customWidth="1"/>
    <col min="35" max="36" width="9.125" style="3450" hidden="1" customWidth="1"/>
    <col min="37" max="37" width="0" style="3450" hidden="1" customWidth="1"/>
    <col min="38" max="38" width="7.875" style="3450" customWidth="1"/>
    <col min="39" max="39" width="9.125" style="3450" hidden="1" customWidth="1"/>
    <col min="40" max="40" width="9.125" style="3450" bestFit="1" customWidth="1"/>
    <col min="41" max="41" width="9.125" style="3450" hidden="1" customWidth="1"/>
    <col min="42" max="42" width="6.875" style="3450" customWidth="1"/>
    <col min="43" max="44" width="0" style="3450" hidden="1" customWidth="1"/>
    <col min="45" max="45" width="5.5" style="3450" customWidth="1"/>
    <col min="46" max="46" width="9.125" style="3450" bestFit="1" customWidth="1"/>
    <col min="47" max="52" width="0" style="3450" hidden="1" customWidth="1"/>
    <col min="53" max="16384" width="9" style="3450"/>
  </cols>
  <sheetData>
    <row r="1" spans="1:52">
      <c r="A1" s="3798" t="s">
        <v>3429</v>
      </c>
      <c r="B1" s="3798" t="s">
        <v>3430</v>
      </c>
      <c r="C1" s="3798" t="s">
        <v>3431</v>
      </c>
      <c r="D1" s="3798" t="s">
        <v>3432</v>
      </c>
      <c r="E1" s="3798" t="s">
        <v>3433</v>
      </c>
      <c r="F1" s="3798" t="s">
        <v>3434</v>
      </c>
      <c r="G1" s="3798" t="s">
        <v>3435</v>
      </c>
      <c r="H1" s="3798" t="s">
        <v>3436</v>
      </c>
      <c r="I1" s="3798" t="s">
        <v>3437</v>
      </c>
      <c r="J1" s="3798" t="s">
        <v>3438</v>
      </c>
      <c r="K1" s="3798" t="s">
        <v>3439</v>
      </c>
      <c r="L1" s="3798" t="s">
        <v>3440</v>
      </c>
      <c r="M1" s="3798" t="s">
        <v>3441</v>
      </c>
      <c r="N1" s="3798" t="s">
        <v>3442</v>
      </c>
      <c r="O1" s="3798" t="s">
        <v>3443</v>
      </c>
      <c r="P1" s="3798" t="s">
        <v>3444</v>
      </c>
      <c r="Q1" s="3798" t="s">
        <v>3445</v>
      </c>
      <c r="R1" s="3798" t="s">
        <v>3446</v>
      </c>
      <c r="S1" s="3798" t="s">
        <v>3447</v>
      </c>
      <c r="T1" s="3798" t="s">
        <v>3448</v>
      </c>
      <c r="U1" s="3798" t="s">
        <v>3449</v>
      </c>
      <c r="V1" s="3798" t="s">
        <v>3450</v>
      </c>
      <c r="W1" s="3798" t="s">
        <v>3451</v>
      </c>
      <c r="X1" s="3798" t="s">
        <v>3452</v>
      </c>
      <c r="Y1" s="3798" t="s">
        <v>3453</v>
      </c>
      <c r="Z1" s="3798" t="s">
        <v>3454</v>
      </c>
      <c r="AA1" s="3798" t="s">
        <v>3455</v>
      </c>
      <c r="AB1" s="3798" t="s">
        <v>3456</v>
      </c>
      <c r="AC1" s="3798" t="s">
        <v>3457</v>
      </c>
      <c r="AD1" s="3798" t="s">
        <v>3458</v>
      </c>
      <c r="AE1" s="3798" t="s">
        <v>3459</v>
      </c>
      <c r="AF1" s="3798" t="s">
        <v>3460</v>
      </c>
      <c r="AG1" s="3798" t="s">
        <v>3461</v>
      </c>
      <c r="AH1" s="3798" t="s">
        <v>3462</v>
      </c>
      <c r="AI1" s="3798" t="s">
        <v>3463</v>
      </c>
      <c r="AJ1" s="3798" t="s">
        <v>3464</v>
      </c>
      <c r="AK1" s="3798" t="s">
        <v>3465</v>
      </c>
      <c r="AL1" s="3798" t="s">
        <v>3466</v>
      </c>
      <c r="AM1" s="3798" t="s">
        <v>3467</v>
      </c>
      <c r="AN1" s="3798" t="s">
        <v>3468</v>
      </c>
      <c r="AO1" s="3798" t="s">
        <v>3469</v>
      </c>
      <c r="AP1" s="3798" t="s">
        <v>3470</v>
      </c>
      <c r="AQ1" s="3798" t="s">
        <v>3471</v>
      </c>
      <c r="AR1" s="3798" t="s">
        <v>3472</v>
      </c>
      <c r="AS1" s="3798" t="s">
        <v>3473</v>
      </c>
      <c r="AT1" s="3798" t="s">
        <v>3474</v>
      </c>
      <c r="AU1" s="3798" t="s">
        <v>3475</v>
      </c>
      <c r="AV1" s="3798" t="s">
        <v>3476</v>
      </c>
      <c r="AW1" s="3798" t="s">
        <v>3477</v>
      </c>
      <c r="AX1" s="3798" t="s">
        <v>3478</v>
      </c>
      <c r="AY1" s="3798" t="s">
        <v>3479</v>
      </c>
      <c r="AZ1" s="3798" t="s">
        <v>3480</v>
      </c>
    </row>
    <row r="2" spans="1:52" s="3454" customFormat="1">
      <c r="A2" s="3799" t="s">
        <v>3481</v>
      </c>
      <c r="B2" s="3799" t="s">
        <v>3482</v>
      </c>
      <c r="C2" s="3799" t="s">
        <v>3483</v>
      </c>
      <c r="D2" s="3799" t="s">
        <v>3484</v>
      </c>
      <c r="E2" s="3799" t="s">
        <v>3485</v>
      </c>
      <c r="F2" s="3799" t="s">
        <v>3486</v>
      </c>
      <c r="G2" s="3799" t="s">
        <v>3487</v>
      </c>
      <c r="H2" s="3799" t="s">
        <v>3488</v>
      </c>
      <c r="I2" s="3799">
        <v>14341.5</v>
      </c>
      <c r="J2" s="3799">
        <v>28683</v>
      </c>
      <c r="K2" s="3799" t="s">
        <v>3489</v>
      </c>
      <c r="L2" s="3799" t="s">
        <v>3490</v>
      </c>
      <c r="M2" s="3799" t="s">
        <v>3491</v>
      </c>
      <c r="N2" s="3799" t="s">
        <v>3492</v>
      </c>
      <c r="O2" s="3799" t="s">
        <v>3493</v>
      </c>
      <c r="P2" s="3799" t="s">
        <v>3494</v>
      </c>
      <c r="Q2" s="3799" t="s">
        <v>3495</v>
      </c>
      <c r="R2" s="3799" t="s">
        <v>3496</v>
      </c>
      <c r="S2" s="3799" t="s">
        <v>3496</v>
      </c>
      <c r="T2" s="3799" t="s">
        <v>3496</v>
      </c>
      <c r="U2" s="3799" t="s">
        <v>3496</v>
      </c>
      <c r="V2" s="3799" t="s">
        <v>3496</v>
      </c>
      <c r="W2" s="3799" t="s">
        <v>3496</v>
      </c>
      <c r="X2" s="3799">
        <v>0</v>
      </c>
      <c r="Y2" s="3799">
        <v>0</v>
      </c>
      <c r="Z2" s="3800">
        <v>44939.000497685185</v>
      </c>
      <c r="AA2" s="3800">
        <v>44960.000497685185</v>
      </c>
      <c r="AB2" s="3800">
        <v>44971.000497685185</v>
      </c>
      <c r="AC2" s="3800">
        <v>44971.000497685185</v>
      </c>
      <c r="AD2" s="3799" t="s">
        <v>3497</v>
      </c>
      <c r="AE2" s="3799" t="s">
        <v>3498</v>
      </c>
      <c r="AF2" s="3799" t="s">
        <v>3499</v>
      </c>
      <c r="AG2" s="3799" t="s">
        <v>3496</v>
      </c>
      <c r="AH2" s="3799" t="s">
        <v>3496</v>
      </c>
      <c r="AI2" s="3799">
        <v>3230</v>
      </c>
      <c r="AJ2" s="3799">
        <v>646</v>
      </c>
      <c r="AK2" s="3799" t="s">
        <v>3500</v>
      </c>
      <c r="AL2" s="3799">
        <v>3230</v>
      </c>
      <c r="AM2" s="3799">
        <v>150.15</v>
      </c>
      <c r="AN2" s="3799">
        <v>150.15</v>
      </c>
      <c r="AO2" s="3799">
        <v>1126</v>
      </c>
      <c r="AP2" s="3799">
        <v>1126</v>
      </c>
      <c r="AQ2" s="3799" t="s">
        <v>3496</v>
      </c>
      <c r="AR2" s="3799" t="s">
        <v>3496</v>
      </c>
      <c r="AS2" s="3799">
        <v>0</v>
      </c>
      <c r="AT2" s="3799" t="s">
        <v>3501</v>
      </c>
      <c r="AU2" s="3799" t="s">
        <v>3493</v>
      </c>
      <c r="AV2" s="3799" t="s">
        <v>3496</v>
      </c>
      <c r="AW2" s="3799" t="s">
        <v>3493</v>
      </c>
      <c r="AX2" s="3799" t="s">
        <v>3496</v>
      </c>
      <c r="AY2" s="3799" t="s">
        <v>3496</v>
      </c>
      <c r="AZ2" s="3799" t="s">
        <v>3496</v>
      </c>
    </row>
    <row r="3" spans="1:52" s="3454" customFormat="1">
      <c r="A3" s="3799" t="s">
        <v>3502</v>
      </c>
      <c r="B3" s="3799" t="s">
        <v>3482</v>
      </c>
      <c r="C3" s="3799" t="s">
        <v>3503</v>
      </c>
      <c r="D3" s="3799" t="s">
        <v>3484</v>
      </c>
      <c r="E3" s="3799" t="s">
        <v>3485</v>
      </c>
      <c r="F3" s="3799" t="s">
        <v>3504</v>
      </c>
      <c r="G3" s="3799" t="s">
        <v>3505</v>
      </c>
      <c r="H3" s="3799" t="s">
        <v>3488</v>
      </c>
      <c r="I3" s="3799">
        <v>8515.9699999999993</v>
      </c>
      <c r="J3" s="3799">
        <v>17883.54</v>
      </c>
      <c r="K3" s="3799" t="s">
        <v>3506</v>
      </c>
      <c r="L3" s="3799" t="s">
        <v>3490</v>
      </c>
      <c r="M3" s="3799" t="s">
        <v>3491</v>
      </c>
      <c r="N3" s="3799" t="s">
        <v>3492</v>
      </c>
      <c r="O3" s="3799" t="s">
        <v>3493</v>
      </c>
      <c r="P3" s="3799" t="s">
        <v>3494</v>
      </c>
      <c r="Q3" s="3799" t="s">
        <v>3507</v>
      </c>
      <c r="R3" s="3799" t="s">
        <v>3496</v>
      </c>
      <c r="S3" s="3799" t="s">
        <v>3496</v>
      </c>
      <c r="T3" s="3799" t="s">
        <v>3496</v>
      </c>
      <c r="U3" s="3799" t="s">
        <v>3496</v>
      </c>
      <c r="V3" s="3799" t="s">
        <v>3496</v>
      </c>
      <c r="W3" s="3799" t="s">
        <v>3496</v>
      </c>
      <c r="X3" s="3799">
        <v>0</v>
      </c>
      <c r="Y3" s="3799">
        <v>0</v>
      </c>
      <c r="Z3" s="3800">
        <v>44939.000497685185</v>
      </c>
      <c r="AA3" s="3800">
        <v>44960.000497685185</v>
      </c>
      <c r="AB3" s="3800">
        <v>44971.000497685185</v>
      </c>
      <c r="AC3" s="3800">
        <v>44971.000497685185</v>
      </c>
      <c r="AD3" s="3799" t="s">
        <v>3497</v>
      </c>
      <c r="AE3" s="3799" t="s">
        <v>3498</v>
      </c>
      <c r="AF3" s="3799" t="s">
        <v>3508</v>
      </c>
      <c r="AG3" s="3799" t="s">
        <v>3496</v>
      </c>
      <c r="AH3" s="3799" t="s">
        <v>3496</v>
      </c>
      <c r="AI3" s="3799">
        <v>1920</v>
      </c>
      <c r="AJ3" s="3799">
        <v>384</v>
      </c>
      <c r="AK3" s="3799" t="s">
        <v>3500</v>
      </c>
      <c r="AL3" s="3799">
        <v>1920</v>
      </c>
      <c r="AM3" s="3799">
        <v>150.31</v>
      </c>
      <c r="AN3" s="3799">
        <v>150.31</v>
      </c>
      <c r="AO3" s="3799">
        <v>1074</v>
      </c>
      <c r="AP3" s="3799">
        <v>1074</v>
      </c>
      <c r="AQ3" s="3799" t="s">
        <v>3496</v>
      </c>
      <c r="AR3" s="3799" t="s">
        <v>3496</v>
      </c>
      <c r="AS3" s="3799">
        <v>0</v>
      </c>
      <c r="AT3" s="3799" t="s">
        <v>3501</v>
      </c>
      <c r="AU3" s="3799" t="s">
        <v>3493</v>
      </c>
      <c r="AV3" s="3799" t="s">
        <v>3496</v>
      </c>
      <c r="AW3" s="3799" t="s">
        <v>3493</v>
      </c>
      <c r="AX3" s="3799" t="s">
        <v>3496</v>
      </c>
      <c r="AY3" s="3799" t="s">
        <v>3496</v>
      </c>
      <c r="AZ3" s="3799" t="s">
        <v>3496</v>
      </c>
    </row>
    <row r="4" spans="1:52">
      <c r="A4" s="3798" t="s">
        <v>3509</v>
      </c>
      <c r="B4" s="3798" t="s">
        <v>3482</v>
      </c>
      <c r="C4" s="3798" t="s">
        <v>3510</v>
      </c>
      <c r="D4" s="3798" t="s">
        <v>3484</v>
      </c>
      <c r="E4" s="3798" t="s">
        <v>3485</v>
      </c>
      <c r="F4" s="3798" t="s">
        <v>3511</v>
      </c>
      <c r="G4" s="3798" t="s">
        <v>3512</v>
      </c>
      <c r="H4" s="3798" t="s">
        <v>3488</v>
      </c>
      <c r="I4" s="3798">
        <v>11736.83</v>
      </c>
      <c r="J4" s="3798">
        <v>41078.910000000003</v>
      </c>
      <c r="K4" s="3798" t="s">
        <v>3513</v>
      </c>
      <c r="L4" s="3798" t="s">
        <v>3490</v>
      </c>
      <c r="M4" s="3798" t="s">
        <v>3491</v>
      </c>
      <c r="N4" s="3798" t="s">
        <v>3492</v>
      </c>
      <c r="O4" s="3798" t="s">
        <v>3493</v>
      </c>
      <c r="P4" s="3798" t="s">
        <v>3494</v>
      </c>
      <c r="Q4" s="3798" t="s">
        <v>3514</v>
      </c>
      <c r="R4" s="3798" t="s">
        <v>3496</v>
      </c>
      <c r="S4" s="3798" t="s">
        <v>3496</v>
      </c>
      <c r="T4" s="3798" t="s">
        <v>3496</v>
      </c>
      <c r="U4" s="3798" t="s">
        <v>3496</v>
      </c>
      <c r="V4" s="3798" t="s">
        <v>3496</v>
      </c>
      <c r="W4" s="3798" t="s">
        <v>3496</v>
      </c>
      <c r="X4" s="3798">
        <v>0</v>
      </c>
      <c r="Y4" s="3798">
        <v>0</v>
      </c>
      <c r="Z4" s="3801">
        <v>44938.000497685185</v>
      </c>
      <c r="AA4" s="3801">
        <v>44958.000497685185</v>
      </c>
      <c r="AB4" s="3801">
        <v>44967.000497685185</v>
      </c>
      <c r="AC4" s="3801">
        <v>44967.000497685185</v>
      </c>
      <c r="AD4" s="3798" t="s">
        <v>3515</v>
      </c>
      <c r="AE4" s="3798" t="s">
        <v>3498</v>
      </c>
      <c r="AF4" s="3798" t="s">
        <v>3516</v>
      </c>
      <c r="AG4" s="3798" t="s">
        <v>3496</v>
      </c>
      <c r="AH4" s="3798" t="s">
        <v>3496</v>
      </c>
      <c r="AI4" s="3798">
        <v>2315</v>
      </c>
      <c r="AJ4" s="3798">
        <v>463</v>
      </c>
      <c r="AK4" s="3798" t="s">
        <v>3517</v>
      </c>
      <c r="AL4" s="3798">
        <v>2315</v>
      </c>
      <c r="AM4" s="3798">
        <v>131.49</v>
      </c>
      <c r="AN4" s="3798">
        <v>131.49</v>
      </c>
      <c r="AO4" s="3798">
        <v>564</v>
      </c>
      <c r="AP4" s="3798">
        <v>564</v>
      </c>
      <c r="AQ4" s="3798" t="s">
        <v>3496</v>
      </c>
      <c r="AR4" s="3798" t="s">
        <v>3496</v>
      </c>
      <c r="AS4" s="3798">
        <v>0</v>
      </c>
      <c r="AT4" s="3798" t="s">
        <v>3501</v>
      </c>
      <c r="AU4" s="3798" t="s">
        <v>3493</v>
      </c>
      <c r="AV4" s="3798" t="s">
        <v>3496</v>
      </c>
      <c r="AW4" s="3798" t="s">
        <v>3493</v>
      </c>
      <c r="AX4" s="3798" t="s">
        <v>3496</v>
      </c>
      <c r="AY4" s="3798" t="s">
        <v>3496</v>
      </c>
      <c r="AZ4" s="3798" t="s">
        <v>3496</v>
      </c>
    </row>
    <row r="5" spans="1:52">
      <c r="A5" s="3798" t="s">
        <v>3518</v>
      </c>
      <c r="B5" s="3798" t="s">
        <v>3482</v>
      </c>
      <c r="C5" s="3798" t="s">
        <v>3519</v>
      </c>
      <c r="D5" s="3798" t="s">
        <v>3484</v>
      </c>
      <c r="E5" s="3798" t="s">
        <v>3485</v>
      </c>
      <c r="F5" s="3798" t="s">
        <v>3511</v>
      </c>
      <c r="G5" s="3798" t="s">
        <v>3520</v>
      </c>
      <c r="H5" s="3798" t="s">
        <v>3488</v>
      </c>
      <c r="I5" s="3798">
        <v>31239.68</v>
      </c>
      <c r="J5" s="3798">
        <v>81223.17</v>
      </c>
      <c r="K5" s="3798" t="s">
        <v>3521</v>
      </c>
      <c r="L5" s="3798" t="s">
        <v>3490</v>
      </c>
      <c r="M5" s="3798" t="s">
        <v>3491</v>
      </c>
      <c r="N5" s="3798" t="s">
        <v>3492</v>
      </c>
      <c r="O5" s="3798" t="s">
        <v>3493</v>
      </c>
      <c r="P5" s="3798" t="s">
        <v>3522</v>
      </c>
      <c r="Q5" s="3798" t="s">
        <v>3523</v>
      </c>
      <c r="R5" s="3798" t="s">
        <v>3496</v>
      </c>
      <c r="S5" s="3798" t="s">
        <v>3496</v>
      </c>
      <c r="T5" s="3798" t="s">
        <v>3496</v>
      </c>
      <c r="U5" s="3798" t="s">
        <v>3496</v>
      </c>
      <c r="V5" s="3798" t="s">
        <v>3496</v>
      </c>
      <c r="W5" s="3798" t="s">
        <v>3496</v>
      </c>
      <c r="X5" s="3798">
        <v>0</v>
      </c>
      <c r="Y5" s="3798">
        <v>0</v>
      </c>
      <c r="Z5" s="3801">
        <v>44831.000497685185</v>
      </c>
      <c r="AA5" s="3801">
        <v>44853.000497685185</v>
      </c>
      <c r="AB5" s="3801">
        <v>44862.000497685185</v>
      </c>
      <c r="AC5" s="3801">
        <v>44862.000497685185</v>
      </c>
      <c r="AD5" s="3798" t="s">
        <v>3524</v>
      </c>
      <c r="AE5" s="3798" t="s">
        <v>3498</v>
      </c>
      <c r="AF5" s="3798" t="s">
        <v>3525</v>
      </c>
      <c r="AG5" s="3798" t="s">
        <v>3496</v>
      </c>
      <c r="AH5" s="3798" t="s">
        <v>3496</v>
      </c>
      <c r="AI5" s="3798">
        <v>6904</v>
      </c>
      <c r="AJ5" s="3798">
        <v>1380</v>
      </c>
      <c r="AK5" s="3798" t="s">
        <v>3526</v>
      </c>
      <c r="AL5" s="3798">
        <v>6904</v>
      </c>
      <c r="AM5" s="3798">
        <v>147.33000000000001</v>
      </c>
      <c r="AN5" s="3798">
        <v>147.33000000000001</v>
      </c>
      <c r="AO5" s="3798">
        <v>850</v>
      </c>
      <c r="AP5" s="3798">
        <v>850</v>
      </c>
      <c r="AQ5" s="3798" t="s">
        <v>3496</v>
      </c>
      <c r="AR5" s="3798" t="s">
        <v>3496</v>
      </c>
      <c r="AS5" s="3798">
        <v>0</v>
      </c>
      <c r="AT5" s="3798" t="s">
        <v>3501</v>
      </c>
      <c r="AU5" s="3798" t="s">
        <v>3493</v>
      </c>
      <c r="AV5" s="3798" t="s">
        <v>3496</v>
      </c>
      <c r="AW5" s="3798" t="s">
        <v>3493</v>
      </c>
      <c r="AX5" s="3798" t="s">
        <v>3496</v>
      </c>
      <c r="AY5" s="3798" t="s">
        <v>3496</v>
      </c>
      <c r="AZ5" s="3798" t="s">
        <v>3496</v>
      </c>
    </row>
    <row r="6" spans="1:52">
      <c r="A6" s="3798" t="s">
        <v>3527</v>
      </c>
      <c r="B6" s="3798" t="s">
        <v>3482</v>
      </c>
      <c r="C6" s="3798" t="s">
        <v>3528</v>
      </c>
      <c r="D6" s="3798" t="s">
        <v>3484</v>
      </c>
      <c r="E6" s="3798" t="s">
        <v>3485</v>
      </c>
      <c r="F6" s="3798" t="s">
        <v>3496</v>
      </c>
      <c r="G6" s="3798" t="s">
        <v>3529</v>
      </c>
      <c r="H6" s="3798" t="s">
        <v>3488</v>
      </c>
      <c r="I6" s="3798">
        <v>10598.08</v>
      </c>
      <c r="J6" s="3798">
        <v>24375.58</v>
      </c>
      <c r="K6" s="3798" t="s">
        <v>3530</v>
      </c>
      <c r="L6" s="3798" t="s">
        <v>3490</v>
      </c>
      <c r="M6" s="3798" t="s">
        <v>3491</v>
      </c>
      <c r="N6" s="3798" t="s">
        <v>3492</v>
      </c>
      <c r="O6" s="3798" t="s">
        <v>3493</v>
      </c>
      <c r="P6" s="3798" t="s">
        <v>3496</v>
      </c>
      <c r="Q6" s="3798" t="s">
        <v>3495</v>
      </c>
      <c r="R6" s="3798" t="s">
        <v>3496</v>
      </c>
      <c r="S6" s="3798" t="s">
        <v>3496</v>
      </c>
      <c r="T6" s="3798" t="s">
        <v>3496</v>
      </c>
      <c r="U6" s="3798" t="s">
        <v>3496</v>
      </c>
      <c r="V6" s="3798" t="s">
        <v>3496</v>
      </c>
      <c r="W6" s="3798" t="s">
        <v>3496</v>
      </c>
      <c r="X6" s="3798">
        <v>0</v>
      </c>
      <c r="Y6" s="3798">
        <v>0</v>
      </c>
      <c r="Z6" s="3801">
        <v>44747.000497685185</v>
      </c>
      <c r="AA6" s="3801">
        <v>44768.000497685185</v>
      </c>
      <c r="AB6" s="3801">
        <v>44777.000497685185</v>
      </c>
      <c r="AC6" s="3801">
        <v>44777.000497685185</v>
      </c>
      <c r="AD6" s="3798" t="s">
        <v>3531</v>
      </c>
      <c r="AE6" s="3798" t="s">
        <v>3498</v>
      </c>
      <c r="AF6" s="3798" t="s">
        <v>3532</v>
      </c>
      <c r="AG6" s="3798" t="s">
        <v>3496</v>
      </c>
      <c r="AH6" s="3798" t="s">
        <v>3496</v>
      </c>
      <c r="AI6" s="3798">
        <v>8535</v>
      </c>
      <c r="AJ6" s="3798">
        <v>2000</v>
      </c>
      <c r="AK6" s="3798" t="s">
        <v>3533</v>
      </c>
      <c r="AL6" s="3798">
        <v>8535</v>
      </c>
      <c r="AM6" s="3798">
        <v>536.89</v>
      </c>
      <c r="AN6" s="3798">
        <v>536.89</v>
      </c>
      <c r="AO6" s="3798">
        <v>3501</v>
      </c>
      <c r="AP6" s="3798">
        <v>3501</v>
      </c>
      <c r="AQ6" s="3798" t="s">
        <v>3496</v>
      </c>
      <c r="AR6" s="3798" t="s">
        <v>3496</v>
      </c>
      <c r="AS6" s="3798">
        <v>0</v>
      </c>
      <c r="AT6" s="3798" t="s">
        <v>3501</v>
      </c>
      <c r="AU6" s="3798" t="s">
        <v>3493</v>
      </c>
      <c r="AV6" s="3798" t="s">
        <v>3496</v>
      </c>
      <c r="AW6" s="3798" t="s">
        <v>3493</v>
      </c>
      <c r="AX6" s="3798" t="s">
        <v>3496</v>
      </c>
      <c r="AY6" s="3798" t="s">
        <v>3496</v>
      </c>
      <c r="AZ6" s="3798" t="s">
        <v>3496</v>
      </c>
    </row>
    <row r="7" spans="1:52">
      <c r="A7" s="3798" t="s">
        <v>3534</v>
      </c>
      <c r="B7" s="3798" t="s">
        <v>3482</v>
      </c>
      <c r="C7" s="3798" t="s">
        <v>3535</v>
      </c>
      <c r="D7" s="3798" t="s">
        <v>3484</v>
      </c>
      <c r="E7" s="3798" t="s">
        <v>3485</v>
      </c>
      <c r="F7" s="3798" t="s">
        <v>3511</v>
      </c>
      <c r="G7" s="3798" t="s">
        <v>3536</v>
      </c>
      <c r="H7" s="3798" t="s">
        <v>3488</v>
      </c>
      <c r="I7" s="3798">
        <v>18008.84</v>
      </c>
      <c r="J7" s="3798">
        <v>54026.52</v>
      </c>
      <c r="K7" s="3798" t="s">
        <v>3537</v>
      </c>
      <c r="L7" s="3798" t="s">
        <v>3490</v>
      </c>
      <c r="M7" s="3798" t="s">
        <v>3491</v>
      </c>
      <c r="N7" s="3798" t="s">
        <v>3492</v>
      </c>
      <c r="O7" s="3798" t="s">
        <v>3493</v>
      </c>
      <c r="P7" s="3798" t="s">
        <v>3522</v>
      </c>
      <c r="Q7" s="3798" t="s">
        <v>3538</v>
      </c>
      <c r="R7" s="3798" t="s">
        <v>3496</v>
      </c>
      <c r="S7" s="3798" t="s">
        <v>3496</v>
      </c>
      <c r="T7" s="3798" t="s">
        <v>3496</v>
      </c>
      <c r="U7" s="3798" t="s">
        <v>3496</v>
      </c>
      <c r="V7" s="3798" t="s">
        <v>3496</v>
      </c>
      <c r="W7" s="3798" t="s">
        <v>3496</v>
      </c>
      <c r="X7" s="3798">
        <v>0</v>
      </c>
      <c r="Y7" s="3798">
        <v>0</v>
      </c>
      <c r="Z7" s="3801">
        <v>44742.000497685185</v>
      </c>
      <c r="AA7" s="3801">
        <v>44764.000497685185</v>
      </c>
      <c r="AB7" s="3801">
        <v>44775.000497685185</v>
      </c>
      <c r="AC7" s="3801">
        <v>44775.000497685185</v>
      </c>
      <c r="AD7" s="3798" t="s">
        <v>3539</v>
      </c>
      <c r="AE7" s="3798" t="s">
        <v>3498</v>
      </c>
      <c r="AF7" s="3798" t="s">
        <v>3540</v>
      </c>
      <c r="AG7" s="3798" t="s">
        <v>3496</v>
      </c>
      <c r="AH7" s="3798" t="s">
        <v>3496</v>
      </c>
      <c r="AI7" s="3798">
        <v>6500</v>
      </c>
      <c r="AJ7" s="3798">
        <v>1300</v>
      </c>
      <c r="AK7" s="3798" t="s">
        <v>3541</v>
      </c>
      <c r="AL7" s="3798">
        <v>6500</v>
      </c>
      <c r="AM7" s="3798">
        <v>240.62</v>
      </c>
      <c r="AN7" s="3798">
        <v>240.62</v>
      </c>
      <c r="AO7" s="3798">
        <v>1203</v>
      </c>
      <c r="AP7" s="3798">
        <v>1203</v>
      </c>
      <c r="AQ7" s="3798" t="s">
        <v>3496</v>
      </c>
      <c r="AR7" s="3798" t="s">
        <v>3496</v>
      </c>
      <c r="AS7" s="3798">
        <v>0</v>
      </c>
      <c r="AT7" s="3798" t="s">
        <v>3501</v>
      </c>
      <c r="AU7" s="3798" t="s">
        <v>3493</v>
      </c>
      <c r="AV7" s="3798" t="s">
        <v>3496</v>
      </c>
      <c r="AW7" s="3798" t="s">
        <v>3493</v>
      </c>
      <c r="AX7" s="3798" t="s">
        <v>3496</v>
      </c>
      <c r="AY7" s="3798" t="s">
        <v>3496</v>
      </c>
      <c r="AZ7" s="3798" t="s">
        <v>3496</v>
      </c>
    </row>
    <row r="8" spans="1:52" s="3454" customFormat="1">
      <c r="A8" s="3799" t="s">
        <v>3542</v>
      </c>
      <c r="B8" s="3799" t="s">
        <v>3482</v>
      </c>
      <c r="C8" s="3799" t="s">
        <v>3543</v>
      </c>
      <c r="D8" s="3799" t="s">
        <v>3484</v>
      </c>
      <c r="E8" s="3799" t="s">
        <v>3485</v>
      </c>
      <c r="F8" s="3799" t="s">
        <v>3504</v>
      </c>
      <c r="G8" s="3799" t="s">
        <v>3544</v>
      </c>
      <c r="H8" s="3799" t="s">
        <v>3488</v>
      </c>
      <c r="I8" s="3799">
        <v>14164.84</v>
      </c>
      <c r="J8" s="3799">
        <v>25496.71</v>
      </c>
      <c r="K8" s="3799" t="s">
        <v>3545</v>
      </c>
      <c r="L8" s="3799" t="s">
        <v>3490</v>
      </c>
      <c r="M8" s="3799" t="s">
        <v>3491</v>
      </c>
      <c r="N8" s="3799" t="s">
        <v>3492</v>
      </c>
      <c r="O8" s="3799" t="s">
        <v>3493</v>
      </c>
      <c r="P8" s="3799" t="s">
        <v>3546</v>
      </c>
      <c r="Q8" s="3799" t="s">
        <v>3495</v>
      </c>
      <c r="R8" s="3799" t="s">
        <v>3496</v>
      </c>
      <c r="S8" s="3799" t="s">
        <v>3496</v>
      </c>
      <c r="T8" s="3799" t="s">
        <v>3496</v>
      </c>
      <c r="U8" s="3799" t="s">
        <v>3496</v>
      </c>
      <c r="V8" s="3799" t="s">
        <v>3496</v>
      </c>
      <c r="W8" s="3799" t="s">
        <v>3496</v>
      </c>
      <c r="X8" s="3799">
        <v>0</v>
      </c>
      <c r="Y8" s="3799">
        <v>0</v>
      </c>
      <c r="Z8" s="3800">
        <v>44672.000497685185</v>
      </c>
      <c r="AA8" s="3800">
        <v>44694.000497685185</v>
      </c>
      <c r="AB8" s="3800">
        <v>44705.000497685185</v>
      </c>
      <c r="AC8" s="3800">
        <v>44705.000497685185</v>
      </c>
      <c r="AD8" s="3799" t="s">
        <v>3547</v>
      </c>
      <c r="AE8" s="3799" t="s">
        <v>3498</v>
      </c>
      <c r="AF8" s="3799" t="s">
        <v>3548</v>
      </c>
      <c r="AG8" s="3799" t="s">
        <v>3496</v>
      </c>
      <c r="AH8" s="3799" t="s">
        <v>3496</v>
      </c>
      <c r="AI8" s="3799">
        <v>4110</v>
      </c>
      <c r="AJ8" s="3799">
        <v>822</v>
      </c>
      <c r="AK8" s="3799" t="s">
        <v>3549</v>
      </c>
      <c r="AL8" s="3799">
        <v>4110</v>
      </c>
      <c r="AM8" s="3799">
        <v>193.44</v>
      </c>
      <c r="AN8" s="3799">
        <v>193.44</v>
      </c>
      <c r="AO8" s="3799">
        <v>1612</v>
      </c>
      <c r="AP8" s="3799">
        <v>1612</v>
      </c>
      <c r="AQ8" s="3799" t="s">
        <v>3496</v>
      </c>
      <c r="AR8" s="3799" t="s">
        <v>3496</v>
      </c>
      <c r="AS8" s="3799">
        <v>0</v>
      </c>
      <c r="AT8" s="3799" t="s">
        <v>3501</v>
      </c>
      <c r="AU8" s="3799" t="s">
        <v>3493</v>
      </c>
      <c r="AV8" s="3799" t="s">
        <v>3496</v>
      </c>
      <c r="AW8" s="3799" t="s">
        <v>3493</v>
      </c>
      <c r="AX8" s="3799" t="s">
        <v>3496</v>
      </c>
      <c r="AY8" s="3799" t="s">
        <v>3496</v>
      </c>
      <c r="AZ8" s="3799" t="s">
        <v>3496</v>
      </c>
    </row>
    <row r="9" spans="1:52" s="3455" customFormat="1">
      <c r="A9" s="3802" t="s">
        <v>3550</v>
      </c>
      <c r="B9" s="3802" t="s">
        <v>3482</v>
      </c>
      <c r="C9" s="3802" t="s">
        <v>3551</v>
      </c>
      <c r="D9" s="3802" t="s">
        <v>3484</v>
      </c>
      <c r="E9" s="3802" t="s">
        <v>3485</v>
      </c>
      <c r="F9" s="3802" t="s">
        <v>3511</v>
      </c>
      <c r="G9" s="3802" t="s">
        <v>3552</v>
      </c>
      <c r="H9" s="3802" t="s">
        <v>3488</v>
      </c>
      <c r="I9" s="3802">
        <v>26226.52</v>
      </c>
      <c r="J9" s="3802">
        <v>78679.56</v>
      </c>
      <c r="K9" s="3802" t="s">
        <v>3537</v>
      </c>
      <c r="L9" s="3802" t="s">
        <v>3490</v>
      </c>
      <c r="M9" s="3802" t="s">
        <v>3491</v>
      </c>
      <c r="N9" s="3802" t="s">
        <v>3492</v>
      </c>
      <c r="O9" s="3802" t="s">
        <v>3493</v>
      </c>
      <c r="P9" s="3802" t="s">
        <v>3522</v>
      </c>
      <c r="Q9" s="3802" t="s">
        <v>3514</v>
      </c>
      <c r="R9" s="3802" t="s">
        <v>3496</v>
      </c>
      <c r="S9" s="3802" t="s">
        <v>3496</v>
      </c>
      <c r="T9" s="3802" t="s">
        <v>3496</v>
      </c>
      <c r="U9" s="3802" t="s">
        <v>3496</v>
      </c>
      <c r="V9" s="3802" t="s">
        <v>3496</v>
      </c>
      <c r="W9" s="3802" t="s">
        <v>3496</v>
      </c>
      <c r="X9" s="3802">
        <v>0</v>
      </c>
      <c r="Y9" s="3802">
        <v>0</v>
      </c>
      <c r="Z9" s="3803">
        <v>44672.000497685185</v>
      </c>
      <c r="AA9" s="3803">
        <v>44694.000497685185</v>
      </c>
      <c r="AB9" s="3803">
        <v>44705.000497685185</v>
      </c>
      <c r="AC9" s="3803">
        <v>44705.000497685185</v>
      </c>
      <c r="AD9" s="3802" t="s">
        <v>3547</v>
      </c>
      <c r="AE9" s="3802" t="s">
        <v>3498</v>
      </c>
      <c r="AF9" s="3802" t="s">
        <v>3553</v>
      </c>
      <c r="AG9" s="3802" t="s">
        <v>3496</v>
      </c>
      <c r="AH9" s="3802" t="s">
        <v>3496</v>
      </c>
      <c r="AI9" s="3802">
        <v>9440</v>
      </c>
      <c r="AJ9" s="3802">
        <v>1888</v>
      </c>
      <c r="AK9" s="3802" t="s">
        <v>3549</v>
      </c>
      <c r="AL9" s="3802">
        <v>9440</v>
      </c>
      <c r="AM9" s="3802">
        <v>239.96</v>
      </c>
      <c r="AN9" s="3802">
        <v>239.96</v>
      </c>
      <c r="AO9" s="3802">
        <v>1200</v>
      </c>
      <c r="AP9" s="3802">
        <v>1200</v>
      </c>
      <c r="AQ9" s="3802" t="s">
        <v>3496</v>
      </c>
      <c r="AR9" s="3802" t="s">
        <v>3496</v>
      </c>
      <c r="AS9" s="3802">
        <v>0</v>
      </c>
      <c r="AT9" s="3802" t="s">
        <v>3501</v>
      </c>
      <c r="AU9" s="3802" t="s">
        <v>3493</v>
      </c>
      <c r="AV9" s="3802" t="s">
        <v>3496</v>
      </c>
      <c r="AW9" s="3802" t="s">
        <v>3493</v>
      </c>
      <c r="AX9" s="3802" t="s">
        <v>3496</v>
      </c>
      <c r="AY9" s="3802" t="s">
        <v>3496</v>
      </c>
      <c r="AZ9" s="3802" t="s">
        <v>3496</v>
      </c>
    </row>
    <row r="10" spans="1:52" s="3455" customFormat="1">
      <c r="A10" s="3802" t="s">
        <v>3554</v>
      </c>
      <c r="B10" s="3802" t="s">
        <v>3482</v>
      </c>
      <c r="C10" s="3802" t="s">
        <v>3555</v>
      </c>
      <c r="D10" s="3802" t="s">
        <v>3484</v>
      </c>
      <c r="E10" s="3802" t="s">
        <v>3485</v>
      </c>
      <c r="F10" s="3802" t="s">
        <v>3511</v>
      </c>
      <c r="G10" s="3802" t="s">
        <v>3556</v>
      </c>
      <c r="H10" s="3802" t="s">
        <v>3488</v>
      </c>
      <c r="I10" s="3802">
        <v>20308.900000000001</v>
      </c>
      <c r="J10" s="3802">
        <v>60926.7</v>
      </c>
      <c r="K10" s="3802" t="s">
        <v>3537</v>
      </c>
      <c r="L10" s="3802" t="s">
        <v>3490</v>
      </c>
      <c r="M10" s="3802" t="s">
        <v>3491</v>
      </c>
      <c r="N10" s="3802" t="s">
        <v>3492</v>
      </c>
      <c r="O10" s="3802" t="s">
        <v>3493</v>
      </c>
      <c r="P10" s="3802" t="s">
        <v>3522</v>
      </c>
      <c r="Q10" s="3802" t="s">
        <v>3514</v>
      </c>
      <c r="R10" s="3802" t="s">
        <v>3496</v>
      </c>
      <c r="S10" s="3802" t="s">
        <v>3496</v>
      </c>
      <c r="T10" s="3802" t="s">
        <v>3496</v>
      </c>
      <c r="U10" s="3802" t="s">
        <v>3496</v>
      </c>
      <c r="V10" s="3802" t="s">
        <v>3496</v>
      </c>
      <c r="W10" s="3802" t="s">
        <v>3496</v>
      </c>
      <c r="X10" s="3802">
        <v>0</v>
      </c>
      <c r="Y10" s="3802">
        <v>0</v>
      </c>
      <c r="Z10" s="3803">
        <v>44635.000497685185</v>
      </c>
      <c r="AA10" s="3803">
        <v>44657.000497685185</v>
      </c>
      <c r="AB10" s="3803">
        <v>44666.000497685185</v>
      </c>
      <c r="AC10" s="3803">
        <v>44666.000497685185</v>
      </c>
      <c r="AD10" s="3802" t="s">
        <v>3557</v>
      </c>
      <c r="AE10" s="3802" t="s">
        <v>3498</v>
      </c>
      <c r="AF10" s="3802" t="s">
        <v>3558</v>
      </c>
      <c r="AG10" s="3802" t="s">
        <v>3496</v>
      </c>
      <c r="AH10" s="3802" t="s">
        <v>3496</v>
      </c>
      <c r="AI10" s="3802">
        <v>3460</v>
      </c>
      <c r="AJ10" s="3802">
        <v>692</v>
      </c>
      <c r="AK10" s="3802" t="s">
        <v>3559</v>
      </c>
      <c r="AL10" s="3802">
        <v>3460</v>
      </c>
      <c r="AM10" s="3802">
        <v>113.58</v>
      </c>
      <c r="AN10" s="3802">
        <v>113.58</v>
      </c>
      <c r="AO10" s="3802">
        <v>568</v>
      </c>
      <c r="AP10" s="3802">
        <v>568</v>
      </c>
      <c r="AQ10" s="3802" t="s">
        <v>3496</v>
      </c>
      <c r="AR10" s="3802" t="s">
        <v>3496</v>
      </c>
      <c r="AS10" s="3802">
        <v>0</v>
      </c>
      <c r="AT10" s="3802" t="s">
        <v>3501</v>
      </c>
      <c r="AU10" s="3802" t="s">
        <v>3493</v>
      </c>
      <c r="AV10" s="3802" t="s">
        <v>3496</v>
      </c>
      <c r="AW10" s="3802" t="s">
        <v>3493</v>
      </c>
      <c r="AX10" s="3802" t="s">
        <v>3496</v>
      </c>
      <c r="AY10" s="3802" t="s">
        <v>3496</v>
      </c>
      <c r="AZ10" s="3802" t="s">
        <v>3496</v>
      </c>
    </row>
    <row r="11" spans="1:52" s="3455" customFormat="1">
      <c r="A11" s="3802" t="s">
        <v>3560</v>
      </c>
      <c r="B11" s="3802" t="s">
        <v>3482</v>
      </c>
      <c r="C11" s="3802" t="s">
        <v>3561</v>
      </c>
      <c r="D11" s="3802" t="s">
        <v>3484</v>
      </c>
      <c r="E11" s="3802" t="s">
        <v>3485</v>
      </c>
      <c r="F11" s="3802" t="s">
        <v>3511</v>
      </c>
      <c r="G11" s="3802" t="s">
        <v>3562</v>
      </c>
      <c r="H11" s="3802" t="s">
        <v>3488</v>
      </c>
      <c r="I11" s="3802">
        <v>9817.9</v>
      </c>
      <c r="J11" s="3802">
        <v>17672.22</v>
      </c>
      <c r="K11" s="3802" t="s">
        <v>3545</v>
      </c>
      <c r="L11" s="3802" t="s">
        <v>3490</v>
      </c>
      <c r="M11" s="3802" t="s">
        <v>3563</v>
      </c>
      <c r="N11" s="3802" t="s">
        <v>3492</v>
      </c>
      <c r="O11" s="3802" t="s">
        <v>3493</v>
      </c>
      <c r="P11" s="3802" t="s">
        <v>3522</v>
      </c>
      <c r="Q11" s="3802" t="s">
        <v>3564</v>
      </c>
      <c r="R11" s="3802" t="s">
        <v>3496</v>
      </c>
      <c r="S11" s="3802" t="s">
        <v>3496</v>
      </c>
      <c r="T11" s="3802" t="s">
        <v>3496</v>
      </c>
      <c r="U11" s="3802" t="s">
        <v>3496</v>
      </c>
      <c r="V11" s="3802">
        <v>0</v>
      </c>
      <c r="W11" s="3802">
        <v>0</v>
      </c>
      <c r="X11" s="3802">
        <v>0</v>
      </c>
      <c r="Y11" s="3802">
        <v>0</v>
      </c>
      <c r="Z11" s="3803">
        <v>44077.000497685185</v>
      </c>
      <c r="AA11" s="3803">
        <v>44096.000497685185</v>
      </c>
      <c r="AB11" s="3803">
        <v>44114.000497685185</v>
      </c>
      <c r="AC11" s="3803">
        <v>44114.000497685185</v>
      </c>
      <c r="AD11" s="3802" t="s">
        <v>3565</v>
      </c>
      <c r="AE11" s="3802" t="s">
        <v>3498</v>
      </c>
      <c r="AF11" s="3802" t="s">
        <v>3566</v>
      </c>
      <c r="AG11" s="3802" t="s">
        <v>3496</v>
      </c>
      <c r="AH11" s="3802" t="s">
        <v>3496</v>
      </c>
      <c r="AI11" s="3802">
        <v>1515</v>
      </c>
      <c r="AJ11" s="3802">
        <v>300</v>
      </c>
      <c r="AK11" s="3802" t="s">
        <v>3567</v>
      </c>
      <c r="AL11" s="3802">
        <v>2215</v>
      </c>
      <c r="AM11" s="3802">
        <v>102.87</v>
      </c>
      <c r="AN11" s="3802">
        <v>150.41</v>
      </c>
      <c r="AO11" s="3802">
        <v>857</v>
      </c>
      <c r="AP11" s="3802">
        <v>1253</v>
      </c>
      <c r="AQ11" s="3802" t="s">
        <v>3496</v>
      </c>
      <c r="AR11" s="3802" t="s">
        <v>3496</v>
      </c>
      <c r="AS11" s="3802">
        <v>46.2</v>
      </c>
      <c r="AT11" s="3802">
        <v>50</v>
      </c>
      <c r="AU11" s="3802" t="s">
        <v>3493</v>
      </c>
      <c r="AV11" s="3802" t="s">
        <v>3496</v>
      </c>
      <c r="AW11" s="3802" t="s">
        <v>3493</v>
      </c>
      <c r="AX11" s="3802" t="s">
        <v>3496</v>
      </c>
      <c r="AY11" s="3802" t="s">
        <v>3496</v>
      </c>
      <c r="AZ11" s="3802" t="s">
        <v>3496</v>
      </c>
    </row>
    <row r="12" spans="1:52" s="3455" customFormat="1">
      <c r="A12" s="3802" t="s">
        <v>3568</v>
      </c>
      <c r="B12" s="3802" t="s">
        <v>3482</v>
      </c>
      <c r="C12" s="3802" t="s">
        <v>3569</v>
      </c>
      <c r="D12" s="3802" t="s">
        <v>3484</v>
      </c>
      <c r="E12" s="3802" t="s">
        <v>3485</v>
      </c>
      <c r="F12" s="3802" t="s">
        <v>3570</v>
      </c>
      <c r="G12" s="3802" t="s">
        <v>3571</v>
      </c>
      <c r="H12" s="3802" t="s">
        <v>3488</v>
      </c>
      <c r="I12" s="3802">
        <v>15769.95</v>
      </c>
      <c r="J12" s="3802">
        <v>17346.95</v>
      </c>
      <c r="K12" s="3802" t="s">
        <v>3572</v>
      </c>
      <c r="L12" s="3802" t="s">
        <v>3490</v>
      </c>
      <c r="M12" s="3802" t="s">
        <v>3573</v>
      </c>
      <c r="N12" s="3802" t="s">
        <v>3492</v>
      </c>
      <c r="O12" s="3802" t="s">
        <v>3493</v>
      </c>
      <c r="P12" s="3802" t="s">
        <v>3574</v>
      </c>
      <c r="Q12" s="3802" t="s">
        <v>3575</v>
      </c>
      <c r="R12" s="3802" t="s">
        <v>3496</v>
      </c>
      <c r="S12" s="3802" t="s">
        <v>3496</v>
      </c>
      <c r="T12" s="3802" t="s">
        <v>3496</v>
      </c>
      <c r="U12" s="3802" t="s">
        <v>3496</v>
      </c>
      <c r="V12" s="3802">
        <v>0</v>
      </c>
      <c r="W12" s="3802">
        <v>0</v>
      </c>
      <c r="X12" s="3802">
        <v>0</v>
      </c>
      <c r="Y12" s="3802">
        <v>0</v>
      </c>
      <c r="Z12" s="3803">
        <v>43982.000497685185</v>
      </c>
      <c r="AA12" s="3803">
        <v>44005.000497685185</v>
      </c>
      <c r="AB12" s="3803">
        <v>44015.000497685185</v>
      </c>
      <c r="AC12" s="3803">
        <v>44015.000497685185</v>
      </c>
      <c r="AD12" s="3802" t="s">
        <v>3576</v>
      </c>
      <c r="AE12" s="3802" t="s">
        <v>3498</v>
      </c>
      <c r="AF12" s="3802" t="s">
        <v>3577</v>
      </c>
      <c r="AG12" s="3802" t="s">
        <v>3496</v>
      </c>
      <c r="AH12" s="3802" t="s">
        <v>3496</v>
      </c>
      <c r="AI12" s="3802">
        <v>4500</v>
      </c>
      <c r="AJ12" s="3802">
        <v>900</v>
      </c>
      <c r="AK12" s="3802" t="s">
        <v>3578</v>
      </c>
      <c r="AL12" s="3802">
        <v>4500</v>
      </c>
      <c r="AM12" s="3802">
        <v>190.24</v>
      </c>
      <c r="AN12" s="3802">
        <v>190.24</v>
      </c>
      <c r="AO12" s="3802">
        <v>2594</v>
      </c>
      <c r="AP12" s="3802">
        <v>2594</v>
      </c>
      <c r="AQ12" s="3802" t="s">
        <v>3496</v>
      </c>
      <c r="AR12" s="3802" t="s">
        <v>3496</v>
      </c>
      <c r="AS12" s="3802">
        <v>0</v>
      </c>
      <c r="AT12" s="3802">
        <v>50</v>
      </c>
      <c r="AU12" s="3802" t="s">
        <v>3493</v>
      </c>
      <c r="AV12" s="3802" t="s">
        <v>3496</v>
      </c>
      <c r="AW12" s="3802" t="s">
        <v>3493</v>
      </c>
      <c r="AX12" s="3802" t="s">
        <v>3496</v>
      </c>
      <c r="AY12" s="3802" t="s">
        <v>3496</v>
      </c>
      <c r="AZ12" s="3802" t="s">
        <v>3496</v>
      </c>
    </row>
    <row r="13" spans="1:52">
      <c r="A13" s="3798" t="s">
        <v>3579</v>
      </c>
      <c r="B13" s="3798" t="s">
        <v>3482</v>
      </c>
      <c r="C13" s="3798" t="s">
        <v>3580</v>
      </c>
      <c r="D13" s="3798" t="s">
        <v>3484</v>
      </c>
      <c r="E13" s="3798" t="s">
        <v>3485</v>
      </c>
      <c r="F13" s="3798" t="s">
        <v>3570</v>
      </c>
      <c r="G13" s="3798" t="s">
        <v>3581</v>
      </c>
      <c r="H13" s="3798" t="s">
        <v>3488</v>
      </c>
      <c r="I13" s="3798">
        <v>50676.160000000003</v>
      </c>
      <c r="J13" s="3798">
        <v>53209.97</v>
      </c>
      <c r="K13" s="3798" t="s">
        <v>3582</v>
      </c>
      <c r="L13" s="3798" t="s">
        <v>3490</v>
      </c>
      <c r="M13" s="3798" t="s">
        <v>3573</v>
      </c>
      <c r="N13" s="3798" t="s">
        <v>3492</v>
      </c>
      <c r="O13" s="3798" t="s">
        <v>3493</v>
      </c>
      <c r="P13" s="3798" t="s">
        <v>3583</v>
      </c>
      <c r="Q13" s="3798" t="s">
        <v>3584</v>
      </c>
      <c r="R13" s="3798" t="s">
        <v>3496</v>
      </c>
      <c r="S13" s="3798" t="s">
        <v>3496</v>
      </c>
      <c r="T13" s="3798" t="s">
        <v>3496</v>
      </c>
      <c r="U13" s="3798" t="s">
        <v>3496</v>
      </c>
      <c r="V13" s="3798">
        <v>0</v>
      </c>
      <c r="W13" s="3798">
        <v>0</v>
      </c>
      <c r="X13" s="3798">
        <v>0</v>
      </c>
      <c r="Y13" s="3798">
        <v>0</v>
      </c>
      <c r="Z13" s="3801">
        <v>43916.000497685185</v>
      </c>
      <c r="AA13" s="3801">
        <v>43941.000497685185</v>
      </c>
      <c r="AB13" s="3801">
        <v>43950.000497685185</v>
      </c>
      <c r="AC13" s="3801">
        <v>43950.000497685185</v>
      </c>
      <c r="AD13" s="3798" t="s">
        <v>3585</v>
      </c>
      <c r="AE13" s="3798" t="s">
        <v>3498</v>
      </c>
      <c r="AF13" s="3798" t="s">
        <v>3586</v>
      </c>
      <c r="AG13" s="3798" t="s">
        <v>3587</v>
      </c>
      <c r="AH13" s="3798" t="s">
        <v>3588</v>
      </c>
      <c r="AI13" s="3798">
        <v>11600</v>
      </c>
      <c r="AJ13" s="3798">
        <v>2320</v>
      </c>
      <c r="AK13" s="3798" t="s">
        <v>3589</v>
      </c>
      <c r="AL13" s="3798">
        <v>11600</v>
      </c>
      <c r="AM13" s="3798">
        <v>152.6</v>
      </c>
      <c r="AN13" s="3798">
        <v>152.6</v>
      </c>
      <c r="AO13" s="3798">
        <v>2180</v>
      </c>
      <c r="AP13" s="3798">
        <v>2180</v>
      </c>
      <c r="AQ13" s="3798" t="s">
        <v>3496</v>
      </c>
      <c r="AR13" s="3798" t="s">
        <v>3496</v>
      </c>
      <c r="AS13" s="3798">
        <v>0</v>
      </c>
      <c r="AT13" s="3798">
        <v>50</v>
      </c>
      <c r="AU13" s="3798" t="s">
        <v>3493</v>
      </c>
      <c r="AV13" s="3798" t="s">
        <v>3496</v>
      </c>
      <c r="AW13" s="3798" t="s">
        <v>3493</v>
      </c>
      <c r="AX13" s="3798" t="s">
        <v>3496</v>
      </c>
      <c r="AY13" s="3798" t="s">
        <v>3496</v>
      </c>
      <c r="AZ13" s="3798" t="s">
        <v>3496</v>
      </c>
    </row>
    <row r="14" spans="1:52">
      <c r="A14" s="3798" t="s">
        <v>3590</v>
      </c>
      <c r="B14" s="3798" t="s">
        <v>3482</v>
      </c>
      <c r="C14" s="3798" t="s">
        <v>3591</v>
      </c>
      <c r="D14" s="3798" t="s">
        <v>3484</v>
      </c>
      <c r="E14" s="3798" t="s">
        <v>3485</v>
      </c>
      <c r="F14" s="3798" t="s">
        <v>3570</v>
      </c>
      <c r="G14" s="3798" t="s">
        <v>3592</v>
      </c>
      <c r="H14" s="3798" t="s">
        <v>3488</v>
      </c>
      <c r="I14" s="3798">
        <v>13160.33</v>
      </c>
      <c r="J14" s="3798">
        <v>16450.41</v>
      </c>
      <c r="K14" s="3798" t="s">
        <v>3593</v>
      </c>
      <c r="L14" s="3798" t="s">
        <v>3490</v>
      </c>
      <c r="M14" s="3798" t="s">
        <v>3573</v>
      </c>
      <c r="N14" s="3798" t="s">
        <v>3492</v>
      </c>
      <c r="O14" s="3798" t="s">
        <v>3493</v>
      </c>
      <c r="P14" s="3798" t="s">
        <v>3494</v>
      </c>
      <c r="Q14" s="3798" t="s">
        <v>3584</v>
      </c>
      <c r="R14" s="3798" t="s">
        <v>3496</v>
      </c>
      <c r="S14" s="3798" t="s">
        <v>3496</v>
      </c>
      <c r="T14" s="3798" t="s">
        <v>3496</v>
      </c>
      <c r="U14" s="3798" t="s">
        <v>3496</v>
      </c>
      <c r="V14" s="3798">
        <v>0</v>
      </c>
      <c r="W14" s="3798">
        <v>0</v>
      </c>
      <c r="X14" s="3798">
        <v>0</v>
      </c>
      <c r="Y14" s="3798">
        <v>0</v>
      </c>
      <c r="Z14" s="3801">
        <v>43798.000497685185</v>
      </c>
      <c r="AA14" s="3801">
        <v>43819.000497685185</v>
      </c>
      <c r="AB14" s="3801">
        <v>43830.000497685185</v>
      </c>
      <c r="AC14" s="3801">
        <v>43830.000497685185</v>
      </c>
      <c r="AD14" s="3798" t="s">
        <v>3594</v>
      </c>
      <c r="AE14" s="3798" t="s">
        <v>3498</v>
      </c>
      <c r="AF14" s="3798" t="s">
        <v>3595</v>
      </c>
      <c r="AG14" s="3798" t="s">
        <v>3496</v>
      </c>
      <c r="AH14" s="3798" t="s">
        <v>3496</v>
      </c>
      <c r="AI14" s="3798">
        <v>3000</v>
      </c>
      <c r="AJ14" s="3798">
        <v>600</v>
      </c>
      <c r="AK14" s="3798" t="s">
        <v>3596</v>
      </c>
      <c r="AL14" s="3798">
        <v>3000</v>
      </c>
      <c r="AM14" s="3798">
        <v>151.97</v>
      </c>
      <c r="AN14" s="3798">
        <v>151.97</v>
      </c>
      <c r="AO14" s="3798">
        <v>1824</v>
      </c>
      <c r="AP14" s="3798">
        <v>1824</v>
      </c>
      <c r="AQ14" s="3798" t="s">
        <v>3496</v>
      </c>
      <c r="AR14" s="3798" t="s">
        <v>3496</v>
      </c>
      <c r="AS14" s="3798">
        <v>0</v>
      </c>
      <c r="AT14" s="3798">
        <v>50</v>
      </c>
      <c r="AU14" s="3798" t="s">
        <v>3493</v>
      </c>
      <c r="AV14" s="3798" t="s">
        <v>3496</v>
      </c>
      <c r="AW14" s="3798" t="s">
        <v>3493</v>
      </c>
      <c r="AX14" s="3798" t="s">
        <v>3496</v>
      </c>
      <c r="AY14" s="3798" t="s">
        <v>3496</v>
      </c>
      <c r="AZ14" s="3798" t="s">
        <v>3496</v>
      </c>
    </row>
    <row r="15" spans="1:52">
      <c r="A15" s="3798" t="s">
        <v>3597</v>
      </c>
      <c r="B15" s="3798" t="s">
        <v>3482</v>
      </c>
      <c r="C15" s="3798" t="s">
        <v>3598</v>
      </c>
      <c r="D15" s="3798" t="s">
        <v>3484</v>
      </c>
      <c r="E15" s="3798" t="s">
        <v>3485</v>
      </c>
      <c r="F15" s="3798" t="s">
        <v>3599</v>
      </c>
      <c r="G15" s="3798" t="s">
        <v>3600</v>
      </c>
      <c r="H15" s="3798" t="s">
        <v>3488</v>
      </c>
      <c r="I15" s="3798">
        <v>23161.34</v>
      </c>
      <c r="J15" s="3798">
        <v>46322.68</v>
      </c>
      <c r="K15" s="3798" t="s">
        <v>3601</v>
      </c>
      <c r="L15" s="3798" t="s">
        <v>3490</v>
      </c>
      <c r="M15" s="3798" t="s">
        <v>3602</v>
      </c>
      <c r="N15" s="3798" t="s">
        <v>3492</v>
      </c>
      <c r="O15" s="3798" t="s">
        <v>3493</v>
      </c>
      <c r="P15" s="3798" t="s">
        <v>3494</v>
      </c>
      <c r="Q15" s="3798" t="s">
        <v>3495</v>
      </c>
      <c r="R15" s="3798" t="s">
        <v>3496</v>
      </c>
      <c r="S15" s="3798" t="s">
        <v>3496</v>
      </c>
      <c r="T15" s="3798" t="s">
        <v>3496</v>
      </c>
      <c r="U15" s="3798" t="s">
        <v>3496</v>
      </c>
      <c r="V15" s="3798">
        <v>0</v>
      </c>
      <c r="W15" s="3798">
        <v>0</v>
      </c>
      <c r="X15" s="3798">
        <v>0</v>
      </c>
      <c r="Y15" s="3798">
        <v>0</v>
      </c>
      <c r="Z15" s="3801">
        <v>43655.000497685185</v>
      </c>
      <c r="AA15" s="3801">
        <v>43675.000497685185</v>
      </c>
      <c r="AB15" s="3801">
        <v>43684.000497685185</v>
      </c>
      <c r="AC15" s="3801">
        <v>43684.000497685185</v>
      </c>
      <c r="AD15" s="3798" t="s">
        <v>3603</v>
      </c>
      <c r="AE15" s="3798" t="s">
        <v>3498</v>
      </c>
      <c r="AF15" s="3798" t="s">
        <v>3604</v>
      </c>
      <c r="AG15" s="3798" t="s">
        <v>3496</v>
      </c>
      <c r="AH15" s="3798" t="s">
        <v>3496</v>
      </c>
      <c r="AI15" s="3798">
        <v>5250</v>
      </c>
      <c r="AJ15" s="3798">
        <v>1050</v>
      </c>
      <c r="AK15" s="3798" t="s">
        <v>3605</v>
      </c>
      <c r="AL15" s="3798">
        <v>5250</v>
      </c>
      <c r="AM15" s="3798">
        <v>151.11000000000001</v>
      </c>
      <c r="AN15" s="3798">
        <v>151.11000000000001</v>
      </c>
      <c r="AO15" s="3798">
        <v>1133</v>
      </c>
      <c r="AP15" s="3798">
        <v>1133</v>
      </c>
      <c r="AQ15" s="3798" t="s">
        <v>3496</v>
      </c>
      <c r="AR15" s="3798" t="s">
        <v>3496</v>
      </c>
      <c r="AS15" s="3798">
        <v>0</v>
      </c>
      <c r="AT15" s="3798">
        <v>50</v>
      </c>
      <c r="AU15" s="3798" t="s">
        <v>3493</v>
      </c>
      <c r="AV15" s="3798" t="s">
        <v>3496</v>
      </c>
      <c r="AW15" s="3798" t="s">
        <v>3493</v>
      </c>
      <c r="AX15" s="3798" t="s">
        <v>3496</v>
      </c>
      <c r="AY15" s="3798" t="s">
        <v>3496</v>
      </c>
      <c r="AZ15" s="3798" t="s">
        <v>3496</v>
      </c>
    </row>
    <row r="16" spans="1:52">
      <c r="A16" s="3798" t="s">
        <v>3606</v>
      </c>
      <c r="B16" s="3798" t="s">
        <v>3482</v>
      </c>
      <c r="C16" s="3798" t="s">
        <v>3607</v>
      </c>
      <c r="D16" s="3798" t="s">
        <v>3484</v>
      </c>
      <c r="E16" s="3798" t="s">
        <v>3485</v>
      </c>
      <c r="F16" s="3798" t="s">
        <v>3511</v>
      </c>
      <c r="G16" s="3798" t="s">
        <v>3608</v>
      </c>
      <c r="H16" s="3798" t="s">
        <v>3488</v>
      </c>
      <c r="I16" s="3798">
        <v>33578.639999999999</v>
      </c>
      <c r="J16" s="3798">
        <v>43652.23</v>
      </c>
      <c r="K16" s="3798" t="s">
        <v>3609</v>
      </c>
      <c r="L16" s="3798" t="s">
        <v>3490</v>
      </c>
      <c r="M16" s="3798" t="s">
        <v>3563</v>
      </c>
      <c r="N16" s="3798" t="s">
        <v>3492</v>
      </c>
      <c r="O16" s="3798" t="s">
        <v>3493</v>
      </c>
      <c r="P16" s="3798" t="s">
        <v>3546</v>
      </c>
      <c r="Q16" s="3798">
        <v>0</v>
      </c>
      <c r="R16" s="3798" t="s">
        <v>3496</v>
      </c>
      <c r="S16" s="3798" t="s">
        <v>3496</v>
      </c>
      <c r="T16" s="3798" t="s">
        <v>3496</v>
      </c>
      <c r="U16" s="3798" t="s">
        <v>3496</v>
      </c>
      <c r="V16" s="3798">
        <v>0</v>
      </c>
      <c r="W16" s="3798">
        <v>0</v>
      </c>
      <c r="X16" s="3798">
        <v>0</v>
      </c>
      <c r="Y16" s="3798">
        <v>0</v>
      </c>
      <c r="Z16" s="3801">
        <v>43448.000497685185</v>
      </c>
      <c r="AA16" s="3801">
        <v>43469.000497685185</v>
      </c>
      <c r="AB16" s="3801">
        <v>43481.000497685185</v>
      </c>
      <c r="AC16" s="3801">
        <v>43481.000497685185</v>
      </c>
      <c r="AD16" s="3798" t="s">
        <v>3610</v>
      </c>
      <c r="AE16" s="3798" t="s">
        <v>3498</v>
      </c>
      <c r="AF16" s="3798" t="s">
        <v>3611</v>
      </c>
      <c r="AG16" s="3798" t="s">
        <v>3496</v>
      </c>
      <c r="AH16" s="3798" t="s">
        <v>3496</v>
      </c>
      <c r="AI16" s="3798">
        <v>9100</v>
      </c>
      <c r="AJ16" s="3798">
        <v>1820</v>
      </c>
      <c r="AK16" s="3798" t="s">
        <v>633</v>
      </c>
      <c r="AL16" s="3798">
        <v>9470</v>
      </c>
      <c r="AM16" s="3798">
        <v>180.67</v>
      </c>
      <c r="AN16" s="3798">
        <v>188.02</v>
      </c>
      <c r="AO16" s="3798">
        <v>2085</v>
      </c>
      <c r="AP16" s="3798">
        <v>2169</v>
      </c>
      <c r="AQ16" s="3798" t="s">
        <v>3496</v>
      </c>
      <c r="AR16" s="3798" t="s">
        <v>3496</v>
      </c>
      <c r="AS16" s="3798">
        <v>4.07</v>
      </c>
      <c r="AT16" s="3798">
        <v>50</v>
      </c>
      <c r="AU16" s="3798" t="s">
        <v>3493</v>
      </c>
      <c r="AV16" s="3798" t="s">
        <v>3496</v>
      </c>
      <c r="AW16" s="3798" t="s">
        <v>3493</v>
      </c>
      <c r="AX16" s="3798" t="s">
        <v>3496</v>
      </c>
      <c r="AY16" s="3798" t="s">
        <v>3496</v>
      </c>
      <c r="AZ16" s="3798" t="s">
        <v>3496</v>
      </c>
    </row>
    <row r="17" spans="1:52">
      <c r="A17" s="3798" t="s">
        <v>3612</v>
      </c>
      <c r="B17" s="3798" t="s">
        <v>3482</v>
      </c>
      <c r="C17" s="3798" t="s">
        <v>3613</v>
      </c>
      <c r="D17" s="3798" t="s">
        <v>3484</v>
      </c>
      <c r="E17" s="3798" t="s">
        <v>3485</v>
      </c>
      <c r="F17" s="3798" t="s">
        <v>3614</v>
      </c>
      <c r="G17" s="3798" t="s">
        <v>3615</v>
      </c>
      <c r="H17" s="3798" t="s">
        <v>3488</v>
      </c>
      <c r="I17" s="3798">
        <v>3002.74</v>
      </c>
      <c r="J17" s="3798">
        <v>7506.85</v>
      </c>
      <c r="K17" s="3798" t="s">
        <v>3616</v>
      </c>
      <c r="L17" s="3798" t="s">
        <v>3490</v>
      </c>
      <c r="M17" s="3798" t="s">
        <v>3617</v>
      </c>
      <c r="N17" s="3798" t="s">
        <v>3492</v>
      </c>
      <c r="O17" s="3798" t="s">
        <v>3493</v>
      </c>
      <c r="P17" s="3798" t="s">
        <v>3618</v>
      </c>
      <c r="Q17" s="3798" t="s">
        <v>3619</v>
      </c>
      <c r="R17" s="3798" t="s">
        <v>3496</v>
      </c>
      <c r="S17" s="3798" t="s">
        <v>3496</v>
      </c>
      <c r="T17" s="3798" t="s">
        <v>3496</v>
      </c>
      <c r="U17" s="3798" t="s">
        <v>3496</v>
      </c>
      <c r="V17" s="3798">
        <v>0</v>
      </c>
      <c r="W17" s="3798">
        <v>0</v>
      </c>
      <c r="X17" s="3798">
        <v>0</v>
      </c>
      <c r="Y17" s="3798">
        <v>0</v>
      </c>
      <c r="Z17" s="3801">
        <v>42383.000497685185</v>
      </c>
      <c r="AA17" s="3801">
        <v>42402.000497685185</v>
      </c>
      <c r="AB17" s="3801">
        <v>42419.000497685185</v>
      </c>
      <c r="AC17" s="3801">
        <v>42419.000497685185</v>
      </c>
      <c r="AD17" s="3798" t="s">
        <v>3620</v>
      </c>
      <c r="AE17" s="3798" t="s">
        <v>3498</v>
      </c>
      <c r="AF17" s="3798" t="s">
        <v>3621</v>
      </c>
      <c r="AG17" s="3798" t="s">
        <v>3496</v>
      </c>
      <c r="AH17" s="3798" t="s">
        <v>3496</v>
      </c>
      <c r="AI17" s="3798">
        <v>185</v>
      </c>
      <c r="AJ17" s="3798">
        <v>37</v>
      </c>
      <c r="AK17" s="3798" t="s">
        <v>633</v>
      </c>
      <c r="AL17" s="3798">
        <v>185</v>
      </c>
      <c r="AM17" s="3798">
        <v>41.07</v>
      </c>
      <c r="AN17" s="3798">
        <v>41.07</v>
      </c>
      <c r="AO17" s="3798">
        <v>246</v>
      </c>
      <c r="AP17" s="3798">
        <v>246</v>
      </c>
      <c r="AQ17" s="3798" t="s">
        <v>3496</v>
      </c>
      <c r="AR17" s="3798" t="s">
        <v>3496</v>
      </c>
      <c r="AS17" s="3798">
        <v>0</v>
      </c>
      <c r="AT17" s="3798">
        <v>50</v>
      </c>
      <c r="AU17" s="3798" t="s">
        <v>3493</v>
      </c>
      <c r="AV17" s="3798" t="s">
        <v>3496</v>
      </c>
      <c r="AW17" s="3798" t="s">
        <v>3493</v>
      </c>
      <c r="AX17" s="3798" t="s">
        <v>3496</v>
      </c>
      <c r="AY17" s="3798" t="s">
        <v>3496</v>
      </c>
      <c r="AZ17" s="3798" t="s">
        <v>3496</v>
      </c>
    </row>
    <row r="18" spans="1:52">
      <c r="A18" s="3798" t="s">
        <v>3622</v>
      </c>
      <c r="B18" s="3798" t="s">
        <v>3482</v>
      </c>
      <c r="C18" s="3798" t="s">
        <v>3623</v>
      </c>
      <c r="D18" s="3798" t="s">
        <v>3484</v>
      </c>
      <c r="E18" s="3798" t="s">
        <v>3485</v>
      </c>
      <c r="F18" s="3798" t="s">
        <v>3614</v>
      </c>
      <c r="G18" s="3798" t="s">
        <v>3624</v>
      </c>
      <c r="H18" s="3798" t="s">
        <v>3488</v>
      </c>
      <c r="I18" s="3798">
        <v>33789.53</v>
      </c>
      <c r="J18" s="3798">
        <v>50684.3</v>
      </c>
      <c r="K18" s="3798" t="s">
        <v>3625</v>
      </c>
      <c r="L18" s="3798" t="s">
        <v>3490</v>
      </c>
      <c r="M18" s="3798" t="s">
        <v>3617</v>
      </c>
      <c r="N18" s="3798" t="s">
        <v>3492</v>
      </c>
      <c r="O18" s="3798" t="s">
        <v>3493</v>
      </c>
      <c r="P18" s="3798" t="s">
        <v>3583</v>
      </c>
      <c r="Q18" s="3798" t="s">
        <v>3495</v>
      </c>
      <c r="R18" s="3798" t="s">
        <v>3496</v>
      </c>
      <c r="S18" s="3798" t="s">
        <v>3496</v>
      </c>
      <c r="T18" s="3798" t="s">
        <v>3496</v>
      </c>
      <c r="U18" s="3798" t="s">
        <v>3496</v>
      </c>
      <c r="V18" s="3798">
        <v>0</v>
      </c>
      <c r="W18" s="3798">
        <v>0</v>
      </c>
      <c r="X18" s="3798">
        <v>0</v>
      </c>
      <c r="Y18" s="3798">
        <v>0</v>
      </c>
      <c r="Z18" s="3801">
        <v>42383.000497685185</v>
      </c>
      <c r="AA18" s="3801">
        <v>42402.000497685185</v>
      </c>
      <c r="AB18" s="3801">
        <v>42419.000497685185</v>
      </c>
      <c r="AC18" s="3801">
        <v>42419.000497685185</v>
      </c>
      <c r="AD18" s="3798" t="s">
        <v>3626</v>
      </c>
      <c r="AE18" s="3798" t="s">
        <v>3498</v>
      </c>
      <c r="AF18" s="3798" t="s">
        <v>3621</v>
      </c>
      <c r="AG18" s="3798" t="s">
        <v>3496</v>
      </c>
      <c r="AH18" s="3798" t="s">
        <v>3496</v>
      </c>
      <c r="AI18" s="3798">
        <v>2030</v>
      </c>
      <c r="AJ18" s="3798">
        <v>406</v>
      </c>
      <c r="AK18" s="3798" t="s">
        <v>633</v>
      </c>
      <c r="AL18" s="3798">
        <v>2030</v>
      </c>
      <c r="AM18" s="3798">
        <v>40.049999999999997</v>
      </c>
      <c r="AN18" s="3798">
        <v>40.049999999999997</v>
      </c>
      <c r="AO18" s="3798">
        <v>401</v>
      </c>
      <c r="AP18" s="3798">
        <v>401</v>
      </c>
      <c r="AQ18" s="3798" t="s">
        <v>3496</v>
      </c>
      <c r="AR18" s="3798" t="s">
        <v>3496</v>
      </c>
      <c r="AS18" s="3798">
        <v>0</v>
      </c>
      <c r="AT18" s="3798">
        <v>50</v>
      </c>
      <c r="AU18" s="3798" t="s">
        <v>3493</v>
      </c>
      <c r="AV18" s="3798" t="s">
        <v>3496</v>
      </c>
      <c r="AW18" s="3798" t="s">
        <v>3493</v>
      </c>
      <c r="AX18" s="3798" t="s">
        <v>3496</v>
      </c>
      <c r="AY18" s="3798" t="s">
        <v>3496</v>
      </c>
      <c r="AZ18" s="3798" t="s">
        <v>3496</v>
      </c>
    </row>
    <row r="19" spans="1:52">
      <c r="A19" s="3798" t="s">
        <v>3627</v>
      </c>
      <c r="B19" s="3798" t="s">
        <v>3482</v>
      </c>
      <c r="C19" s="3798" t="s">
        <v>3628</v>
      </c>
      <c r="D19" s="3798" t="s">
        <v>3484</v>
      </c>
      <c r="E19" s="3798" t="s">
        <v>3485</v>
      </c>
      <c r="F19" s="3798" t="s">
        <v>3614</v>
      </c>
      <c r="G19" s="3798" t="s">
        <v>3629</v>
      </c>
      <c r="H19" s="3798" t="s">
        <v>3488</v>
      </c>
      <c r="I19" s="3798">
        <v>5469.83</v>
      </c>
      <c r="J19" s="3798">
        <v>5469.83</v>
      </c>
      <c r="K19" s="3798" t="s">
        <v>3630</v>
      </c>
      <c r="L19" s="3798" t="s">
        <v>3490</v>
      </c>
      <c r="M19" s="3798" t="s">
        <v>3617</v>
      </c>
      <c r="N19" s="3798" t="s">
        <v>3492</v>
      </c>
      <c r="O19" s="3798" t="s">
        <v>3493</v>
      </c>
      <c r="P19" s="3798" t="s">
        <v>3618</v>
      </c>
      <c r="Q19" s="3798" t="s">
        <v>3495</v>
      </c>
      <c r="R19" s="3798" t="s">
        <v>3496</v>
      </c>
      <c r="S19" s="3798" t="s">
        <v>3496</v>
      </c>
      <c r="T19" s="3798" t="s">
        <v>3496</v>
      </c>
      <c r="U19" s="3798" t="s">
        <v>3496</v>
      </c>
      <c r="V19" s="3798">
        <v>0</v>
      </c>
      <c r="W19" s="3798">
        <v>0</v>
      </c>
      <c r="X19" s="3798">
        <v>0</v>
      </c>
      <c r="Y19" s="3798">
        <v>0</v>
      </c>
      <c r="Z19" s="3801">
        <v>42383.000497685185</v>
      </c>
      <c r="AA19" s="3801">
        <v>42402.000497685185</v>
      </c>
      <c r="AB19" s="3801">
        <v>42419.000497685185</v>
      </c>
      <c r="AC19" s="3801">
        <v>42419.000497685185</v>
      </c>
      <c r="AD19" s="3798" t="s">
        <v>3631</v>
      </c>
      <c r="AE19" s="3798" t="s">
        <v>3498</v>
      </c>
      <c r="AF19" s="3798" t="s">
        <v>3621</v>
      </c>
      <c r="AG19" s="3798" t="s">
        <v>3496</v>
      </c>
      <c r="AH19" s="3798" t="s">
        <v>3496</v>
      </c>
      <c r="AI19" s="3798">
        <v>330</v>
      </c>
      <c r="AJ19" s="3798">
        <v>66</v>
      </c>
      <c r="AK19" s="3798" t="s">
        <v>633</v>
      </c>
      <c r="AL19" s="3798">
        <v>330</v>
      </c>
      <c r="AM19" s="3798">
        <v>40.22</v>
      </c>
      <c r="AN19" s="3798">
        <v>40.22</v>
      </c>
      <c r="AO19" s="3798">
        <v>603</v>
      </c>
      <c r="AP19" s="3798">
        <v>603</v>
      </c>
      <c r="AQ19" s="3798" t="s">
        <v>3496</v>
      </c>
      <c r="AR19" s="3798" t="s">
        <v>3496</v>
      </c>
      <c r="AS19" s="3798">
        <v>0</v>
      </c>
      <c r="AT19" s="3798">
        <v>50</v>
      </c>
      <c r="AU19" s="3798" t="s">
        <v>3493</v>
      </c>
      <c r="AV19" s="3798" t="s">
        <v>3496</v>
      </c>
      <c r="AW19" s="3798" t="s">
        <v>3493</v>
      </c>
      <c r="AX19" s="3798" t="s">
        <v>3496</v>
      </c>
      <c r="AY19" s="3798" t="s">
        <v>3496</v>
      </c>
      <c r="AZ19" s="3798" t="s">
        <v>3496</v>
      </c>
    </row>
    <row r="20" spans="1:52">
      <c r="A20" s="3798" t="s">
        <v>3632</v>
      </c>
      <c r="B20" s="3798" t="s">
        <v>3482</v>
      </c>
      <c r="C20" s="3798" t="s">
        <v>3633</v>
      </c>
      <c r="D20" s="3798" t="s">
        <v>3484</v>
      </c>
      <c r="E20" s="3798" t="s">
        <v>3485</v>
      </c>
      <c r="F20" s="3798" t="s">
        <v>3614</v>
      </c>
      <c r="G20" s="3798" t="s">
        <v>3615</v>
      </c>
      <c r="H20" s="3798" t="s">
        <v>3488</v>
      </c>
      <c r="I20" s="3798">
        <v>1819.24</v>
      </c>
      <c r="J20" s="3798">
        <v>3638.48</v>
      </c>
      <c r="K20" s="3798" t="s">
        <v>3634</v>
      </c>
      <c r="L20" s="3798" t="s">
        <v>3490</v>
      </c>
      <c r="M20" s="3798" t="s">
        <v>3617</v>
      </c>
      <c r="N20" s="3798" t="s">
        <v>3492</v>
      </c>
      <c r="O20" s="3798" t="s">
        <v>3493</v>
      </c>
      <c r="P20" s="3798" t="s">
        <v>3618</v>
      </c>
      <c r="Q20" s="3798" t="s">
        <v>3495</v>
      </c>
      <c r="R20" s="3798" t="s">
        <v>3496</v>
      </c>
      <c r="S20" s="3798" t="s">
        <v>3496</v>
      </c>
      <c r="T20" s="3798" t="s">
        <v>3496</v>
      </c>
      <c r="U20" s="3798" t="s">
        <v>3496</v>
      </c>
      <c r="V20" s="3798">
        <v>0</v>
      </c>
      <c r="W20" s="3798">
        <v>0</v>
      </c>
      <c r="X20" s="3798">
        <v>0</v>
      </c>
      <c r="Y20" s="3798">
        <v>0</v>
      </c>
      <c r="Z20" s="3801">
        <v>42383.000497685185</v>
      </c>
      <c r="AA20" s="3801">
        <v>42402.000497685185</v>
      </c>
      <c r="AB20" s="3801">
        <v>42419.000497685185</v>
      </c>
      <c r="AC20" s="3801">
        <v>42419.000497685185</v>
      </c>
      <c r="AD20" s="3798" t="s">
        <v>3635</v>
      </c>
      <c r="AE20" s="3798" t="s">
        <v>3498</v>
      </c>
      <c r="AF20" s="3798" t="s">
        <v>3621</v>
      </c>
      <c r="AG20" s="3798" t="s">
        <v>3496</v>
      </c>
      <c r="AH20" s="3798" t="s">
        <v>3496</v>
      </c>
      <c r="AI20" s="3798">
        <v>110</v>
      </c>
      <c r="AJ20" s="3798">
        <v>22</v>
      </c>
      <c r="AK20" s="3798" t="s">
        <v>633</v>
      </c>
      <c r="AL20" s="3798">
        <v>110</v>
      </c>
      <c r="AM20" s="3798">
        <v>40.31</v>
      </c>
      <c r="AN20" s="3798">
        <v>40.31</v>
      </c>
      <c r="AO20" s="3798">
        <v>302</v>
      </c>
      <c r="AP20" s="3798">
        <v>302</v>
      </c>
      <c r="AQ20" s="3798" t="s">
        <v>3496</v>
      </c>
      <c r="AR20" s="3798" t="s">
        <v>3496</v>
      </c>
      <c r="AS20" s="3798">
        <v>0</v>
      </c>
      <c r="AT20" s="3798">
        <v>50</v>
      </c>
      <c r="AU20" s="3798" t="s">
        <v>3493</v>
      </c>
      <c r="AV20" s="3798" t="s">
        <v>3496</v>
      </c>
      <c r="AW20" s="3798" t="s">
        <v>3493</v>
      </c>
      <c r="AX20" s="3798" t="s">
        <v>3496</v>
      </c>
      <c r="AY20" s="3798" t="s">
        <v>3496</v>
      </c>
      <c r="AZ20" s="3798" t="s">
        <v>3496</v>
      </c>
    </row>
    <row r="21" spans="1:52">
      <c r="A21" s="3798" t="s">
        <v>3636</v>
      </c>
      <c r="B21" s="3798" t="s">
        <v>3482</v>
      </c>
      <c r="C21" s="3798" t="s">
        <v>3637</v>
      </c>
      <c r="D21" s="3798" t="s">
        <v>3484</v>
      </c>
      <c r="E21" s="3798" t="s">
        <v>3485</v>
      </c>
      <c r="F21" s="3798" t="s">
        <v>3638</v>
      </c>
      <c r="G21" s="3798" t="s">
        <v>3639</v>
      </c>
      <c r="H21" s="3798" t="s">
        <v>3488</v>
      </c>
      <c r="I21" s="3798">
        <v>39374.080000000002</v>
      </c>
      <c r="J21" s="3798">
        <v>102372.61</v>
      </c>
      <c r="K21" s="3798" t="s">
        <v>3640</v>
      </c>
      <c r="L21" s="3798" t="s">
        <v>3490</v>
      </c>
      <c r="M21" s="3798" t="s">
        <v>3563</v>
      </c>
      <c r="N21" s="3798" t="s">
        <v>3492</v>
      </c>
      <c r="O21" s="3798" t="s">
        <v>3493</v>
      </c>
      <c r="P21" s="3798" t="s">
        <v>3618</v>
      </c>
      <c r="Q21" s="3798" t="s">
        <v>3641</v>
      </c>
      <c r="R21" s="3798" t="s">
        <v>3496</v>
      </c>
      <c r="S21" s="3798" t="s">
        <v>3496</v>
      </c>
      <c r="T21" s="3798" t="s">
        <v>3496</v>
      </c>
      <c r="U21" s="3798" t="s">
        <v>3496</v>
      </c>
      <c r="V21" s="3798" t="s">
        <v>3496</v>
      </c>
      <c r="W21" s="3798" t="s">
        <v>3496</v>
      </c>
      <c r="X21" s="3798">
        <v>0</v>
      </c>
      <c r="Y21" s="3798">
        <v>0</v>
      </c>
      <c r="Z21" s="3801">
        <v>42319.000497685185</v>
      </c>
      <c r="AA21" s="3801">
        <v>42339.000497685185</v>
      </c>
      <c r="AB21" s="3801">
        <v>42349.000497685185</v>
      </c>
      <c r="AC21" s="3801">
        <v>42349.000497685185</v>
      </c>
      <c r="AD21" s="3798" t="s">
        <v>3642</v>
      </c>
      <c r="AE21" s="3798" t="s">
        <v>3498</v>
      </c>
      <c r="AF21" s="3798" t="s">
        <v>3643</v>
      </c>
      <c r="AG21" s="3798" t="s">
        <v>3496</v>
      </c>
      <c r="AH21" s="3798" t="s">
        <v>3496</v>
      </c>
      <c r="AI21" s="3798">
        <v>2535</v>
      </c>
      <c r="AJ21" s="3798">
        <v>507</v>
      </c>
      <c r="AK21" s="3798" t="s">
        <v>633</v>
      </c>
      <c r="AL21" s="3798">
        <v>2535</v>
      </c>
      <c r="AM21" s="3798">
        <v>42.92</v>
      </c>
      <c r="AN21" s="3798">
        <v>42.92</v>
      </c>
      <c r="AO21" s="3798">
        <v>248</v>
      </c>
      <c r="AP21" s="3798">
        <v>248</v>
      </c>
      <c r="AQ21" s="3798" t="s">
        <v>3496</v>
      </c>
      <c r="AR21" s="3798" t="s">
        <v>3496</v>
      </c>
      <c r="AS21" s="3798">
        <v>0</v>
      </c>
      <c r="AT21" s="3798">
        <v>50</v>
      </c>
      <c r="AU21" s="3798" t="s">
        <v>3493</v>
      </c>
      <c r="AV21" s="3798" t="s">
        <v>3496</v>
      </c>
      <c r="AW21" s="3798" t="s">
        <v>3493</v>
      </c>
      <c r="AX21" s="3798" t="s">
        <v>3496</v>
      </c>
      <c r="AY21" s="3798" t="s">
        <v>3496</v>
      </c>
      <c r="AZ21" s="3798" t="s">
        <v>3496</v>
      </c>
    </row>
    <row r="22" spans="1:52">
      <c r="A22" s="3798" t="s">
        <v>3644</v>
      </c>
      <c r="B22" s="3798" t="s">
        <v>3482</v>
      </c>
      <c r="C22" s="3798" t="s">
        <v>3645</v>
      </c>
      <c r="D22" s="3798" t="s">
        <v>3484</v>
      </c>
      <c r="E22" s="3798" t="s">
        <v>3485</v>
      </c>
      <c r="F22" s="3798" t="s">
        <v>3638</v>
      </c>
      <c r="G22" s="3798" t="s">
        <v>3646</v>
      </c>
      <c r="H22" s="3798" t="s">
        <v>3488</v>
      </c>
      <c r="I22" s="3798">
        <v>93147.05</v>
      </c>
      <c r="J22" s="3798">
        <v>204923.51</v>
      </c>
      <c r="K22" s="3798" t="s">
        <v>3647</v>
      </c>
      <c r="L22" s="3798" t="s">
        <v>3490</v>
      </c>
      <c r="M22" s="3798" t="s">
        <v>3563</v>
      </c>
      <c r="N22" s="3798" t="s">
        <v>3492</v>
      </c>
      <c r="O22" s="3798" t="s">
        <v>3493</v>
      </c>
      <c r="P22" s="3798" t="s">
        <v>3583</v>
      </c>
      <c r="Q22" s="3798" t="s">
        <v>3648</v>
      </c>
      <c r="R22" s="3798" t="s">
        <v>3496</v>
      </c>
      <c r="S22" s="3798" t="s">
        <v>3496</v>
      </c>
      <c r="T22" s="3798" t="s">
        <v>3496</v>
      </c>
      <c r="U22" s="3798" t="s">
        <v>3496</v>
      </c>
      <c r="V22" s="3798" t="s">
        <v>3496</v>
      </c>
      <c r="W22" s="3798" t="s">
        <v>3496</v>
      </c>
      <c r="X22" s="3798">
        <v>0</v>
      </c>
      <c r="Y22" s="3798">
        <v>0</v>
      </c>
      <c r="Z22" s="3801">
        <v>42265.000497685185</v>
      </c>
      <c r="AA22" s="3801">
        <v>42286.000497685185</v>
      </c>
      <c r="AB22" s="3801">
        <v>42297.000497685185</v>
      </c>
      <c r="AC22" s="3801">
        <v>42297.000497685185</v>
      </c>
      <c r="AD22" s="3798" t="s">
        <v>3649</v>
      </c>
      <c r="AE22" s="3798" t="s">
        <v>3498</v>
      </c>
      <c r="AF22" s="3798" t="s">
        <v>3643</v>
      </c>
      <c r="AG22" s="3798" t="s">
        <v>3496</v>
      </c>
      <c r="AH22" s="3798" t="s">
        <v>3496</v>
      </c>
      <c r="AI22" s="3798">
        <v>5590</v>
      </c>
      <c r="AJ22" s="3798">
        <v>1118</v>
      </c>
      <c r="AK22" s="3798" t="s">
        <v>633</v>
      </c>
      <c r="AL22" s="3798">
        <v>5590</v>
      </c>
      <c r="AM22" s="3798">
        <v>40.01</v>
      </c>
      <c r="AN22" s="3798">
        <v>40.01</v>
      </c>
      <c r="AO22" s="3798">
        <v>273</v>
      </c>
      <c r="AP22" s="3798">
        <v>273</v>
      </c>
      <c r="AQ22" s="3798" t="s">
        <v>3496</v>
      </c>
      <c r="AR22" s="3798" t="s">
        <v>3496</v>
      </c>
      <c r="AS22" s="3798">
        <v>0</v>
      </c>
      <c r="AT22" s="3798">
        <v>50</v>
      </c>
      <c r="AU22" s="3798" t="s">
        <v>3493</v>
      </c>
      <c r="AV22" s="3798" t="s">
        <v>3496</v>
      </c>
      <c r="AW22" s="3798" t="s">
        <v>3493</v>
      </c>
      <c r="AX22" s="3798" t="s">
        <v>3496</v>
      </c>
      <c r="AY22" s="3798" t="s">
        <v>3496</v>
      </c>
      <c r="AZ22" s="3798" t="s">
        <v>3496</v>
      </c>
    </row>
    <row r="23" spans="1:52">
      <c r="A23" s="3798" t="s">
        <v>3650</v>
      </c>
      <c r="B23" s="3798" t="s">
        <v>3482</v>
      </c>
      <c r="C23" s="3798" t="s">
        <v>3651</v>
      </c>
      <c r="D23" s="3798" t="s">
        <v>3484</v>
      </c>
      <c r="E23" s="3798" t="s">
        <v>3485</v>
      </c>
      <c r="F23" s="3798" t="s">
        <v>3496</v>
      </c>
      <c r="G23" s="3798" t="s">
        <v>3652</v>
      </c>
      <c r="H23" s="3798" t="s">
        <v>3488</v>
      </c>
      <c r="I23" s="3798">
        <v>15087.53</v>
      </c>
      <c r="J23" s="3798">
        <v>30175.06</v>
      </c>
      <c r="K23" s="3798" t="s">
        <v>3653</v>
      </c>
      <c r="L23" s="3798" t="s">
        <v>3490</v>
      </c>
      <c r="M23" s="3798" t="s">
        <v>3563</v>
      </c>
      <c r="N23" s="3798" t="s">
        <v>3492</v>
      </c>
      <c r="O23" s="3798" t="s">
        <v>3493</v>
      </c>
      <c r="P23" s="3798" t="s">
        <v>3654</v>
      </c>
      <c r="Q23" s="3798" t="s">
        <v>3496</v>
      </c>
      <c r="R23" s="3798" t="s">
        <v>3496</v>
      </c>
      <c r="S23" s="3798" t="s">
        <v>3496</v>
      </c>
      <c r="T23" s="3798" t="s">
        <v>3496</v>
      </c>
      <c r="U23" s="3798" t="s">
        <v>3496</v>
      </c>
      <c r="V23" s="3798">
        <v>0</v>
      </c>
      <c r="W23" s="3798">
        <v>0</v>
      </c>
      <c r="X23" s="3798">
        <v>0</v>
      </c>
      <c r="Y23" s="3798">
        <v>0</v>
      </c>
      <c r="Z23" s="3801">
        <v>42153.000497685185</v>
      </c>
      <c r="AA23" s="3801">
        <v>42172.000497685185</v>
      </c>
      <c r="AB23" s="3801">
        <v>42185.000497685185</v>
      </c>
      <c r="AC23" s="3801">
        <v>42185.000497685185</v>
      </c>
      <c r="AD23" s="3798" t="s">
        <v>3655</v>
      </c>
      <c r="AE23" s="3798" t="s">
        <v>3498</v>
      </c>
      <c r="AF23" s="3798" t="s">
        <v>3656</v>
      </c>
      <c r="AG23" s="3798" t="s">
        <v>3657</v>
      </c>
      <c r="AH23" s="3798" t="s">
        <v>3658</v>
      </c>
      <c r="AI23" s="3798">
        <v>870</v>
      </c>
      <c r="AJ23" s="3798">
        <v>174</v>
      </c>
      <c r="AK23" s="3798" t="s">
        <v>633</v>
      </c>
      <c r="AL23" s="3798">
        <v>870</v>
      </c>
      <c r="AM23" s="3798">
        <v>38.44</v>
      </c>
      <c r="AN23" s="3798">
        <v>38.44</v>
      </c>
      <c r="AO23" s="3798">
        <v>288</v>
      </c>
      <c r="AP23" s="3798">
        <v>288</v>
      </c>
      <c r="AQ23" s="3798" t="s">
        <v>3496</v>
      </c>
      <c r="AR23" s="3798" t="s">
        <v>3496</v>
      </c>
      <c r="AS23" s="3798">
        <v>0</v>
      </c>
      <c r="AT23" s="3798" t="s">
        <v>3501</v>
      </c>
      <c r="AU23" s="3798" t="s">
        <v>3493</v>
      </c>
      <c r="AV23" s="3798" t="s">
        <v>3496</v>
      </c>
      <c r="AW23" s="3798" t="s">
        <v>3493</v>
      </c>
      <c r="AX23" s="3798" t="s">
        <v>3496</v>
      </c>
      <c r="AY23" s="3798" t="s">
        <v>3496</v>
      </c>
      <c r="AZ23" s="3798" t="s">
        <v>3496</v>
      </c>
    </row>
    <row r="24" spans="1:52">
      <c r="A24" s="3798" t="s">
        <v>3659</v>
      </c>
      <c r="B24" s="3798" t="s">
        <v>3482</v>
      </c>
      <c r="C24" s="3798" t="s">
        <v>3660</v>
      </c>
      <c r="D24" s="3798" t="s">
        <v>3484</v>
      </c>
      <c r="E24" s="3798" t="s">
        <v>3485</v>
      </c>
      <c r="F24" s="3798" t="s">
        <v>3496</v>
      </c>
      <c r="G24" s="3798" t="s">
        <v>3661</v>
      </c>
      <c r="H24" s="3798" t="s">
        <v>3488</v>
      </c>
      <c r="I24" s="3798">
        <v>195308</v>
      </c>
      <c r="J24" s="3798">
        <v>449208.5</v>
      </c>
      <c r="K24" s="3798" t="s">
        <v>3662</v>
      </c>
      <c r="L24" s="3798" t="s">
        <v>3490</v>
      </c>
      <c r="M24" s="3798" t="s">
        <v>3663</v>
      </c>
      <c r="N24" s="3798" t="s">
        <v>3492</v>
      </c>
      <c r="O24" s="3798" t="s">
        <v>3493</v>
      </c>
      <c r="P24" s="3798" t="s">
        <v>3664</v>
      </c>
      <c r="Q24" s="3798" t="s">
        <v>3496</v>
      </c>
      <c r="R24" s="3798" t="s">
        <v>3496</v>
      </c>
      <c r="S24" s="3798" t="s">
        <v>3496</v>
      </c>
      <c r="T24" s="3798" t="s">
        <v>3496</v>
      </c>
      <c r="U24" s="3798" t="s">
        <v>3496</v>
      </c>
      <c r="V24" s="3798">
        <v>0</v>
      </c>
      <c r="W24" s="3798">
        <v>0</v>
      </c>
      <c r="X24" s="3798">
        <v>0</v>
      </c>
      <c r="Y24" s="3798">
        <v>0</v>
      </c>
      <c r="Z24" s="3801">
        <v>42153.000497685185</v>
      </c>
      <c r="AA24" s="3801">
        <v>42172.000497685185</v>
      </c>
      <c r="AB24" s="3801">
        <v>42185.000497685185</v>
      </c>
      <c r="AC24" s="3801">
        <v>42185.000497685185</v>
      </c>
      <c r="AD24" s="3798" t="s">
        <v>3665</v>
      </c>
      <c r="AE24" s="3798" t="s">
        <v>3498</v>
      </c>
      <c r="AF24" s="3798" t="s">
        <v>3666</v>
      </c>
      <c r="AG24" s="3798" t="s">
        <v>3496</v>
      </c>
      <c r="AH24" s="3798" t="s">
        <v>3496</v>
      </c>
      <c r="AI24" s="3798">
        <v>36330</v>
      </c>
      <c r="AJ24" s="3798">
        <v>7300</v>
      </c>
      <c r="AK24" s="3798" t="s">
        <v>633</v>
      </c>
      <c r="AL24" s="3798">
        <v>36330</v>
      </c>
      <c r="AM24" s="3798">
        <v>124.01</v>
      </c>
      <c r="AN24" s="3798">
        <v>124.01</v>
      </c>
      <c r="AO24" s="3798">
        <v>809</v>
      </c>
      <c r="AP24" s="3798">
        <v>809</v>
      </c>
      <c r="AQ24" s="3798" t="s">
        <v>3496</v>
      </c>
      <c r="AR24" s="3798" t="s">
        <v>3496</v>
      </c>
      <c r="AS24" s="3798">
        <v>0</v>
      </c>
      <c r="AT24" s="3798" t="s">
        <v>3501</v>
      </c>
      <c r="AU24" s="3798" t="s">
        <v>3493</v>
      </c>
      <c r="AV24" s="3798" t="s">
        <v>3496</v>
      </c>
      <c r="AW24" s="3798" t="s">
        <v>3493</v>
      </c>
      <c r="AX24" s="3798" t="s">
        <v>3496</v>
      </c>
      <c r="AY24" s="3798" t="s">
        <v>3496</v>
      </c>
      <c r="AZ24" s="3798" t="s">
        <v>3496</v>
      </c>
    </row>
    <row r="25" spans="1:52">
      <c r="A25" s="3798" t="s">
        <v>3667</v>
      </c>
      <c r="B25" s="3798" t="s">
        <v>3482</v>
      </c>
      <c r="C25" s="3798" t="s">
        <v>3668</v>
      </c>
      <c r="D25" s="3798" t="s">
        <v>3484</v>
      </c>
      <c r="E25" s="3798" t="s">
        <v>3485</v>
      </c>
      <c r="F25" s="3798" t="s">
        <v>3496</v>
      </c>
      <c r="G25" s="3798" t="s">
        <v>3669</v>
      </c>
      <c r="H25" s="3798" t="s">
        <v>3488</v>
      </c>
      <c r="I25" s="3798">
        <v>34881.72</v>
      </c>
      <c r="J25" s="3798">
        <v>62438.28</v>
      </c>
      <c r="K25" s="3798" t="s">
        <v>3670</v>
      </c>
      <c r="L25" s="3798" t="s">
        <v>3490</v>
      </c>
      <c r="M25" s="3798" t="s">
        <v>3671</v>
      </c>
      <c r="N25" s="3798" t="s">
        <v>3492</v>
      </c>
      <c r="O25" s="3798" t="s">
        <v>3493</v>
      </c>
      <c r="P25" s="3798" t="s">
        <v>3496</v>
      </c>
      <c r="Q25" s="3798" t="s">
        <v>3496</v>
      </c>
      <c r="R25" s="3798" t="s">
        <v>3496</v>
      </c>
      <c r="S25" s="3798" t="s">
        <v>3496</v>
      </c>
      <c r="T25" s="3798" t="s">
        <v>3496</v>
      </c>
      <c r="U25" s="3798" t="s">
        <v>3496</v>
      </c>
      <c r="V25" s="3798">
        <v>0</v>
      </c>
      <c r="W25" s="3798">
        <v>0</v>
      </c>
      <c r="X25" s="3798">
        <v>0</v>
      </c>
      <c r="Y25" s="3798">
        <v>0</v>
      </c>
      <c r="Z25" s="3801">
        <v>41850.000497685185</v>
      </c>
      <c r="AA25" s="3801">
        <v>41870.000497685185</v>
      </c>
      <c r="AB25" s="3801">
        <v>41880.000497685185</v>
      </c>
      <c r="AC25" s="3801">
        <v>41880.000497685185</v>
      </c>
      <c r="AD25" s="3798" t="s">
        <v>3672</v>
      </c>
      <c r="AE25" s="3798" t="s">
        <v>3498</v>
      </c>
      <c r="AF25" s="3798" t="s">
        <v>3673</v>
      </c>
      <c r="AG25" s="3798" t="s">
        <v>3496</v>
      </c>
      <c r="AH25" s="3798" t="s">
        <v>3496</v>
      </c>
      <c r="AI25" s="3798">
        <v>7500</v>
      </c>
      <c r="AJ25" s="3798">
        <v>1500</v>
      </c>
      <c r="AK25" s="3798" t="s">
        <v>633</v>
      </c>
      <c r="AL25" s="3798">
        <v>7500</v>
      </c>
      <c r="AM25" s="3798">
        <v>143.34</v>
      </c>
      <c r="AN25" s="3798">
        <v>143.34</v>
      </c>
      <c r="AO25" s="3798">
        <v>1201</v>
      </c>
      <c r="AP25" s="3798">
        <v>1201</v>
      </c>
      <c r="AQ25" s="3798" t="s">
        <v>3496</v>
      </c>
      <c r="AR25" s="3798" t="s">
        <v>3496</v>
      </c>
      <c r="AS25" s="3798">
        <v>0</v>
      </c>
      <c r="AT25" s="3798" t="s">
        <v>3501</v>
      </c>
      <c r="AU25" s="3798" t="s">
        <v>3493</v>
      </c>
      <c r="AV25" s="3798" t="s">
        <v>3496</v>
      </c>
      <c r="AW25" s="3798" t="s">
        <v>3493</v>
      </c>
      <c r="AX25" s="3798" t="s">
        <v>3496</v>
      </c>
      <c r="AY25" s="3798" t="s">
        <v>3496</v>
      </c>
      <c r="AZ25" s="3798" t="s">
        <v>3496</v>
      </c>
    </row>
    <row r="26" spans="1:52">
      <c r="A26" s="3798" t="s">
        <v>3674</v>
      </c>
      <c r="B26" s="3798" t="s">
        <v>3482</v>
      </c>
      <c r="C26" s="3798" t="s">
        <v>3675</v>
      </c>
      <c r="D26" s="3798" t="s">
        <v>3484</v>
      </c>
      <c r="E26" s="3798" t="s">
        <v>3485</v>
      </c>
      <c r="F26" s="3798" t="s">
        <v>3496</v>
      </c>
      <c r="G26" s="3798" t="s">
        <v>3676</v>
      </c>
      <c r="H26" s="3798" t="s">
        <v>3488</v>
      </c>
      <c r="I26" s="3798">
        <v>16032.84</v>
      </c>
      <c r="J26" s="3798">
        <v>24049.26</v>
      </c>
      <c r="K26" s="3798" t="s">
        <v>3677</v>
      </c>
      <c r="L26" s="3798" t="s">
        <v>3490</v>
      </c>
      <c r="M26" s="3798" t="s">
        <v>3678</v>
      </c>
      <c r="N26" s="3798" t="s">
        <v>3492</v>
      </c>
      <c r="O26" s="3798" t="s">
        <v>3493</v>
      </c>
      <c r="P26" s="3798" t="s">
        <v>3507</v>
      </c>
      <c r="Q26" s="3798" t="s">
        <v>3679</v>
      </c>
      <c r="R26" s="3798" t="s">
        <v>3496</v>
      </c>
      <c r="S26" s="3798" t="s">
        <v>3496</v>
      </c>
      <c r="T26" s="3798" t="s">
        <v>3496</v>
      </c>
      <c r="U26" s="3798" t="s">
        <v>3496</v>
      </c>
      <c r="V26" s="3798">
        <v>0</v>
      </c>
      <c r="W26" s="3798">
        <v>0</v>
      </c>
      <c r="X26" s="3798">
        <v>0</v>
      </c>
      <c r="Y26" s="3798">
        <v>0</v>
      </c>
      <c r="Z26" s="3801">
        <v>41803.000497685185</v>
      </c>
      <c r="AA26" s="3801">
        <v>41824.000497685185</v>
      </c>
      <c r="AB26" s="3801">
        <v>41835.000497685185</v>
      </c>
      <c r="AC26" s="3801">
        <v>41835.000497685185</v>
      </c>
      <c r="AD26" s="3798" t="s">
        <v>3680</v>
      </c>
      <c r="AE26" s="3798" t="s">
        <v>3498</v>
      </c>
      <c r="AF26" s="3798" t="s">
        <v>3681</v>
      </c>
      <c r="AG26" s="3798" t="s">
        <v>3496</v>
      </c>
      <c r="AH26" s="3798" t="s">
        <v>3496</v>
      </c>
      <c r="AI26" s="3798">
        <v>2143</v>
      </c>
      <c r="AJ26" s="3798">
        <v>430</v>
      </c>
      <c r="AK26" s="3798" t="s">
        <v>633</v>
      </c>
      <c r="AL26" s="3798">
        <v>2143</v>
      </c>
      <c r="AM26" s="3798">
        <v>89.11</v>
      </c>
      <c r="AN26" s="3798">
        <v>89.11</v>
      </c>
      <c r="AO26" s="3798">
        <v>891</v>
      </c>
      <c r="AP26" s="3798">
        <v>891</v>
      </c>
      <c r="AQ26" s="3798" t="s">
        <v>3496</v>
      </c>
      <c r="AR26" s="3798" t="s">
        <v>3496</v>
      </c>
      <c r="AS26" s="3798">
        <v>0</v>
      </c>
      <c r="AT26" s="3798">
        <v>50</v>
      </c>
      <c r="AU26" s="3798" t="s">
        <v>3493</v>
      </c>
      <c r="AV26" s="3798" t="s">
        <v>3496</v>
      </c>
      <c r="AW26" s="3798" t="s">
        <v>3493</v>
      </c>
      <c r="AX26" s="3798" t="s">
        <v>3496</v>
      </c>
      <c r="AY26" s="3798" t="s">
        <v>3496</v>
      </c>
      <c r="AZ26" s="3798" t="s">
        <v>3496</v>
      </c>
    </row>
    <row r="27" spans="1:52">
      <c r="A27" s="3798" t="s">
        <v>3682</v>
      </c>
      <c r="B27" s="3798" t="s">
        <v>3482</v>
      </c>
      <c r="C27" s="3798" t="s">
        <v>3683</v>
      </c>
      <c r="D27" s="3798" t="s">
        <v>3484</v>
      </c>
      <c r="E27" s="3798" t="s">
        <v>3485</v>
      </c>
      <c r="F27" s="3798" t="s">
        <v>3496</v>
      </c>
      <c r="G27" s="3798" t="s">
        <v>3684</v>
      </c>
      <c r="H27" s="3798" t="s">
        <v>3488</v>
      </c>
      <c r="I27" s="3798">
        <v>4919.2700000000004</v>
      </c>
      <c r="J27" s="3798">
        <v>7378.91</v>
      </c>
      <c r="K27" s="3798" t="s">
        <v>3685</v>
      </c>
      <c r="L27" s="3798" t="s">
        <v>3490</v>
      </c>
      <c r="M27" s="3798" t="s">
        <v>3663</v>
      </c>
      <c r="N27" s="3798" t="s">
        <v>3492</v>
      </c>
      <c r="O27" s="3798" t="s">
        <v>3493</v>
      </c>
      <c r="P27" s="3798" t="s">
        <v>3546</v>
      </c>
      <c r="Q27" s="3798" t="s">
        <v>3496</v>
      </c>
      <c r="R27" s="3798" t="s">
        <v>3496</v>
      </c>
      <c r="S27" s="3798" t="s">
        <v>3496</v>
      </c>
      <c r="T27" s="3798" t="s">
        <v>3496</v>
      </c>
      <c r="U27" s="3798" t="s">
        <v>3496</v>
      </c>
      <c r="V27" s="3798">
        <v>0</v>
      </c>
      <c r="W27" s="3798">
        <v>0</v>
      </c>
      <c r="X27" s="3798">
        <v>0</v>
      </c>
      <c r="Y27" s="3798">
        <v>0</v>
      </c>
      <c r="Z27" s="3801">
        <v>41605.000497685185</v>
      </c>
      <c r="AA27" s="3801">
        <v>41625.000497685185</v>
      </c>
      <c r="AB27" s="3801">
        <v>41635.000497685185</v>
      </c>
      <c r="AC27" s="3801">
        <v>41635.000497685185</v>
      </c>
      <c r="AD27" s="3798" t="s">
        <v>3686</v>
      </c>
      <c r="AE27" s="3798" t="s">
        <v>3498</v>
      </c>
      <c r="AF27" s="3798" t="s">
        <v>3687</v>
      </c>
      <c r="AG27" s="3798" t="s">
        <v>3496</v>
      </c>
      <c r="AH27" s="3798" t="s">
        <v>3496</v>
      </c>
      <c r="AI27" s="3798">
        <v>330</v>
      </c>
      <c r="AJ27" s="3798">
        <v>66</v>
      </c>
      <c r="AK27" s="3798" t="s">
        <v>633</v>
      </c>
      <c r="AL27" s="3798">
        <v>330</v>
      </c>
      <c r="AM27" s="3798">
        <v>44.72</v>
      </c>
      <c r="AN27" s="3798">
        <v>44.72</v>
      </c>
      <c r="AO27" s="3798">
        <v>447</v>
      </c>
      <c r="AP27" s="3798">
        <v>447</v>
      </c>
      <c r="AQ27" s="3798" t="s">
        <v>3496</v>
      </c>
      <c r="AR27" s="3798" t="s">
        <v>3496</v>
      </c>
      <c r="AS27" s="3798">
        <v>0</v>
      </c>
      <c r="AT27" s="3798" t="s">
        <v>3501</v>
      </c>
      <c r="AU27" s="3798" t="s">
        <v>3493</v>
      </c>
      <c r="AV27" s="3798" t="s">
        <v>3496</v>
      </c>
      <c r="AW27" s="3798" t="s">
        <v>3493</v>
      </c>
      <c r="AX27" s="3798" t="s">
        <v>3496</v>
      </c>
      <c r="AY27" s="3798" t="s">
        <v>3496</v>
      </c>
      <c r="AZ27" s="3798" t="s">
        <v>3496</v>
      </c>
    </row>
    <row r="28" spans="1:52">
      <c r="A28" s="3798" t="s">
        <v>3688</v>
      </c>
      <c r="B28" s="3798" t="s">
        <v>3482</v>
      </c>
      <c r="C28" s="3798" t="s">
        <v>3689</v>
      </c>
      <c r="D28" s="3798" t="s">
        <v>3484</v>
      </c>
      <c r="E28" s="3798" t="s">
        <v>3485</v>
      </c>
      <c r="F28" s="3798" t="s">
        <v>3496</v>
      </c>
      <c r="G28" s="3798" t="s">
        <v>3690</v>
      </c>
      <c r="H28" s="3798" t="s">
        <v>3488</v>
      </c>
      <c r="I28" s="3798">
        <v>17272.580000000002</v>
      </c>
      <c r="J28" s="3798">
        <v>77726.61</v>
      </c>
      <c r="K28" s="3798" t="s">
        <v>3691</v>
      </c>
      <c r="L28" s="3798" t="s">
        <v>3490</v>
      </c>
      <c r="M28" s="3798" t="s">
        <v>3663</v>
      </c>
      <c r="N28" s="3798" t="s">
        <v>3492</v>
      </c>
      <c r="O28" s="3798" t="s">
        <v>3493</v>
      </c>
      <c r="P28" s="3798" t="s">
        <v>3522</v>
      </c>
      <c r="Q28" s="3798" t="s">
        <v>3496</v>
      </c>
      <c r="R28" s="3798" t="s">
        <v>3496</v>
      </c>
      <c r="S28" s="3798" t="s">
        <v>3496</v>
      </c>
      <c r="T28" s="3798" t="s">
        <v>3496</v>
      </c>
      <c r="U28" s="3798" t="s">
        <v>3496</v>
      </c>
      <c r="V28" s="3798">
        <v>0</v>
      </c>
      <c r="W28" s="3798">
        <v>0</v>
      </c>
      <c r="X28" s="3798">
        <v>0</v>
      </c>
      <c r="Y28" s="3798">
        <v>0</v>
      </c>
      <c r="Z28" s="3801">
        <v>41605.000497685185</v>
      </c>
      <c r="AA28" s="3801">
        <v>41625.000497685185</v>
      </c>
      <c r="AB28" s="3801">
        <v>41635.000497685185</v>
      </c>
      <c r="AC28" s="3801">
        <v>41635.000497685185</v>
      </c>
      <c r="AD28" s="3798" t="s">
        <v>3686</v>
      </c>
      <c r="AE28" s="3798" t="s">
        <v>3498</v>
      </c>
      <c r="AF28" s="3798" t="s">
        <v>3643</v>
      </c>
      <c r="AG28" s="3798" t="s">
        <v>3496</v>
      </c>
      <c r="AH28" s="3798" t="s">
        <v>3496</v>
      </c>
      <c r="AI28" s="3798">
        <v>1840</v>
      </c>
      <c r="AJ28" s="3798">
        <v>370</v>
      </c>
      <c r="AK28" s="3798" t="s">
        <v>633</v>
      </c>
      <c r="AL28" s="3798">
        <v>1840</v>
      </c>
      <c r="AM28" s="3798">
        <v>71.02</v>
      </c>
      <c r="AN28" s="3798">
        <v>71.02</v>
      </c>
      <c r="AO28" s="3798">
        <v>237</v>
      </c>
      <c r="AP28" s="3798">
        <v>237</v>
      </c>
      <c r="AQ28" s="3798" t="s">
        <v>3496</v>
      </c>
      <c r="AR28" s="3798" t="s">
        <v>3496</v>
      </c>
      <c r="AS28" s="3798">
        <v>0</v>
      </c>
      <c r="AT28" s="3798" t="s">
        <v>3501</v>
      </c>
      <c r="AU28" s="3798" t="s">
        <v>3493</v>
      </c>
      <c r="AV28" s="3798" t="s">
        <v>3496</v>
      </c>
      <c r="AW28" s="3798" t="s">
        <v>3493</v>
      </c>
      <c r="AX28" s="3798" t="s">
        <v>3496</v>
      </c>
      <c r="AY28" s="3798" t="s">
        <v>3496</v>
      </c>
      <c r="AZ28" s="3798" t="s">
        <v>3496</v>
      </c>
    </row>
    <row r="29" spans="1:52">
      <c r="A29" s="3798" t="s">
        <v>3692</v>
      </c>
      <c r="B29" s="3798" t="s">
        <v>3482</v>
      </c>
      <c r="C29" s="3798" t="s">
        <v>3693</v>
      </c>
      <c r="D29" s="3798" t="s">
        <v>3484</v>
      </c>
      <c r="E29" s="3798" t="s">
        <v>3485</v>
      </c>
      <c r="F29" s="3798" t="s">
        <v>3496</v>
      </c>
      <c r="G29" s="3798" t="s">
        <v>3694</v>
      </c>
      <c r="H29" s="3798" t="s">
        <v>3488</v>
      </c>
      <c r="I29" s="3798">
        <v>23913.59</v>
      </c>
      <c r="J29" s="3798">
        <v>59783.98</v>
      </c>
      <c r="K29" s="3798" t="s">
        <v>3695</v>
      </c>
      <c r="L29" s="3798" t="s">
        <v>3490</v>
      </c>
      <c r="M29" s="3798" t="s">
        <v>3663</v>
      </c>
      <c r="N29" s="3798" t="s">
        <v>3492</v>
      </c>
      <c r="O29" s="3798" t="s">
        <v>3493</v>
      </c>
      <c r="P29" s="3798" t="s">
        <v>3494</v>
      </c>
      <c r="Q29" s="3798" t="s">
        <v>3496</v>
      </c>
      <c r="R29" s="3798" t="s">
        <v>3496</v>
      </c>
      <c r="S29" s="3798" t="s">
        <v>3496</v>
      </c>
      <c r="T29" s="3798" t="s">
        <v>3496</v>
      </c>
      <c r="U29" s="3798" t="s">
        <v>3496</v>
      </c>
      <c r="V29" s="3798">
        <v>0</v>
      </c>
      <c r="W29" s="3798">
        <v>0</v>
      </c>
      <c r="X29" s="3798">
        <v>0</v>
      </c>
      <c r="Y29" s="3798">
        <v>0</v>
      </c>
      <c r="Z29" s="3801">
        <v>41605.000497685185</v>
      </c>
      <c r="AA29" s="3801">
        <v>41625.000497685185</v>
      </c>
      <c r="AB29" s="3801">
        <v>41635.000497685185</v>
      </c>
      <c r="AC29" s="3801">
        <v>41635.000497685185</v>
      </c>
      <c r="AD29" s="3798" t="s">
        <v>3686</v>
      </c>
      <c r="AE29" s="3798" t="s">
        <v>3498</v>
      </c>
      <c r="AF29" s="3798" t="s">
        <v>3696</v>
      </c>
      <c r="AG29" s="3798" t="s">
        <v>3496</v>
      </c>
      <c r="AH29" s="3798" t="s">
        <v>3496</v>
      </c>
      <c r="AI29" s="3798">
        <v>3745</v>
      </c>
      <c r="AJ29" s="3798">
        <v>750</v>
      </c>
      <c r="AK29" s="3798" t="s">
        <v>633</v>
      </c>
      <c r="AL29" s="3798">
        <v>3745</v>
      </c>
      <c r="AM29" s="3798">
        <v>104.4</v>
      </c>
      <c r="AN29" s="3798">
        <v>104.4</v>
      </c>
      <c r="AO29" s="3798">
        <v>626</v>
      </c>
      <c r="AP29" s="3798">
        <v>626</v>
      </c>
      <c r="AQ29" s="3798" t="s">
        <v>3496</v>
      </c>
      <c r="AR29" s="3798" t="s">
        <v>3496</v>
      </c>
      <c r="AS29" s="3798">
        <v>0</v>
      </c>
      <c r="AT29" s="3798" t="s">
        <v>3501</v>
      </c>
      <c r="AU29" s="3798" t="s">
        <v>3493</v>
      </c>
      <c r="AV29" s="3798" t="s">
        <v>3496</v>
      </c>
      <c r="AW29" s="3798" t="s">
        <v>3493</v>
      </c>
      <c r="AX29" s="3798" t="s">
        <v>3496</v>
      </c>
      <c r="AY29" s="3798" t="s">
        <v>3496</v>
      </c>
      <c r="AZ29" s="3798" t="s">
        <v>3496</v>
      </c>
    </row>
    <row r="30" spans="1:52">
      <c r="A30" s="3798" t="s">
        <v>3697</v>
      </c>
      <c r="B30" s="3798" t="s">
        <v>3482</v>
      </c>
      <c r="C30" s="3798" t="s">
        <v>3698</v>
      </c>
      <c r="D30" s="3798" t="s">
        <v>3484</v>
      </c>
      <c r="E30" s="3798" t="s">
        <v>3485</v>
      </c>
      <c r="F30" s="3798" t="s">
        <v>3504</v>
      </c>
      <c r="G30" s="3798" t="s">
        <v>3699</v>
      </c>
      <c r="H30" s="3798" t="s">
        <v>3488</v>
      </c>
      <c r="I30" s="3798">
        <v>45832.62</v>
      </c>
      <c r="J30" s="3798">
        <v>174164</v>
      </c>
      <c r="K30" s="3798" t="s">
        <v>3700</v>
      </c>
      <c r="L30" s="3798" t="s">
        <v>3490</v>
      </c>
      <c r="M30" s="3798" t="s">
        <v>3678</v>
      </c>
      <c r="N30" s="3798" t="s">
        <v>3492</v>
      </c>
      <c r="O30" s="3798" t="s">
        <v>3493</v>
      </c>
      <c r="P30" s="3798" t="s">
        <v>3583</v>
      </c>
      <c r="Q30" s="3798" t="s">
        <v>3496</v>
      </c>
      <c r="R30" s="3798" t="s">
        <v>3496</v>
      </c>
      <c r="S30" s="3798" t="s">
        <v>3496</v>
      </c>
      <c r="T30" s="3798" t="s">
        <v>3496</v>
      </c>
      <c r="U30" s="3798" t="s">
        <v>3496</v>
      </c>
      <c r="V30" s="3798">
        <v>0</v>
      </c>
      <c r="W30" s="3798">
        <v>0</v>
      </c>
      <c r="X30" s="3798">
        <v>0</v>
      </c>
      <c r="Y30" s="3798">
        <v>0</v>
      </c>
      <c r="Z30" s="3801">
        <v>41565.000497685185</v>
      </c>
      <c r="AA30" s="3801">
        <v>41586.000497685185</v>
      </c>
      <c r="AB30" s="3801">
        <v>41597.000497685185</v>
      </c>
      <c r="AC30" s="3801">
        <v>41597.000497685185</v>
      </c>
      <c r="AD30" s="3798" t="s">
        <v>3701</v>
      </c>
      <c r="AE30" s="3798" t="s">
        <v>3498</v>
      </c>
      <c r="AF30" s="3798" t="s">
        <v>3702</v>
      </c>
      <c r="AG30" s="3798" t="s">
        <v>3496</v>
      </c>
      <c r="AH30" s="3798" t="s">
        <v>3496</v>
      </c>
      <c r="AI30" s="3798">
        <v>2486</v>
      </c>
      <c r="AJ30" s="3798">
        <v>498</v>
      </c>
      <c r="AK30" s="3798" t="s">
        <v>633</v>
      </c>
      <c r="AL30" s="3798">
        <v>2486</v>
      </c>
      <c r="AM30" s="3798">
        <v>36.159999999999997</v>
      </c>
      <c r="AN30" s="3798">
        <v>36.159999999999997</v>
      </c>
      <c r="AO30" s="3798">
        <v>143</v>
      </c>
      <c r="AP30" s="3798">
        <v>143</v>
      </c>
      <c r="AQ30" s="3798" t="s">
        <v>3496</v>
      </c>
      <c r="AR30" s="3798" t="s">
        <v>3496</v>
      </c>
      <c r="AS30" s="3798">
        <v>0</v>
      </c>
      <c r="AT30" s="3798" t="s">
        <v>3501</v>
      </c>
      <c r="AU30" s="3798" t="s">
        <v>3493</v>
      </c>
      <c r="AV30" s="3798" t="s">
        <v>3496</v>
      </c>
      <c r="AW30" s="3798" t="s">
        <v>3493</v>
      </c>
      <c r="AX30" s="3798" t="s">
        <v>3496</v>
      </c>
      <c r="AY30" s="3798" t="s">
        <v>3496</v>
      </c>
      <c r="AZ30" s="3798" t="s">
        <v>3496</v>
      </c>
    </row>
    <row r="31" spans="1:52">
      <c r="A31" s="3798" t="s">
        <v>3703</v>
      </c>
      <c r="B31" s="3798" t="s">
        <v>3482</v>
      </c>
      <c r="C31" s="3798" t="s">
        <v>3704</v>
      </c>
      <c r="D31" s="3798" t="s">
        <v>3484</v>
      </c>
      <c r="E31" s="3798" t="s">
        <v>3485</v>
      </c>
      <c r="F31" s="3798" t="s">
        <v>3504</v>
      </c>
      <c r="G31" s="3798" t="s">
        <v>3705</v>
      </c>
      <c r="H31" s="3798" t="s">
        <v>3488</v>
      </c>
      <c r="I31" s="3798">
        <v>33287.410000000003</v>
      </c>
      <c r="J31" s="3798">
        <v>143135.9</v>
      </c>
      <c r="K31" s="3798" t="s">
        <v>3706</v>
      </c>
      <c r="L31" s="3798" t="s">
        <v>3490</v>
      </c>
      <c r="M31" s="3798" t="s">
        <v>3678</v>
      </c>
      <c r="N31" s="3798" t="s">
        <v>3492</v>
      </c>
      <c r="O31" s="3798" t="s">
        <v>3493</v>
      </c>
      <c r="P31" s="3798" t="s">
        <v>3583</v>
      </c>
      <c r="Q31" s="3798" t="s">
        <v>3496</v>
      </c>
      <c r="R31" s="3798" t="s">
        <v>3496</v>
      </c>
      <c r="S31" s="3798" t="s">
        <v>3496</v>
      </c>
      <c r="T31" s="3798" t="s">
        <v>3496</v>
      </c>
      <c r="U31" s="3798" t="s">
        <v>3496</v>
      </c>
      <c r="V31" s="3798">
        <v>0</v>
      </c>
      <c r="W31" s="3798">
        <v>0</v>
      </c>
      <c r="X31" s="3798">
        <v>0</v>
      </c>
      <c r="Y31" s="3798">
        <v>0</v>
      </c>
      <c r="Z31" s="3801">
        <v>41547.000497685185</v>
      </c>
      <c r="AA31" s="3801">
        <v>41568.000497685185</v>
      </c>
      <c r="AB31" s="3801">
        <v>41578.000497685185</v>
      </c>
      <c r="AC31" s="3801">
        <v>41578.000497685185</v>
      </c>
      <c r="AD31" s="3798" t="s">
        <v>3707</v>
      </c>
      <c r="AE31" s="3798" t="s">
        <v>3498</v>
      </c>
      <c r="AF31" s="3798" t="s">
        <v>3702</v>
      </c>
      <c r="AG31" s="3798" t="s">
        <v>3496</v>
      </c>
      <c r="AH31" s="3798" t="s">
        <v>3496</v>
      </c>
      <c r="AI31" s="3798">
        <v>2482</v>
      </c>
      <c r="AJ31" s="3798">
        <v>500</v>
      </c>
      <c r="AK31" s="3798" t="s">
        <v>633</v>
      </c>
      <c r="AL31" s="3798">
        <v>2482</v>
      </c>
      <c r="AM31" s="3798">
        <v>49.71</v>
      </c>
      <c r="AN31" s="3798">
        <v>49.71</v>
      </c>
      <c r="AO31" s="3798">
        <v>173</v>
      </c>
      <c r="AP31" s="3798">
        <v>173</v>
      </c>
      <c r="AQ31" s="3798" t="s">
        <v>3496</v>
      </c>
      <c r="AR31" s="3798" t="s">
        <v>3496</v>
      </c>
      <c r="AS31" s="3798">
        <v>0</v>
      </c>
      <c r="AT31" s="3798" t="s">
        <v>3501</v>
      </c>
      <c r="AU31" s="3798" t="s">
        <v>3493</v>
      </c>
      <c r="AV31" s="3798" t="s">
        <v>3496</v>
      </c>
      <c r="AW31" s="3798" t="s">
        <v>3493</v>
      </c>
      <c r="AX31" s="3798" t="s">
        <v>3496</v>
      </c>
      <c r="AY31" s="3798" t="s">
        <v>3496</v>
      </c>
      <c r="AZ31" s="3798" t="s">
        <v>3496</v>
      </c>
    </row>
    <row r="32" spans="1:52">
      <c r="A32" s="3798" t="s">
        <v>3708</v>
      </c>
      <c r="B32" s="3798" t="s">
        <v>3482</v>
      </c>
      <c r="C32" s="3798" t="s">
        <v>3709</v>
      </c>
      <c r="D32" s="3798" t="s">
        <v>3484</v>
      </c>
      <c r="E32" s="3798" t="s">
        <v>3485</v>
      </c>
      <c r="F32" s="3798" t="s">
        <v>3486</v>
      </c>
      <c r="G32" s="3798" t="s">
        <v>3710</v>
      </c>
      <c r="H32" s="3798" t="s">
        <v>3488</v>
      </c>
      <c r="I32" s="3798">
        <v>3955.6</v>
      </c>
      <c r="J32" s="3798">
        <v>1977.8</v>
      </c>
      <c r="K32" s="3798" t="s">
        <v>3711</v>
      </c>
      <c r="L32" s="3798" t="s">
        <v>3490</v>
      </c>
      <c r="M32" s="3798" t="s">
        <v>3712</v>
      </c>
      <c r="N32" s="3798" t="s">
        <v>3492</v>
      </c>
      <c r="O32" s="3798" t="s">
        <v>3493</v>
      </c>
      <c r="P32" s="3798" t="s">
        <v>3496</v>
      </c>
      <c r="Q32" s="3798" t="s">
        <v>3713</v>
      </c>
      <c r="R32" s="3798" t="s">
        <v>3496</v>
      </c>
      <c r="S32" s="3798" t="s">
        <v>3496</v>
      </c>
      <c r="T32" s="3798" t="s">
        <v>3496</v>
      </c>
      <c r="U32" s="3798" t="s">
        <v>3496</v>
      </c>
      <c r="V32" s="3798" t="s">
        <v>3496</v>
      </c>
      <c r="W32" s="3798">
        <v>0</v>
      </c>
      <c r="X32" s="3798">
        <v>0</v>
      </c>
      <c r="Y32" s="3798">
        <v>0</v>
      </c>
      <c r="Z32" s="3801">
        <v>41367.000497685185</v>
      </c>
      <c r="AA32" s="3801">
        <v>41389.000497685185</v>
      </c>
      <c r="AB32" s="3801">
        <v>41403.000497685185</v>
      </c>
      <c r="AC32" s="3801">
        <v>41403.000497685185</v>
      </c>
      <c r="AD32" s="3798" t="s">
        <v>3714</v>
      </c>
      <c r="AE32" s="3798" t="s">
        <v>3498</v>
      </c>
      <c r="AF32" s="3798" t="s">
        <v>3715</v>
      </c>
      <c r="AG32" s="3798" t="s">
        <v>3496</v>
      </c>
      <c r="AH32" s="3798" t="s">
        <v>3496</v>
      </c>
      <c r="AI32" s="3798">
        <v>3500</v>
      </c>
      <c r="AJ32" s="3798">
        <v>700</v>
      </c>
      <c r="AK32" s="3798" t="s">
        <v>633</v>
      </c>
      <c r="AL32" s="3798">
        <v>3500</v>
      </c>
      <c r="AM32" s="3798">
        <v>589.88</v>
      </c>
      <c r="AN32" s="3798">
        <v>589.88</v>
      </c>
      <c r="AO32" s="3798">
        <v>17696</v>
      </c>
      <c r="AP32" s="3798">
        <v>17696</v>
      </c>
      <c r="AQ32" s="3798" t="s">
        <v>3496</v>
      </c>
      <c r="AR32" s="3798" t="s">
        <v>3496</v>
      </c>
      <c r="AS32" s="3798">
        <v>0</v>
      </c>
      <c r="AT32" s="3798">
        <v>40</v>
      </c>
      <c r="AU32" s="3798" t="s">
        <v>3493</v>
      </c>
      <c r="AV32" s="3798" t="s">
        <v>3496</v>
      </c>
      <c r="AW32" s="3798" t="s">
        <v>3493</v>
      </c>
      <c r="AX32" s="3798" t="s">
        <v>3496</v>
      </c>
      <c r="AY32" s="3798" t="s">
        <v>3496</v>
      </c>
      <c r="AZ32" s="3798" t="s">
        <v>3496</v>
      </c>
    </row>
    <row r="33" spans="1:52">
      <c r="A33" s="3798" t="s">
        <v>3716</v>
      </c>
      <c r="B33" s="3798" t="s">
        <v>3482</v>
      </c>
      <c r="C33" s="3798" t="s">
        <v>3717</v>
      </c>
      <c r="D33" s="3798" t="s">
        <v>3484</v>
      </c>
      <c r="E33" s="3798" t="s">
        <v>3485</v>
      </c>
      <c r="F33" s="3798" t="s">
        <v>3570</v>
      </c>
      <c r="G33" s="3798" t="s">
        <v>3718</v>
      </c>
      <c r="H33" s="3798" t="s">
        <v>3488</v>
      </c>
      <c r="I33" s="3798">
        <v>73005.3</v>
      </c>
      <c r="J33" s="3798">
        <v>109508</v>
      </c>
      <c r="K33" s="3798" t="s">
        <v>3719</v>
      </c>
      <c r="L33" s="3798" t="s">
        <v>3490</v>
      </c>
      <c r="M33" s="3798" t="s">
        <v>3563</v>
      </c>
      <c r="N33" s="3798" t="s">
        <v>3492</v>
      </c>
      <c r="O33" s="3798" t="s">
        <v>3493</v>
      </c>
      <c r="P33" s="3798" t="s">
        <v>3583</v>
      </c>
      <c r="Q33" s="3798" t="s">
        <v>3679</v>
      </c>
      <c r="R33" s="3798" t="s">
        <v>3496</v>
      </c>
      <c r="S33" s="3798" t="s">
        <v>3496</v>
      </c>
      <c r="T33" s="3798" t="s">
        <v>3496</v>
      </c>
      <c r="U33" s="3798" t="s">
        <v>3496</v>
      </c>
      <c r="V33" s="3798" t="s">
        <v>3496</v>
      </c>
      <c r="W33" s="3798">
        <v>0</v>
      </c>
      <c r="X33" s="3798">
        <v>0</v>
      </c>
      <c r="Y33" s="3798">
        <v>0</v>
      </c>
      <c r="Z33" s="3801">
        <v>41362.000497685185</v>
      </c>
      <c r="AA33" s="3801">
        <v>41383.000497685185</v>
      </c>
      <c r="AB33" s="3801">
        <v>41394.000497685185</v>
      </c>
      <c r="AC33" s="3801">
        <v>41394.000497685185</v>
      </c>
      <c r="AD33" s="3798" t="s">
        <v>3720</v>
      </c>
      <c r="AE33" s="3798" t="s">
        <v>3498</v>
      </c>
      <c r="AF33" s="3798" t="s">
        <v>3721</v>
      </c>
      <c r="AG33" s="3798" t="s">
        <v>3496</v>
      </c>
      <c r="AH33" s="3798" t="s">
        <v>3496</v>
      </c>
      <c r="AI33" s="3798">
        <v>8972</v>
      </c>
      <c r="AJ33" s="3798">
        <v>1795</v>
      </c>
      <c r="AK33" s="3798" t="s">
        <v>633</v>
      </c>
      <c r="AL33" s="3798">
        <v>8972</v>
      </c>
      <c r="AM33" s="3798">
        <v>81.93</v>
      </c>
      <c r="AN33" s="3798">
        <v>81.93</v>
      </c>
      <c r="AO33" s="3798">
        <v>819</v>
      </c>
      <c r="AP33" s="3798">
        <v>819</v>
      </c>
      <c r="AQ33" s="3798" t="s">
        <v>3496</v>
      </c>
      <c r="AR33" s="3798" t="s">
        <v>3496</v>
      </c>
      <c r="AS33" s="3798">
        <v>0</v>
      </c>
      <c r="AT33" s="3798">
        <v>50</v>
      </c>
      <c r="AU33" s="3798" t="s">
        <v>3493</v>
      </c>
      <c r="AV33" s="3798" t="s">
        <v>3496</v>
      </c>
      <c r="AW33" s="3798" t="s">
        <v>3493</v>
      </c>
      <c r="AX33" s="3798" t="s">
        <v>3496</v>
      </c>
      <c r="AY33" s="3798" t="s">
        <v>3496</v>
      </c>
      <c r="AZ33" s="3798" t="s">
        <v>3496</v>
      </c>
    </row>
    <row r="34" spans="1:52">
      <c r="A34" s="3798" t="s">
        <v>3722</v>
      </c>
      <c r="B34" s="3798" t="s">
        <v>3482</v>
      </c>
      <c r="C34" s="3798" t="s">
        <v>3723</v>
      </c>
      <c r="D34" s="3798" t="s">
        <v>3484</v>
      </c>
      <c r="E34" s="3798" t="s">
        <v>3485</v>
      </c>
      <c r="F34" s="3798" t="s">
        <v>3496</v>
      </c>
      <c r="G34" s="3798" t="s">
        <v>3724</v>
      </c>
      <c r="H34" s="3798" t="s">
        <v>3488</v>
      </c>
      <c r="I34" s="3798">
        <v>37138</v>
      </c>
      <c r="J34" s="3798">
        <v>111414</v>
      </c>
      <c r="K34" s="3798" t="s">
        <v>3725</v>
      </c>
      <c r="L34" s="3798" t="s">
        <v>3490</v>
      </c>
      <c r="M34" s="3798" t="s">
        <v>3563</v>
      </c>
      <c r="N34" s="3798" t="s">
        <v>3492</v>
      </c>
      <c r="O34" s="3798" t="s">
        <v>3493</v>
      </c>
      <c r="P34" s="3798" t="s">
        <v>3494</v>
      </c>
      <c r="Q34" s="3798" t="s">
        <v>3523</v>
      </c>
      <c r="R34" s="3798" t="s">
        <v>3496</v>
      </c>
      <c r="S34" s="3798" t="s">
        <v>3496</v>
      </c>
      <c r="T34" s="3798" t="s">
        <v>3496</v>
      </c>
      <c r="U34" s="3798" t="s">
        <v>3496</v>
      </c>
      <c r="V34" s="3798" t="s">
        <v>3496</v>
      </c>
      <c r="W34" s="3798" t="s">
        <v>3496</v>
      </c>
      <c r="X34" s="3798">
        <v>0</v>
      </c>
      <c r="Y34" s="3798">
        <v>0</v>
      </c>
      <c r="Z34" s="3801">
        <v>41234.000497685185</v>
      </c>
      <c r="AA34" s="3801">
        <v>41254.000497685185</v>
      </c>
      <c r="AB34" s="3801">
        <v>41264.000497685185</v>
      </c>
      <c r="AC34" s="3801">
        <v>41264.000497685185</v>
      </c>
      <c r="AD34" s="3798" t="s">
        <v>3726</v>
      </c>
      <c r="AE34" s="3798" t="s">
        <v>3498</v>
      </c>
      <c r="AF34" s="3798" t="s">
        <v>3727</v>
      </c>
      <c r="AG34" s="3798" t="s">
        <v>3496</v>
      </c>
      <c r="AH34" s="3798" t="s">
        <v>3496</v>
      </c>
      <c r="AI34" s="3798">
        <v>3177</v>
      </c>
      <c r="AJ34" s="3798">
        <v>640</v>
      </c>
      <c r="AK34" s="3798" t="s">
        <v>633</v>
      </c>
      <c r="AL34" s="3798">
        <v>3177</v>
      </c>
      <c r="AM34" s="3798">
        <v>57.03</v>
      </c>
      <c r="AN34" s="3798">
        <v>57.03</v>
      </c>
      <c r="AO34" s="3798">
        <v>285</v>
      </c>
      <c r="AP34" s="3798">
        <v>285</v>
      </c>
      <c r="AQ34" s="3798" t="s">
        <v>3496</v>
      </c>
      <c r="AR34" s="3798" t="s">
        <v>3496</v>
      </c>
      <c r="AS34" s="3798">
        <v>0</v>
      </c>
      <c r="AT34" s="3798">
        <v>50</v>
      </c>
      <c r="AU34" s="3798" t="s">
        <v>3493</v>
      </c>
      <c r="AV34" s="3798" t="s">
        <v>3496</v>
      </c>
      <c r="AW34" s="3798" t="s">
        <v>3493</v>
      </c>
      <c r="AX34" s="3798" t="s">
        <v>3496</v>
      </c>
      <c r="AY34" s="3798" t="s">
        <v>3496</v>
      </c>
      <c r="AZ34" s="3798" t="s">
        <v>3496</v>
      </c>
    </row>
    <row r="35" spans="1:52">
      <c r="A35" s="3798" t="s">
        <v>3728</v>
      </c>
      <c r="B35" s="3798" t="s">
        <v>3482</v>
      </c>
      <c r="C35" s="3798" t="s">
        <v>3729</v>
      </c>
      <c r="D35" s="3798" t="s">
        <v>3484</v>
      </c>
      <c r="E35" s="3798" t="s">
        <v>3485</v>
      </c>
      <c r="F35" s="3798" t="s">
        <v>3496</v>
      </c>
      <c r="G35" s="3798" t="s">
        <v>3730</v>
      </c>
      <c r="H35" s="3798" t="s">
        <v>3488</v>
      </c>
      <c r="I35" s="3798">
        <v>431533.2</v>
      </c>
      <c r="J35" s="3798">
        <v>0</v>
      </c>
      <c r="K35" s="3798" t="s">
        <v>3496</v>
      </c>
      <c r="L35" s="3798" t="s">
        <v>3490</v>
      </c>
      <c r="M35" s="3798" t="s">
        <v>3731</v>
      </c>
      <c r="N35" s="3798" t="s">
        <v>3492</v>
      </c>
      <c r="O35" s="3798" t="s">
        <v>3493</v>
      </c>
      <c r="P35" s="3798" t="s">
        <v>3496</v>
      </c>
      <c r="Q35" s="3798" t="s">
        <v>3496</v>
      </c>
      <c r="R35" s="3798" t="s">
        <v>3496</v>
      </c>
      <c r="S35" s="3798" t="s">
        <v>3496</v>
      </c>
      <c r="T35" s="3798" t="s">
        <v>3496</v>
      </c>
      <c r="U35" s="3798" t="s">
        <v>3496</v>
      </c>
      <c r="V35" s="3798" t="s">
        <v>3496</v>
      </c>
      <c r="W35" s="3798" t="s">
        <v>3496</v>
      </c>
      <c r="X35" s="3798">
        <v>0</v>
      </c>
      <c r="Y35" s="3798">
        <v>0</v>
      </c>
      <c r="Z35" s="3801">
        <v>41234.000497685185</v>
      </c>
      <c r="AA35" s="3801">
        <v>41254.000497685185</v>
      </c>
      <c r="AB35" s="3801">
        <v>41264.000497685185</v>
      </c>
      <c r="AC35" s="3801">
        <v>41264.000497685185</v>
      </c>
      <c r="AD35" s="3798" t="s">
        <v>3732</v>
      </c>
      <c r="AE35" s="3798" t="s">
        <v>3498</v>
      </c>
      <c r="AF35" s="3798" t="s">
        <v>3733</v>
      </c>
      <c r="AG35" s="3798" t="s">
        <v>3496</v>
      </c>
      <c r="AH35" s="3798" t="s">
        <v>3496</v>
      </c>
      <c r="AI35" s="3798">
        <v>14500</v>
      </c>
      <c r="AJ35" s="3798">
        <v>2900</v>
      </c>
      <c r="AK35" s="3798" t="s">
        <v>633</v>
      </c>
      <c r="AL35" s="3798">
        <v>14500</v>
      </c>
      <c r="AM35" s="3798">
        <v>22.4</v>
      </c>
      <c r="AN35" s="3798">
        <v>22.4</v>
      </c>
      <c r="AO35" s="3798" t="s">
        <v>3496</v>
      </c>
      <c r="AP35" s="3798" t="s">
        <v>3496</v>
      </c>
      <c r="AQ35" s="3798" t="s">
        <v>3496</v>
      </c>
      <c r="AR35" s="3798" t="s">
        <v>3496</v>
      </c>
      <c r="AS35" s="3798">
        <v>0</v>
      </c>
      <c r="AT35" s="3798">
        <v>50</v>
      </c>
      <c r="AU35" s="3798" t="s">
        <v>3493</v>
      </c>
      <c r="AV35" s="3798" t="s">
        <v>3496</v>
      </c>
      <c r="AW35" s="3798" t="s">
        <v>3493</v>
      </c>
      <c r="AX35" s="3798" t="s">
        <v>3496</v>
      </c>
      <c r="AY35" s="3798" t="s">
        <v>3496</v>
      </c>
      <c r="AZ35" s="3798" t="s">
        <v>3496</v>
      </c>
    </row>
    <row r="36" spans="1:52">
      <c r="A36" s="3798" t="s">
        <v>3734</v>
      </c>
      <c r="B36" s="3798" t="s">
        <v>3482</v>
      </c>
      <c r="C36" s="3798" t="s">
        <v>3735</v>
      </c>
      <c r="D36" s="3798" t="s">
        <v>3484</v>
      </c>
      <c r="E36" s="3798" t="s">
        <v>3485</v>
      </c>
      <c r="F36" s="3798" t="s">
        <v>3496</v>
      </c>
      <c r="G36" s="3798" t="s">
        <v>3736</v>
      </c>
      <c r="H36" s="3798" t="s">
        <v>3488</v>
      </c>
      <c r="I36" s="3798">
        <v>38979.9</v>
      </c>
      <c r="J36" s="3798">
        <v>155919.6</v>
      </c>
      <c r="K36" s="3798" t="s">
        <v>3737</v>
      </c>
      <c r="L36" s="3798" t="s">
        <v>3490</v>
      </c>
      <c r="M36" s="3798" t="s">
        <v>3563</v>
      </c>
      <c r="N36" s="3798" t="s">
        <v>3492</v>
      </c>
      <c r="O36" s="3798" t="s">
        <v>3493</v>
      </c>
      <c r="P36" s="3798" t="s">
        <v>3522</v>
      </c>
      <c r="Q36" s="3798" t="s">
        <v>3514</v>
      </c>
      <c r="R36" s="3798" t="s">
        <v>3496</v>
      </c>
      <c r="S36" s="3798" t="s">
        <v>3496</v>
      </c>
      <c r="T36" s="3798" t="s">
        <v>3496</v>
      </c>
      <c r="U36" s="3798" t="s">
        <v>3496</v>
      </c>
      <c r="V36" s="3798" t="s">
        <v>3496</v>
      </c>
      <c r="W36" s="3798" t="s">
        <v>3496</v>
      </c>
      <c r="X36" s="3798">
        <v>0</v>
      </c>
      <c r="Y36" s="3798">
        <v>0</v>
      </c>
      <c r="Z36" s="3801">
        <v>41234.000497685185</v>
      </c>
      <c r="AA36" s="3801">
        <v>41254.000497685185</v>
      </c>
      <c r="AB36" s="3801">
        <v>41264.000497685185</v>
      </c>
      <c r="AC36" s="3801">
        <v>41264.000497685185</v>
      </c>
      <c r="AD36" s="3798" t="s">
        <v>3738</v>
      </c>
      <c r="AE36" s="3798" t="s">
        <v>3498</v>
      </c>
      <c r="AF36" s="3798" t="s">
        <v>3739</v>
      </c>
      <c r="AG36" s="3798" t="s">
        <v>3496</v>
      </c>
      <c r="AH36" s="3798" t="s">
        <v>3496</v>
      </c>
      <c r="AI36" s="3798">
        <v>7122</v>
      </c>
      <c r="AJ36" s="3798">
        <v>1425</v>
      </c>
      <c r="AK36" s="3798" t="s">
        <v>633</v>
      </c>
      <c r="AL36" s="3798">
        <v>7122</v>
      </c>
      <c r="AM36" s="3798">
        <v>121.81</v>
      </c>
      <c r="AN36" s="3798">
        <v>121.81</v>
      </c>
      <c r="AO36" s="3798">
        <v>457</v>
      </c>
      <c r="AP36" s="3798">
        <v>457</v>
      </c>
      <c r="AQ36" s="3798" t="s">
        <v>3496</v>
      </c>
      <c r="AR36" s="3798" t="s">
        <v>3496</v>
      </c>
      <c r="AS36" s="3798">
        <v>0</v>
      </c>
      <c r="AT36" s="3798">
        <v>50</v>
      </c>
      <c r="AU36" s="3798" t="s">
        <v>3493</v>
      </c>
      <c r="AV36" s="3798" t="s">
        <v>3496</v>
      </c>
      <c r="AW36" s="3798" t="s">
        <v>3493</v>
      </c>
      <c r="AX36" s="3798" t="s">
        <v>3496</v>
      </c>
      <c r="AY36" s="3798" t="s">
        <v>3496</v>
      </c>
      <c r="AZ36" s="3798" t="s">
        <v>3496</v>
      </c>
    </row>
    <row r="37" spans="1:52">
      <c r="A37" s="3798" t="s">
        <v>3740</v>
      </c>
      <c r="B37" s="3798" t="s">
        <v>3482</v>
      </c>
      <c r="C37" s="3798" t="s">
        <v>3741</v>
      </c>
      <c r="D37" s="3798" t="s">
        <v>3484</v>
      </c>
      <c r="E37" s="3798" t="s">
        <v>3485</v>
      </c>
      <c r="F37" s="3798" t="s">
        <v>3496</v>
      </c>
      <c r="G37" s="3798" t="s">
        <v>3742</v>
      </c>
      <c r="H37" s="3798" t="s">
        <v>3488</v>
      </c>
      <c r="I37" s="3798">
        <v>1078138</v>
      </c>
      <c r="J37" s="3798">
        <v>0</v>
      </c>
      <c r="K37" s="3798" t="s">
        <v>3496</v>
      </c>
      <c r="L37" s="3798" t="s">
        <v>3490</v>
      </c>
      <c r="M37" s="3798" t="s">
        <v>3731</v>
      </c>
      <c r="N37" s="3798" t="s">
        <v>3492</v>
      </c>
      <c r="O37" s="3798" t="s">
        <v>3493</v>
      </c>
      <c r="P37" s="3798" t="s">
        <v>3496</v>
      </c>
      <c r="Q37" s="3798" t="s">
        <v>3496</v>
      </c>
      <c r="R37" s="3798" t="s">
        <v>3496</v>
      </c>
      <c r="S37" s="3798" t="s">
        <v>3496</v>
      </c>
      <c r="T37" s="3798" t="s">
        <v>3496</v>
      </c>
      <c r="U37" s="3798" t="s">
        <v>3496</v>
      </c>
      <c r="V37" s="3798" t="s">
        <v>3496</v>
      </c>
      <c r="W37" s="3798" t="s">
        <v>3496</v>
      </c>
      <c r="X37" s="3798">
        <v>0</v>
      </c>
      <c r="Y37" s="3798">
        <v>0</v>
      </c>
      <c r="Z37" s="3801">
        <v>41234.000497685185</v>
      </c>
      <c r="AA37" s="3801">
        <v>41254.000497685185</v>
      </c>
      <c r="AB37" s="3801">
        <v>41264.000497685185</v>
      </c>
      <c r="AC37" s="3801">
        <v>41264.000497685185</v>
      </c>
      <c r="AD37" s="3798" t="s">
        <v>3743</v>
      </c>
      <c r="AE37" s="3798" t="s">
        <v>3498</v>
      </c>
      <c r="AF37" s="3798" t="s">
        <v>3733</v>
      </c>
      <c r="AG37" s="3798" t="s">
        <v>3496</v>
      </c>
      <c r="AH37" s="3798" t="s">
        <v>3496</v>
      </c>
      <c r="AI37" s="3798">
        <v>36230</v>
      </c>
      <c r="AJ37" s="3798">
        <v>7246</v>
      </c>
      <c r="AK37" s="3798" t="s">
        <v>633</v>
      </c>
      <c r="AL37" s="3798">
        <v>36230</v>
      </c>
      <c r="AM37" s="3798">
        <v>22.4</v>
      </c>
      <c r="AN37" s="3798">
        <v>22.4</v>
      </c>
      <c r="AO37" s="3798" t="s">
        <v>3496</v>
      </c>
      <c r="AP37" s="3798" t="s">
        <v>3496</v>
      </c>
      <c r="AQ37" s="3798" t="s">
        <v>3496</v>
      </c>
      <c r="AR37" s="3798" t="s">
        <v>3496</v>
      </c>
      <c r="AS37" s="3798">
        <v>0</v>
      </c>
      <c r="AT37" s="3798">
        <v>50</v>
      </c>
      <c r="AU37" s="3798" t="s">
        <v>3493</v>
      </c>
      <c r="AV37" s="3798" t="s">
        <v>3496</v>
      </c>
      <c r="AW37" s="3798" t="s">
        <v>3493</v>
      </c>
      <c r="AX37" s="3798" t="s">
        <v>3496</v>
      </c>
      <c r="AY37" s="3798" t="s">
        <v>3496</v>
      </c>
      <c r="AZ37" s="3798" t="s">
        <v>3496</v>
      </c>
    </row>
    <row r="38" spans="1:52">
      <c r="A38" s="3798" t="s">
        <v>3744</v>
      </c>
      <c r="B38" s="3798" t="s">
        <v>3482</v>
      </c>
      <c r="C38" s="3798" t="s">
        <v>3745</v>
      </c>
      <c r="D38" s="3798" t="s">
        <v>3484</v>
      </c>
      <c r="E38" s="3798" t="s">
        <v>3485</v>
      </c>
      <c r="F38" s="3798" t="s">
        <v>3496</v>
      </c>
      <c r="G38" s="3798" t="s">
        <v>3746</v>
      </c>
      <c r="H38" s="3798" t="s">
        <v>3488</v>
      </c>
      <c r="I38" s="3798">
        <v>4664</v>
      </c>
      <c r="J38" s="3798">
        <v>1865.6</v>
      </c>
      <c r="K38" s="3798" t="s">
        <v>3747</v>
      </c>
      <c r="L38" s="3798" t="s">
        <v>3490</v>
      </c>
      <c r="M38" s="3798" t="s">
        <v>3712</v>
      </c>
      <c r="N38" s="3798" t="s">
        <v>3492</v>
      </c>
      <c r="O38" s="3798" t="s">
        <v>3493</v>
      </c>
      <c r="P38" s="3798" t="s">
        <v>3496</v>
      </c>
      <c r="Q38" s="3798" t="s">
        <v>3495</v>
      </c>
      <c r="R38" s="3798" t="s">
        <v>3496</v>
      </c>
      <c r="S38" s="3798" t="s">
        <v>3496</v>
      </c>
      <c r="T38" s="3798" t="s">
        <v>3496</v>
      </c>
      <c r="U38" s="3798" t="s">
        <v>3496</v>
      </c>
      <c r="V38" s="3798" t="s">
        <v>3496</v>
      </c>
      <c r="W38" s="3798" t="s">
        <v>3496</v>
      </c>
      <c r="X38" s="3798">
        <v>0</v>
      </c>
      <c r="Y38" s="3798">
        <v>0</v>
      </c>
      <c r="Z38" s="3798" t="s">
        <v>3496</v>
      </c>
      <c r="AA38" s="3801">
        <v>41108.000497685185</v>
      </c>
      <c r="AB38" s="3801">
        <v>41121.000497685185</v>
      </c>
      <c r="AC38" s="3801">
        <v>41121.000497685185</v>
      </c>
      <c r="AD38" s="3798" t="s">
        <v>3496</v>
      </c>
      <c r="AE38" s="3798" t="s">
        <v>3498</v>
      </c>
      <c r="AF38" s="3798" t="s">
        <v>3748</v>
      </c>
      <c r="AG38" s="3798" t="s">
        <v>3496</v>
      </c>
      <c r="AH38" s="3798" t="s">
        <v>3496</v>
      </c>
      <c r="AI38" s="3798">
        <v>3530</v>
      </c>
      <c r="AJ38" s="3798">
        <v>750</v>
      </c>
      <c r="AK38" s="3798" t="s">
        <v>633</v>
      </c>
      <c r="AL38" s="3798">
        <v>3530</v>
      </c>
      <c r="AM38" s="3798">
        <v>504.57</v>
      </c>
      <c r="AN38" s="3798">
        <v>504.57</v>
      </c>
      <c r="AO38" s="3798">
        <v>18922</v>
      </c>
      <c r="AP38" s="3798">
        <v>18922</v>
      </c>
      <c r="AQ38" s="3798" t="s">
        <v>3496</v>
      </c>
      <c r="AR38" s="3798" t="s">
        <v>3496</v>
      </c>
      <c r="AS38" s="3798">
        <v>0</v>
      </c>
      <c r="AT38" s="3798">
        <v>40</v>
      </c>
      <c r="AU38" s="3798" t="s">
        <v>3493</v>
      </c>
      <c r="AV38" s="3798" t="s">
        <v>3496</v>
      </c>
      <c r="AW38" s="3798" t="s">
        <v>3493</v>
      </c>
      <c r="AX38" s="3798" t="s">
        <v>3496</v>
      </c>
      <c r="AY38" s="3798" t="s">
        <v>3496</v>
      </c>
      <c r="AZ38" s="3798" t="s">
        <v>3496</v>
      </c>
    </row>
    <row r="39" spans="1:52">
      <c r="A39" s="3798" t="s">
        <v>3749</v>
      </c>
      <c r="B39" s="3798" t="s">
        <v>3482</v>
      </c>
      <c r="C39" s="3798" t="s">
        <v>3750</v>
      </c>
      <c r="D39" s="3798" t="s">
        <v>3484</v>
      </c>
      <c r="E39" s="3798" t="s">
        <v>3485</v>
      </c>
      <c r="F39" s="3798" t="s">
        <v>3751</v>
      </c>
      <c r="G39" s="3798" t="s">
        <v>3752</v>
      </c>
      <c r="H39" s="3798" t="s">
        <v>3488</v>
      </c>
      <c r="I39" s="3798">
        <v>3355.3</v>
      </c>
      <c r="J39" s="3798">
        <v>1342.12</v>
      </c>
      <c r="K39" s="3798" t="s">
        <v>3747</v>
      </c>
      <c r="L39" s="3798" t="s">
        <v>3490</v>
      </c>
      <c r="M39" s="3798" t="s">
        <v>3712</v>
      </c>
      <c r="N39" s="3798" t="s">
        <v>3492</v>
      </c>
      <c r="O39" s="3798" t="s">
        <v>3493</v>
      </c>
      <c r="P39" s="3798" t="s">
        <v>3496</v>
      </c>
      <c r="Q39" s="3798" t="s">
        <v>3495</v>
      </c>
      <c r="R39" s="3798" t="s">
        <v>3496</v>
      </c>
      <c r="S39" s="3798" t="s">
        <v>3496</v>
      </c>
      <c r="T39" s="3798" t="s">
        <v>3496</v>
      </c>
      <c r="U39" s="3798" t="s">
        <v>3496</v>
      </c>
      <c r="V39" s="3798" t="s">
        <v>3496</v>
      </c>
      <c r="W39" s="3798" t="s">
        <v>3496</v>
      </c>
      <c r="X39" s="3798">
        <v>0</v>
      </c>
      <c r="Y39" s="3798">
        <v>0</v>
      </c>
      <c r="Z39" s="3798" t="s">
        <v>3496</v>
      </c>
      <c r="AA39" s="3801">
        <v>41079.000497685185</v>
      </c>
      <c r="AB39" s="3801">
        <v>41089.000497685185</v>
      </c>
      <c r="AC39" s="3801">
        <v>41089.000497685185</v>
      </c>
      <c r="AD39" s="3798" t="s">
        <v>3496</v>
      </c>
      <c r="AE39" s="3798" t="s">
        <v>3498</v>
      </c>
      <c r="AF39" s="3798" t="s">
        <v>3715</v>
      </c>
      <c r="AG39" s="3798" t="s">
        <v>3496</v>
      </c>
      <c r="AH39" s="3798" t="s">
        <v>3496</v>
      </c>
      <c r="AI39" s="3798">
        <v>2350</v>
      </c>
      <c r="AJ39" s="3798">
        <v>500</v>
      </c>
      <c r="AK39" s="3798" t="s">
        <v>633</v>
      </c>
      <c r="AL39" s="3798">
        <v>2350</v>
      </c>
      <c r="AM39" s="3798">
        <v>466.92</v>
      </c>
      <c r="AN39" s="3798">
        <v>466.92</v>
      </c>
      <c r="AO39" s="3798">
        <v>17510</v>
      </c>
      <c r="AP39" s="3798">
        <v>17510</v>
      </c>
      <c r="AQ39" s="3798" t="s">
        <v>3496</v>
      </c>
      <c r="AR39" s="3798" t="s">
        <v>3496</v>
      </c>
      <c r="AS39" s="3798">
        <v>0</v>
      </c>
      <c r="AT39" s="3798">
        <v>40</v>
      </c>
      <c r="AU39" s="3798" t="s">
        <v>3493</v>
      </c>
      <c r="AV39" s="3798" t="s">
        <v>3496</v>
      </c>
      <c r="AW39" s="3798" t="s">
        <v>3493</v>
      </c>
      <c r="AX39" s="3798" t="s">
        <v>3496</v>
      </c>
      <c r="AY39" s="3798" t="s">
        <v>3496</v>
      </c>
      <c r="AZ39" s="3798" t="s">
        <v>3496</v>
      </c>
    </row>
    <row r="40" spans="1:52">
      <c r="A40" s="3798" t="s">
        <v>3753</v>
      </c>
      <c r="B40" s="3798" t="s">
        <v>3482</v>
      </c>
      <c r="C40" s="3798" t="s">
        <v>3754</v>
      </c>
      <c r="D40" s="3798" t="s">
        <v>3484</v>
      </c>
      <c r="E40" s="3798" t="s">
        <v>3485</v>
      </c>
      <c r="F40" s="3798" t="s">
        <v>3638</v>
      </c>
      <c r="G40" s="3798" t="s">
        <v>3755</v>
      </c>
      <c r="H40" s="3798" t="s">
        <v>3488</v>
      </c>
      <c r="I40" s="3798">
        <v>87419.7</v>
      </c>
      <c r="J40" s="3798">
        <v>43709.85</v>
      </c>
      <c r="K40" s="3798" t="s">
        <v>3711</v>
      </c>
      <c r="L40" s="3798" t="s">
        <v>3490</v>
      </c>
      <c r="M40" s="3798" t="s">
        <v>3731</v>
      </c>
      <c r="N40" s="3798" t="s">
        <v>3492</v>
      </c>
      <c r="O40" s="3798" t="s">
        <v>3493</v>
      </c>
      <c r="P40" s="3798" t="s">
        <v>3494</v>
      </c>
      <c r="Q40" s="3798" t="s">
        <v>3756</v>
      </c>
      <c r="R40" s="3798" t="s">
        <v>3496</v>
      </c>
      <c r="S40" s="3798" t="s">
        <v>3496</v>
      </c>
      <c r="T40" s="3798" t="s">
        <v>3496</v>
      </c>
      <c r="U40" s="3798" t="s">
        <v>3496</v>
      </c>
      <c r="V40" s="3798" t="s">
        <v>3496</v>
      </c>
      <c r="W40" s="3798" t="s">
        <v>3496</v>
      </c>
      <c r="X40" s="3798">
        <v>0</v>
      </c>
      <c r="Y40" s="3798">
        <v>0</v>
      </c>
      <c r="Z40" s="3798" t="s">
        <v>3496</v>
      </c>
      <c r="AA40" s="3801">
        <v>39707.000497685185</v>
      </c>
      <c r="AB40" s="3801">
        <v>39718.000497685185</v>
      </c>
      <c r="AC40" s="3801">
        <v>39718.000497685185</v>
      </c>
      <c r="AD40" s="3798" t="s">
        <v>3496</v>
      </c>
      <c r="AE40" s="3798" t="s">
        <v>3498</v>
      </c>
      <c r="AF40" s="3798" t="s">
        <v>3715</v>
      </c>
      <c r="AG40" s="3798" t="s">
        <v>3496</v>
      </c>
      <c r="AH40" s="3798" t="s">
        <v>3496</v>
      </c>
      <c r="AI40" s="3798">
        <v>2938</v>
      </c>
      <c r="AJ40" s="3798">
        <v>450</v>
      </c>
      <c r="AK40" s="3798" t="s">
        <v>633</v>
      </c>
      <c r="AL40" s="3798">
        <v>2938</v>
      </c>
      <c r="AM40" s="3798">
        <v>22.41</v>
      </c>
      <c r="AN40" s="3798">
        <v>22.41</v>
      </c>
      <c r="AO40" s="3798">
        <v>672</v>
      </c>
      <c r="AP40" s="3798">
        <v>672</v>
      </c>
      <c r="AQ40" s="3798" t="s">
        <v>3496</v>
      </c>
      <c r="AR40" s="3798" t="s">
        <v>3496</v>
      </c>
      <c r="AS40" s="3798">
        <v>0</v>
      </c>
      <c r="AT40" s="3798" t="s">
        <v>3496</v>
      </c>
      <c r="AU40" s="3798" t="s">
        <v>3493</v>
      </c>
      <c r="AV40" s="3798" t="s">
        <v>3496</v>
      </c>
      <c r="AW40" s="3798" t="s">
        <v>3493</v>
      </c>
      <c r="AX40" s="3798" t="s">
        <v>3496</v>
      </c>
      <c r="AY40" s="3798" t="s">
        <v>3496</v>
      </c>
      <c r="AZ40" s="3798" t="s">
        <v>3496</v>
      </c>
    </row>
    <row r="41" spans="1:52">
      <c r="A41" s="3798" t="s">
        <v>3757</v>
      </c>
      <c r="B41" s="3798" t="s">
        <v>3482</v>
      </c>
      <c r="C41" s="3798" t="s">
        <v>3758</v>
      </c>
      <c r="D41" s="3798" t="s">
        <v>3484</v>
      </c>
      <c r="E41" s="3798" t="s">
        <v>3485</v>
      </c>
      <c r="F41" s="3798" t="s">
        <v>3504</v>
      </c>
      <c r="G41" s="3798" t="s">
        <v>3759</v>
      </c>
      <c r="H41" s="3798" t="s">
        <v>3488</v>
      </c>
      <c r="I41" s="3798">
        <v>295195.90000000002</v>
      </c>
      <c r="J41" s="3798">
        <v>442793.8</v>
      </c>
      <c r="K41" s="3798" t="s">
        <v>3719</v>
      </c>
      <c r="L41" s="3798" t="s">
        <v>3490</v>
      </c>
      <c r="M41" s="3798" t="s">
        <v>3760</v>
      </c>
      <c r="N41" s="3798" t="s">
        <v>3492</v>
      </c>
      <c r="O41" s="3798" t="s">
        <v>3493</v>
      </c>
      <c r="P41" s="3798" t="s">
        <v>3546</v>
      </c>
      <c r="Q41" s="3798" t="s">
        <v>3496</v>
      </c>
      <c r="R41" s="3798" t="s">
        <v>3496</v>
      </c>
      <c r="S41" s="3798" t="s">
        <v>3496</v>
      </c>
      <c r="T41" s="3798" t="s">
        <v>3496</v>
      </c>
      <c r="U41" s="3798" t="s">
        <v>3496</v>
      </c>
      <c r="V41" s="3798" t="s">
        <v>3496</v>
      </c>
      <c r="W41" s="3798" t="s">
        <v>3496</v>
      </c>
      <c r="X41" s="3798">
        <v>0</v>
      </c>
      <c r="Y41" s="3798">
        <v>0</v>
      </c>
      <c r="Z41" s="3798" t="s">
        <v>3496</v>
      </c>
      <c r="AA41" s="3801">
        <v>40813.000497685185</v>
      </c>
      <c r="AB41" s="3801">
        <v>40829.000497685185</v>
      </c>
      <c r="AC41" s="3801">
        <v>40829.000497685185</v>
      </c>
      <c r="AD41" s="3798" t="s">
        <v>3496</v>
      </c>
      <c r="AE41" s="3798" t="s">
        <v>3498</v>
      </c>
      <c r="AF41" s="3798" t="s">
        <v>3761</v>
      </c>
      <c r="AG41" s="3798" t="s">
        <v>3496</v>
      </c>
      <c r="AH41" s="3798" t="s">
        <v>3496</v>
      </c>
      <c r="AI41" s="3798">
        <v>17270</v>
      </c>
      <c r="AJ41" s="3798">
        <v>3454</v>
      </c>
      <c r="AK41" s="3798" t="s">
        <v>633</v>
      </c>
      <c r="AL41" s="3798">
        <v>17270</v>
      </c>
      <c r="AM41" s="3798">
        <v>39</v>
      </c>
      <c r="AN41" s="3798">
        <v>39</v>
      </c>
      <c r="AO41" s="3798">
        <v>390</v>
      </c>
      <c r="AP41" s="3798">
        <v>390</v>
      </c>
      <c r="AQ41" s="3798" t="s">
        <v>3496</v>
      </c>
      <c r="AR41" s="3798" t="s">
        <v>3496</v>
      </c>
      <c r="AS41" s="3798">
        <v>0</v>
      </c>
      <c r="AT41" s="3798">
        <v>50</v>
      </c>
      <c r="AU41" s="3798" t="s">
        <v>3493</v>
      </c>
      <c r="AV41" s="3798" t="s">
        <v>3496</v>
      </c>
      <c r="AW41" s="3798" t="s">
        <v>3493</v>
      </c>
      <c r="AX41" s="3798" t="s">
        <v>3496</v>
      </c>
      <c r="AY41" s="3798" t="s">
        <v>3496</v>
      </c>
      <c r="AZ41" s="3798" t="s">
        <v>3496</v>
      </c>
    </row>
    <row r="42" spans="1:52">
      <c r="A42" s="3798" t="s">
        <v>3762</v>
      </c>
      <c r="B42" s="3798" t="s">
        <v>3482</v>
      </c>
      <c r="C42" s="3798" t="s">
        <v>3763</v>
      </c>
      <c r="D42" s="3798" t="s">
        <v>3484</v>
      </c>
      <c r="E42" s="3798" t="s">
        <v>3485</v>
      </c>
      <c r="F42" s="3798" t="s">
        <v>3496</v>
      </c>
      <c r="G42" s="3798" t="s">
        <v>3764</v>
      </c>
      <c r="H42" s="3798" t="s">
        <v>3488</v>
      </c>
      <c r="I42" s="3798">
        <v>24420.400000000001</v>
      </c>
      <c r="J42" s="3798">
        <v>31746.52</v>
      </c>
      <c r="K42" s="3798" t="s">
        <v>3765</v>
      </c>
      <c r="L42" s="3798" t="s">
        <v>3490</v>
      </c>
      <c r="M42" s="3798" t="s">
        <v>3563</v>
      </c>
      <c r="N42" s="3798" t="s">
        <v>3492</v>
      </c>
      <c r="O42" s="3798" t="s">
        <v>3493</v>
      </c>
      <c r="P42" s="3798" t="s">
        <v>3583</v>
      </c>
      <c r="Q42" s="3798" t="s">
        <v>3496</v>
      </c>
      <c r="R42" s="3798" t="s">
        <v>3496</v>
      </c>
      <c r="S42" s="3798" t="s">
        <v>3496</v>
      </c>
      <c r="T42" s="3798" t="s">
        <v>3496</v>
      </c>
      <c r="U42" s="3798" t="s">
        <v>3496</v>
      </c>
      <c r="V42" s="3798" t="s">
        <v>3496</v>
      </c>
      <c r="W42" s="3798" t="s">
        <v>3496</v>
      </c>
      <c r="X42" s="3798">
        <v>0</v>
      </c>
      <c r="Y42" s="3798">
        <v>0</v>
      </c>
      <c r="Z42" s="3798" t="s">
        <v>3496</v>
      </c>
      <c r="AA42" s="3801">
        <v>40981.000497685185</v>
      </c>
      <c r="AB42" s="3801">
        <v>40991.000497685185</v>
      </c>
      <c r="AC42" s="3801">
        <v>40991.000497685185</v>
      </c>
      <c r="AD42" s="3798" t="s">
        <v>3496</v>
      </c>
      <c r="AE42" s="3798" t="s">
        <v>3498</v>
      </c>
      <c r="AF42" s="3798" t="s">
        <v>3766</v>
      </c>
      <c r="AG42" s="3798" t="s">
        <v>3496</v>
      </c>
      <c r="AH42" s="3798" t="s">
        <v>3496</v>
      </c>
      <c r="AI42" s="3798">
        <v>1100</v>
      </c>
      <c r="AJ42" s="3798">
        <v>220</v>
      </c>
      <c r="AK42" s="3798" t="s">
        <v>633</v>
      </c>
      <c r="AL42" s="3798">
        <v>1100</v>
      </c>
      <c r="AM42" s="3798">
        <v>30.03</v>
      </c>
      <c r="AN42" s="3798">
        <v>30.03</v>
      </c>
      <c r="AO42" s="3798">
        <v>346</v>
      </c>
      <c r="AP42" s="3798">
        <v>346</v>
      </c>
      <c r="AQ42" s="3798" t="s">
        <v>3496</v>
      </c>
      <c r="AR42" s="3798" t="s">
        <v>3496</v>
      </c>
      <c r="AS42" s="3798">
        <v>0</v>
      </c>
      <c r="AT42" s="3798" t="s">
        <v>3501</v>
      </c>
      <c r="AU42" s="3798" t="s">
        <v>3493</v>
      </c>
      <c r="AV42" s="3798" t="s">
        <v>3496</v>
      </c>
      <c r="AW42" s="3798" t="s">
        <v>3493</v>
      </c>
      <c r="AX42" s="3798" t="s">
        <v>3496</v>
      </c>
      <c r="AY42" s="3798" t="s">
        <v>3496</v>
      </c>
      <c r="AZ42" s="3798" t="s">
        <v>3496</v>
      </c>
    </row>
    <row r="43" spans="1:52">
      <c r="A43" s="3798" t="s">
        <v>3767</v>
      </c>
      <c r="B43" s="3798" t="s">
        <v>3482</v>
      </c>
      <c r="C43" s="3798" t="s">
        <v>3768</v>
      </c>
      <c r="D43" s="3798" t="s">
        <v>3484</v>
      </c>
      <c r="E43" s="3798" t="s">
        <v>3485</v>
      </c>
      <c r="F43" s="3798" t="s">
        <v>3496</v>
      </c>
      <c r="G43" s="3798" t="s">
        <v>3769</v>
      </c>
      <c r="H43" s="3798" t="s">
        <v>3488</v>
      </c>
      <c r="I43" s="3798">
        <v>53404.4</v>
      </c>
      <c r="J43" s="3798">
        <v>96127.92</v>
      </c>
      <c r="K43" s="3798" t="s">
        <v>3545</v>
      </c>
      <c r="L43" s="3798" t="s">
        <v>3490</v>
      </c>
      <c r="M43" s="3798" t="s">
        <v>3770</v>
      </c>
      <c r="N43" s="3798" t="s">
        <v>3492</v>
      </c>
      <c r="O43" s="3798" t="s">
        <v>3493</v>
      </c>
      <c r="P43" s="3798" t="s">
        <v>3583</v>
      </c>
      <c r="Q43" s="3798" t="s">
        <v>3496</v>
      </c>
      <c r="R43" s="3798" t="s">
        <v>3496</v>
      </c>
      <c r="S43" s="3798" t="s">
        <v>3496</v>
      </c>
      <c r="T43" s="3798" t="s">
        <v>3496</v>
      </c>
      <c r="U43" s="3798" t="s">
        <v>3496</v>
      </c>
      <c r="V43" s="3798" t="s">
        <v>3496</v>
      </c>
      <c r="W43" s="3798" t="s">
        <v>3496</v>
      </c>
      <c r="X43" s="3798">
        <v>0</v>
      </c>
      <c r="Y43" s="3798">
        <v>0</v>
      </c>
      <c r="Z43" s="3798" t="s">
        <v>3496</v>
      </c>
      <c r="AA43" s="3801">
        <v>40952.000497685185</v>
      </c>
      <c r="AB43" s="3801">
        <v>40962.000497685185</v>
      </c>
      <c r="AC43" s="3801">
        <v>40962.000497685185</v>
      </c>
      <c r="AD43" s="3798" t="s">
        <v>3496</v>
      </c>
      <c r="AE43" s="3798" t="s">
        <v>3498</v>
      </c>
      <c r="AF43" s="3798" t="s">
        <v>3771</v>
      </c>
      <c r="AG43" s="3798" t="s">
        <v>3496</v>
      </c>
      <c r="AH43" s="3798" t="s">
        <v>3496</v>
      </c>
      <c r="AI43" s="3798">
        <v>2450</v>
      </c>
      <c r="AJ43" s="3798">
        <v>485</v>
      </c>
      <c r="AK43" s="3798" t="s">
        <v>633</v>
      </c>
      <c r="AL43" s="3798">
        <v>2450</v>
      </c>
      <c r="AM43" s="3798">
        <v>30.58</v>
      </c>
      <c r="AN43" s="3798">
        <v>30.58</v>
      </c>
      <c r="AO43" s="3798">
        <v>255</v>
      </c>
      <c r="AP43" s="3798">
        <v>255</v>
      </c>
      <c r="AQ43" s="3798" t="s">
        <v>3496</v>
      </c>
      <c r="AR43" s="3798" t="s">
        <v>3496</v>
      </c>
      <c r="AS43" s="3798">
        <v>0</v>
      </c>
      <c r="AT43" s="3798" t="s">
        <v>3501</v>
      </c>
      <c r="AU43" s="3798" t="s">
        <v>3493</v>
      </c>
      <c r="AV43" s="3798" t="s">
        <v>3496</v>
      </c>
      <c r="AW43" s="3798" t="s">
        <v>3493</v>
      </c>
      <c r="AX43" s="3798" t="s">
        <v>3496</v>
      </c>
      <c r="AY43" s="3798" t="s">
        <v>3496</v>
      </c>
      <c r="AZ43" s="3798" t="s">
        <v>3496</v>
      </c>
    </row>
    <row r="44" spans="1:52">
      <c r="A44" s="3798" t="s">
        <v>3772</v>
      </c>
      <c r="B44" s="3798" t="s">
        <v>3482</v>
      </c>
      <c r="C44" s="3798" t="s">
        <v>3773</v>
      </c>
      <c r="D44" s="3798" t="s">
        <v>3484</v>
      </c>
      <c r="E44" s="3798" t="s">
        <v>3485</v>
      </c>
      <c r="F44" s="3798" t="s">
        <v>3570</v>
      </c>
      <c r="G44" s="3798" t="s">
        <v>3774</v>
      </c>
      <c r="H44" s="3798" t="s">
        <v>3488</v>
      </c>
      <c r="I44" s="3798">
        <v>7951.2</v>
      </c>
      <c r="J44" s="3798">
        <v>11926.8</v>
      </c>
      <c r="K44" s="3798" t="s">
        <v>3775</v>
      </c>
      <c r="L44" s="3798" t="s">
        <v>3490</v>
      </c>
      <c r="M44" s="3798" t="s">
        <v>3776</v>
      </c>
      <c r="N44" s="3798" t="s">
        <v>3492</v>
      </c>
      <c r="O44" s="3798" t="s">
        <v>3493</v>
      </c>
      <c r="P44" s="3798" t="s">
        <v>3546</v>
      </c>
      <c r="Q44" s="3798" t="s">
        <v>3496</v>
      </c>
      <c r="R44" s="3798" t="s">
        <v>3496</v>
      </c>
      <c r="S44" s="3798" t="s">
        <v>3496</v>
      </c>
      <c r="T44" s="3798" t="s">
        <v>3496</v>
      </c>
      <c r="U44" s="3798" t="s">
        <v>3496</v>
      </c>
      <c r="V44" s="3798" t="s">
        <v>3496</v>
      </c>
      <c r="W44" s="3798" t="s">
        <v>3496</v>
      </c>
      <c r="X44" s="3798">
        <v>0</v>
      </c>
      <c r="Y44" s="3798">
        <v>0</v>
      </c>
      <c r="Z44" s="3798" t="s">
        <v>3496</v>
      </c>
      <c r="AA44" s="3801">
        <v>40836.000497685185</v>
      </c>
      <c r="AB44" s="3801">
        <v>40848.000497685185</v>
      </c>
      <c r="AC44" s="3801">
        <v>40848.000497685185</v>
      </c>
      <c r="AD44" s="3798" t="s">
        <v>3496</v>
      </c>
      <c r="AE44" s="3798" t="s">
        <v>3498</v>
      </c>
      <c r="AF44" s="3798" t="s">
        <v>3777</v>
      </c>
      <c r="AG44" s="3798" t="s">
        <v>3496</v>
      </c>
      <c r="AH44" s="3798" t="s">
        <v>3496</v>
      </c>
      <c r="AI44" s="3798">
        <v>535</v>
      </c>
      <c r="AJ44" s="3798">
        <v>107</v>
      </c>
      <c r="AK44" s="3798" t="s">
        <v>633</v>
      </c>
      <c r="AL44" s="3798">
        <v>535</v>
      </c>
      <c r="AM44" s="3798">
        <v>44.86</v>
      </c>
      <c r="AN44" s="3798">
        <v>44.86</v>
      </c>
      <c r="AO44" s="3798">
        <v>449</v>
      </c>
      <c r="AP44" s="3798">
        <v>449</v>
      </c>
      <c r="AQ44" s="3798" t="s">
        <v>3496</v>
      </c>
      <c r="AR44" s="3798" t="s">
        <v>3496</v>
      </c>
      <c r="AS44" s="3798">
        <v>0</v>
      </c>
      <c r="AT44" s="3798">
        <v>50</v>
      </c>
      <c r="AU44" s="3798" t="s">
        <v>3493</v>
      </c>
      <c r="AV44" s="3798" t="s">
        <v>3496</v>
      </c>
      <c r="AW44" s="3798" t="s">
        <v>3493</v>
      </c>
      <c r="AX44" s="3798" t="s">
        <v>3496</v>
      </c>
      <c r="AY44" s="3798" t="s">
        <v>3496</v>
      </c>
      <c r="AZ44" s="3798" t="s">
        <v>3496</v>
      </c>
    </row>
    <row r="45" spans="1:52">
      <c r="A45" s="3798" t="s">
        <v>3778</v>
      </c>
      <c r="B45" s="3798" t="s">
        <v>3482</v>
      </c>
      <c r="C45" s="3798" t="s">
        <v>3779</v>
      </c>
      <c r="D45" s="3798" t="s">
        <v>3484</v>
      </c>
      <c r="E45" s="3798" t="s">
        <v>3485</v>
      </c>
      <c r="F45" s="3798" t="s">
        <v>3496</v>
      </c>
      <c r="G45" s="3798" t="s">
        <v>3780</v>
      </c>
      <c r="H45" s="3798" t="s">
        <v>3488</v>
      </c>
      <c r="I45" s="3798">
        <v>23090.1</v>
      </c>
      <c r="J45" s="3798">
        <v>115450.5</v>
      </c>
      <c r="K45" s="3798" t="s">
        <v>3781</v>
      </c>
      <c r="L45" s="3798" t="s">
        <v>3490</v>
      </c>
      <c r="M45" s="3798" t="s">
        <v>3770</v>
      </c>
      <c r="N45" s="3798" t="s">
        <v>3492</v>
      </c>
      <c r="O45" s="3798" t="s">
        <v>3493</v>
      </c>
      <c r="P45" s="3798" t="s">
        <v>3782</v>
      </c>
      <c r="Q45" s="3798" t="s">
        <v>3496</v>
      </c>
      <c r="R45" s="3798" t="s">
        <v>3496</v>
      </c>
      <c r="S45" s="3798" t="s">
        <v>3496</v>
      </c>
      <c r="T45" s="3798" t="s">
        <v>3496</v>
      </c>
      <c r="U45" s="3798" t="s">
        <v>3496</v>
      </c>
      <c r="V45" s="3798">
        <v>0</v>
      </c>
      <c r="W45" s="3798">
        <v>0</v>
      </c>
      <c r="X45" s="3798">
        <v>0</v>
      </c>
      <c r="Y45" s="3798">
        <v>0</v>
      </c>
      <c r="Z45" s="3798" t="s">
        <v>3496</v>
      </c>
      <c r="AA45" s="3801">
        <v>41193.000497685185</v>
      </c>
      <c r="AB45" s="3801">
        <v>41206.000497685185</v>
      </c>
      <c r="AC45" s="3801">
        <v>41206.000497685185</v>
      </c>
      <c r="AD45" s="3798" t="s">
        <v>3496</v>
      </c>
      <c r="AE45" s="3798" t="s">
        <v>3498</v>
      </c>
      <c r="AF45" s="3798" t="s">
        <v>3643</v>
      </c>
      <c r="AG45" s="3798" t="s">
        <v>3496</v>
      </c>
      <c r="AH45" s="3798" t="s">
        <v>3496</v>
      </c>
      <c r="AI45" s="3798">
        <v>2460</v>
      </c>
      <c r="AJ45" s="3798">
        <v>500</v>
      </c>
      <c r="AK45" s="3798" t="s">
        <v>633</v>
      </c>
      <c r="AL45" s="3798">
        <v>2460</v>
      </c>
      <c r="AM45" s="3798">
        <v>71.03</v>
      </c>
      <c r="AN45" s="3798">
        <v>71.03</v>
      </c>
      <c r="AO45" s="3798">
        <v>213</v>
      </c>
      <c r="AP45" s="3798">
        <v>213</v>
      </c>
      <c r="AQ45" s="3798" t="s">
        <v>3496</v>
      </c>
      <c r="AR45" s="3798" t="s">
        <v>3496</v>
      </c>
      <c r="AS45" s="3798">
        <v>0</v>
      </c>
      <c r="AT45" s="3798">
        <v>50</v>
      </c>
      <c r="AU45" s="3798" t="s">
        <v>3493</v>
      </c>
      <c r="AV45" s="3798" t="s">
        <v>3496</v>
      </c>
      <c r="AW45" s="3798" t="s">
        <v>3493</v>
      </c>
      <c r="AX45" s="3798" t="s">
        <v>3496</v>
      </c>
      <c r="AY45" s="3798" t="s">
        <v>3496</v>
      </c>
      <c r="AZ45" s="3798" t="s">
        <v>3496</v>
      </c>
    </row>
    <row r="46" spans="1:52">
      <c r="A46" s="3798" t="s">
        <v>3783</v>
      </c>
      <c r="B46" s="3798" t="s">
        <v>3482</v>
      </c>
      <c r="C46" s="3798" t="s">
        <v>3784</v>
      </c>
      <c r="D46" s="3798" t="s">
        <v>3484</v>
      </c>
      <c r="E46" s="3798" t="s">
        <v>3485</v>
      </c>
      <c r="F46" s="3798" t="s">
        <v>3511</v>
      </c>
      <c r="G46" s="3798" t="s">
        <v>3785</v>
      </c>
      <c r="H46" s="3798" t="s">
        <v>3488</v>
      </c>
      <c r="I46" s="3798">
        <v>53083.6</v>
      </c>
      <c r="J46" s="3798">
        <v>26541.8</v>
      </c>
      <c r="K46" s="3798" t="s">
        <v>3711</v>
      </c>
      <c r="L46" s="3798" t="s">
        <v>3490</v>
      </c>
      <c r="M46" s="3798" t="s">
        <v>3786</v>
      </c>
      <c r="N46" s="3798" t="s">
        <v>3492</v>
      </c>
      <c r="O46" s="3798" t="s">
        <v>3493</v>
      </c>
      <c r="P46" s="3798" t="s">
        <v>3496</v>
      </c>
      <c r="Q46" s="3798" t="s">
        <v>3496</v>
      </c>
      <c r="R46" s="3798" t="s">
        <v>3496</v>
      </c>
      <c r="S46" s="3798" t="s">
        <v>3496</v>
      </c>
      <c r="T46" s="3798" t="s">
        <v>3496</v>
      </c>
      <c r="U46" s="3798" t="s">
        <v>3496</v>
      </c>
      <c r="V46" s="3798" t="s">
        <v>3496</v>
      </c>
      <c r="W46" s="3798" t="s">
        <v>3496</v>
      </c>
      <c r="X46" s="3798">
        <v>0</v>
      </c>
      <c r="Y46" s="3798">
        <v>0</v>
      </c>
      <c r="Z46" s="3798" t="s">
        <v>3496</v>
      </c>
      <c r="AA46" s="3801">
        <v>40855.000497685185</v>
      </c>
      <c r="AB46" s="3801">
        <v>40864.000497685185</v>
      </c>
      <c r="AC46" s="3801">
        <v>40864.000497685185</v>
      </c>
      <c r="AD46" s="3798" t="s">
        <v>3496</v>
      </c>
      <c r="AE46" s="3798" t="s">
        <v>3498</v>
      </c>
      <c r="AF46" s="3798" t="s">
        <v>3673</v>
      </c>
      <c r="AG46" s="3798" t="s">
        <v>3496</v>
      </c>
      <c r="AH46" s="3798" t="s">
        <v>3496</v>
      </c>
      <c r="AI46" s="3798">
        <v>10600</v>
      </c>
      <c r="AJ46" s="3798">
        <v>2200</v>
      </c>
      <c r="AK46" s="3798" t="s">
        <v>633</v>
      </c>
      <c r="AL46" s="3798">
        <v>10600</v>
      </c>
      <c r="AM46" s="3798">
        <v>133.12</v>
      </c>
      <c r="AN46" s="3798">
        <v>133.12</v>
      </c>
      <c r="AO46" s="3798">
        <v>3994</v>
      </c>
      <c r="AP46" s="3798">
        <v>3994</v>
      </c>
      <c r="AQ46" s="3798" t="s">
        <v>3496</v>
      </c>
      <c r="AR46" s="3798" t="s">
        <v>3496</v>
      </c>
      <c r="AS46" s="3798">
        <v>0</v>
      </c>
      <c r="AT46" s="3798" t="s">
        <v>3501</v>
      </c>
      <c r="AU46" s="3798" t="s">
        <v>3493</v>
      </c>
      <c r="AV46" s="3798" t="s">
        <v>3496</v>
      </c>
      <c r="AW46" s="3798" t="s">
        <v>3493</v>
      </c>
      <c r="AX46" s="3798" t="s">
        <v>3496</v>
      </c>
      <c r="AY46" s="3798" t="s">
        <v>3496</v>
      </c>
      <c r="AZ46" s="3798" t="s">
        <v>3496</v>
      </c>
    </row>
  </sheetData>
  <mergeCells count="2392">
    <mergeCell ref="AP46"/>
    <mergeCell ref="AQ46"/>
    <mergeCell ref="AR46"/>
    <mergeCell ref="AS46"/>
    <mergeCell ref="AT46"/>
    <mergeCell ref="AU46"/>
    <mergeCell ref="AV46"/>
    <mergeCell ref="AW46"/>
    <mergeCell ref="AX46"/>
    <mergeCell ref="AY46"/>
    <mergeCell ref="AZ46"/>
    <mergeCell ref="Y46"/>
    <mergeCell ref="Z46"/>
    <mergeCell ref="AA46"/>
    <mergeCell ref="AB46"/>
    <mergeCell ref="AC46"/>
    <mergeCell ref="AD46"/>
    <mergeCell ref="AE46"/>
    <mergeCell ref="AF46"/>
    <mergeCell ref="AG46"/>
    <mergeCell ref="AH46"/>
    <mergeCell ref="AI46"/>
    <mergeCell ref="AJ46"/>
    <mergeCell ref="AK46"/>
    <mergeCell ref="AL46"/>
    <mergeCell ref="AM46"/>
    <mergeCell ref="AN46"/>
    <mergeCell ref="AO46"/>
    <mergeCell ref="AS45"/>
    <mergeCell ref="AT45"/>
    <mergeCell ref="AU45"/>
    <mergeCell ref="AV45"/>
    <mergeCell ref="AW45"/>
    <mergeCell ref="AX45"/>
    <mergeCell ref="AY45"/>
    <mergeCell ref="AZ45"/>
    <mergeCell ref="A46"/>
    <mergeCell ref="B46"/>
    <mergeCell ref="C46"/>
    <mergeCell ref="D46"/>
    <mergeCell ref="E46"/>
    <mergeCell ref="F46"/>
    <mergeCell ref="G46"/>
    <mergeCell ref="H46"/>
    <mergeCell ref="I46"/>
    <mergeCell ref="J46"/>
    <mergeCell ref="K46"/>
    <mergeCell ref="L46"/>
    <mergeCell ref="M46"/>
    <mergeCell ref="N46"/>
    <mergeCell ref="O46"/>
    <mergeCell ref="P46"/>
    <mergeCell ref="Q46"/>
    <mergeCell ref="R46"/>
    <mergeCell ref="S46"/>
    <mergeCell ref="T46"/>
    <mergeCell ref="U46"/>
    <mergeCell ref="V46"/>
    <mergeCell ref="W46"/>
    <mergeCell ref="X46"/>
    <mergeCell ref="AB45"/>
    <mergeCell ref="AC45"/>
    <mergeCell ref="AD45"/>
    <mergeCell ref="AE45"/>
    <mergeCell ref="AF45"/>
    <mergeCell ref="AG45"/>
    <mergeCell ref="AH45"/>
    <mergeCell ref="AI45"/>
    <mergeCell ref="AJ45"/>
    <mergeCell ref="AK45"/>
    <mergeCell ref="AL45"/>
    <mergeCell ref="AM45"/>
    <mergeCell ref="AN45"/>
    <mergeCell ref="AO45"/>
    <mergeCell ref="AP45"/>
    <mergeCell ref="AQ45"/>
    <mergeCell ref="AR45"/>
    <mergeCell ref="AV44"/>
    <mergeCell ref="AW44"/>
    <mergeCell ref="AX44"/>
    <mergeCell ref="AY44"/>
    <mergeCell ref="AZ44"/>
    <mergeCell ref="A45"/>
    <mergeCell ref="B45"/>
    <mergeCell ref="C45"/>
    <mergeCell ref="D45"/>
    <mergeCell ref="E45"/>
    <mergeCell ref="F45"/>
    <mergeCell ref="G45"/>
    <mergeCell ref="H45"/>
    <mergeCell ref="I45"/>
    <mergeCell ref="J45"/>
    <mergeCell ref="K45"/>
    <mergeCell ref="L45"/>
    <mergeCell ref="M45"/>
    <mergeCell ref="N45"/>
    <mergeCell ref="O45"/>
    <mergeCell ref="P45"/>
    <mergeCell ref="Q45"/>
    <mergeCell ref="R45"/>
    <mergeCell ref="S45"/>
    <mergeCell ref="T45"/>
    <mergeCell ref="U45"/>
    <mergeCell ref="V45"/>
    <mergeCell ref="W45"/>
    <mergeCell ref="X45"/>
    <mergeCell ref="Y45"/>
    <mergeCell ref="Z45"/>
    <mergeCell ref="AA45"/>
    <mergeCell ref="AE44"/>
    <mergeCell ref="AF44"/>
    <mergeCell ref="AG44"/>
    <mergeCell ref="AH44"/>
    <mergeCell ref="AI44"/>
    <mergeCell ref="AJ44"/>
    <mergeCell ref="AK44"/>
    <mergeCell ref="AL44"/>
    <mergeCell ref="AM44"/>
    <mergeCell ref="AN44"/>
    <mergeCell ref="AO44"/>
    <mergeCell ref="AP44"/>
    <mergeCell ref="AQ44"/>
    <mergeCell ref="AR44"/>
    <mergeCell ref="AS44"/>
    <mergeCell ref="AT44"/>
    <mergeCell ref="AU44"/>
    <mergeCell ref="AY43"/>
    <mergeCell ref="AZ43"/>
    <mergeCell ref="A44"/>
    <mergeCell ref="B44"/>
    <mergeCell ref="C44"/>
    <mergeCell ref="D44"/>
    <mergeCell ref="E44"/>
    <mergeCell ref="F44"/>
    <mergeCell ref="G44"/>
    <mergeCell ref="H44"/>
    <mergeCell ref="I44"/>
    <mergeCell ref="J44"/>
    <mergeCell ref="K44"/>
    <mergeCell ref="L44"/>
    <mergeCell ref="M44"/>
    <mergeCell ref="N44"/>
    <mergeCell ref="O44"/>
    <mergeCell ref="P44"/>
    <mergeCell ref="Q44"/>
    <mergeCell ref="R44"/>
    <mergeCell ref="S44"/>
    <mergeCell ref="T44"/>
    <mergeCell ref="U44"/>
    <mergeCell ref="V44"/>
    <mergeCell ref="W44"/>
    <mergeCell ref="X44"/>
    <mergeCell ref="Y44"/>
    <mergeCell ref="Z44"/>
    <mergeCell ref="AA44"/>
    <mergeCell ref="AB44"/>
    <mergeCell ref="AC44"/>
    <mergeCell ref="AD44"/>
    <mergeCell ref="AH43"/>
    <mergeCell ref="AI43"/>
    <mergeCell ref="AJ43"/>
    <mergeCell ref="AK43"/>
    <mergeCell ref="AL43"/>
    <mergeCell ref="AM43"/>
    <mergeCell ref="AN43"/>
    <mergeCell ref="AO43"/>
    <mergeCell ref="AP43"/>
    <mergeCell ref="AQ43"/>
    <mergeCell ref="AR43"/>
    <mergeCell ref="AS43"/>
    <mergeCell ref="AT43"/>
    <mergeCell ref="AU43"/>
    <mergeCell ref="AV43"/>
    <mergeCell ref="AW43"/>
    <mergeCell ref="AX43"/>
    <mergeCell ref="Q43"/>
    <mergeCell ref="R43"/>
    <mergeCell ref="S43"/>
    <mergeCell ref="T43"/>
    <mergeCell ref="U43"/>
    <mergeCell ref="V43"/>
    <mergeCell ref="W43"/>
    <mergeCell ref="X43"/>
    <mergeCell ref="Y43"/>
    <mergeCell ref="Z43"/>
    <mergeCell ref="AA43"/>
    <mergeCell ref="AB43"/>
    <mergeCell ref="AC43"/>
    <mergeCell ref="AD43"/>
    <mergeCell ref="AE43"/>
    <mergeCell ref="AF43"/>
    <mergeCell ref="AG43"/>
    <mergeCell ref="AK42"/>
    <mergeCell ref="AL42"/>
    <mergeCell ref="AM42"/>
    <mergeCell ref="AN42"/>
    <mergeCell ref="AO42"/>
    <mergeCell ref="AP42"/>
    <mergeCell ref="AQ42"/>
    <mergeCell ref="AR42"/>
    <mergeCell ref="AS42"/>
    <mergeCell ref="AT42"/>
    <mergeCell ref="AU42"/>
    <mergeCell ref="AV42"/>
    <mergeCell ref="AW42"/>
    <mergeCell ref="AX42"/>
    <mergeCell ref="AY42"/>
    <mergeCell ref="AZ42"/>
    <mergeCell ref="A43"/>
    <mergeCell ref="B43"/>
    <mergeCell ref="C43"/>
    <mergeCell ref="D43"/>
    <mergeCell ref="E43"/>
    <mergeCell ref="F43"/>
    <mergeCell ref="G43"/>
    <mergeCell ref="H43"/>
    <mergeCell ref="I43"/>
    <mergeCell ref="J43"/>
    <mergeCell ref="K43"/>
    <mergeCell ref="L43"/>
    <mergeCell ref="M43"/>
    <mergeCell ref="N43"/>
    <mergeCell ref="O43"/>
    <mergeCell ref="P43"/>
    <mergeCell ref="T42"/>
    <mergeCell ref="U42"/>
    <mergeCell ref="V42"/>
    <mergeCell ref="W42"/>
    <mergeCell ref="X42"/>
    <mergeCell ref="Y42"/>
    <mergeCell ref="Z42"/>
    <mergeCell ref="AA42"/>
    <mergeCell ref="AB42"/>
    <mergeCell ref="AC42"/>
    <mergeCell ref="AD42"/>
    <mergeCell ref="AE42"/>
    <mergeCell ref="AF42"/>
    <mergeCell ref="AG42"/>
    <mergeCell ref="AH42"/>
    <mergeCell ref="AI42"/>
    <mergeCell ref="AJ42"/>
    <mergeCell ref="AN41"/>
    <mergeCell ref="AO41"/>
    <mergeCell ref="AP41"/>
    <mergeCell ref="AQ41"/>
    <mergeCell ref="AR41"/>
    <mergeCell ref="AS41"/>
    <mergeCell ref="AT41"/>
    <mergeCell ref="AU41"/>
    <mergeCell ref="AV41"/>
    <mergeCell ref="AW41"/>
    <mergeCell ref="AX41"/>
    <mergeCell ref="AY41"/>
    <mergeCell ref="AZ41"/>
    <mergeCell ref="A42"/>
    <mergeCell ref="B42"/>
    <mergeCell ref="C42"/>
    <mergeCell ref="D42"/>
    <mergeCell ref="E42"/>
    <mergeCell ref="F42"/>
    <mergeCell ref="G42"/>
    <mergeCell ref="H42"/>
    <mergeCell ref="I42"/>
    <mergeCell ref="J42"/>
    <mergeCell ref="K42"/>
    <mergeCell ref="L42"/>
    <mergeCell ref="M42"/>
    <mergeCell ref="N42"/>
    <mergeCell ref="O42"/>
    <mergeCell ref="P42"/>
    <mergeCell ref="Q42"/>
    <mergeCell ref="R42"/>
    <mergeCell ref="S42"/>
    <mergeCell ref="W41"/>
    <mergeCell ref="X41"/>
    <mergeCell ref="Y41"/>
    <mergeCell ref="Z41"/>
    <mergeCell ref="AA41"/>
    <mergeCell ref="AB41"/>
    <mergeCell ref="AC41"/>
    <mergeCell ref="AD41"/>
    <mergeCell ref="AE41"/>
    <mergeCell ref="AF41"/>
    <mergeCell ref="AG41"/>
    <mergeCell ref="AH41"/>
    <mergeCell ref="AI41"/>
    <mergeCell ref="AJ41"/>
    <mergeCell ref="AK41"/>
    <mergeCell ref="AL41"/>
    <mergeCell ref="AM41"/>
    <mergeCell ref="AQ40"/>
    <mergeCell ref="AR40"/>
    <mergeCell ref="AS40"/>
    <mergeCell ref="AT40"/>
    <mergeCell ref="AU40"/>
    <mergeCell ref="AV40"/>
    <mergeCell ref="AW40"/>
    <mergeCell ref="AX40"/>
    <mergeCell ref="AY40"/>
    <mergeCell ref="AZ40"/>
    <mergeCell ref="A41"/>
    <mergeCell ref="B41"/>
    <mergeCell ref="C41"/>
    <mergeCell ref="D41"/>
    <mergeCell ref="E41"/>
    <mergeCell ref="F41"/>
    <mergeCell ref="G41"/>
    <mergeCell ref="H41"/>
    <mergeCell ref="I41"/>
    <mergeCell ref="J41"/>
    <mergeCell ref="K41"/>
    <mergeCell ref="L41"/>
    <mergeCell ref="M41"/>
    <mergeCell ref="N41"/>
    <mergeCell ref="O41"/>
    <mergeCell ref="P41"/>
    <mergeCell ref="Q41"/>
    <mergeCell ref="R41"/>
    <mergeCell ref="S41"/>
    <mergeCell ref="T41"/>
    <mergeCell ref="U41"/>
    <mergeCell ref="V41"/>
    <mergeCell ref="Z40"/>
    <mergeCell ref="AA40"/>
    <mergeCell ref="AB40"/>
    <mergeCell ref="AC40"/>
    <mergeCell ref="AD40"/>
    <mergeCell ref="AE40"/>
    <mergeCell ref="AF40"/>
    <mergeCell ref="AG40"/>
    <mergeCell ref="AH40"/>
    <mergeCell ref="AI40"/>
    <mergeCell ref="AJ40"/>
    <mergeCell ref="AK40"/>
    <mergeCell ref="AL40"/>
    <mergeCell ref="AM40"/>
    <mergeCell ref="AN40"/>
    <mergeCell ref="AO40"/>
    <mergeCell ref="AP40"/>
    <mergeCell ref="AT39"/>
    <mergeCell ref="AU39"/>
    <mergeCell ref="AV39"/>
    <mergeCell ref="AW39"/>
    <mergeCell ref="AX39"/>
    <mergeCell ref="AY39"/>
    <mergeCell ref="AZ39"/>
    <mergeCell ref="A40"/>
    <mergeCell ref="B40"/>
    <mergeCell ref="C40"/>
    <mergeCell ref="D40"/>
    <mergeCell ref="E40"/>
    <mergeCell ref="F40"/>
    <mergeCell ref="G40"/>
    <mergeCell ref="H40"/>
    <mergeCell ref="I40"/>
    <mergeCell ref="J40"/>
    <mergeCell ref="K40"/>
    <mergeCell ref="L40"/>
    <mergeCell ref="M40"/>
    <mergeCell ref="N40"/>
    <mergeCell ref="O40"/>
    <mergeCell ref="P40"/>
    <mergeCell ref="Q40"/>
    <mergeCell ref="R40"/>
    <mergeCell ref="S40"/>
    <mergeCell ref="T40"/>
    <mergeCell ref="U40"/>
    <mergeCell ref="V40"/>
    <mergeCell ref="W40"/>
    <mergeCell ref="X40"/>
    <mergeCell ref="Y40"/>
    <mergeCell ref="AC39"/>
    <mergeCell ref="AD39"/>
    <mergeCell ref="AE39"/>
    <mergeCell ref="AF39"/>
    <mergeCell ref="AG39"/>
    <mergeCell ref="AH39"/>
    <mergeCell ref="AI39"/>
    <mergeCell ref="AJ39"/>
    <mergeCell ref="AK39"/>
    <mergeCell ref="AL39"/>
    <mergeCell ref="AM39"/>
    <mergeCell ref="AN39"/>
    <mergeCell ref="AO39"/>
    <mergeCell ref="AP39"/>
    <mergeCell ref="AQ39"/>
    <mergeCell ref="AR39"/>
    <mergeCell ref="AS39"/>
    <mergeCell ref="AW38"/>
    <mergeCell ref="AX38"/>
    <mergeCell ref="AY38"/>
    <mergeCell ref="AZ38"/>
    <mergeCell ref="A39"/>
    <mergeCell ref="B39"/>
    <mergeCell ref="C39"/>
    <mergeCell ref="D39"/>
    <mergeCell ref="E39"/>
    <mergeCell ref="F39"/>
    <mergeCell ref="G39"/>
    <mergeCell ref="H39"/>
    <mergeCell ref="I39"/>
    <mergeCell ref="J39"/>
    <mergeCell ref="K39"/>
    <mergeCell ref="L39"/>
    <mergeCell ref="M39"/>
    <mergeCell ref="N39"/>
    <mergeCell ref="O39"/>
    <mergeCell ref="P39"/>
    <mergeCell ref="Q39"/>
    <mergeCell ref="R39"/>
    <mergeCell ref="S39"/>
    <mergeCell ref="T39"/>
    <mergeCell ref="U39"/>
    <mergeCell ref="V39"/>
    <mergeCell ref="W39"/>
    <mergeCell ref="X39"/>
    <mergeCell ref="Y39"/>
    <mergeCell ref="Z39"/>
    <mergeCell ref="AA39"/>
    <mergeCell ref="AB39"/>
    <mergeCell ref="AF38"/>
    <mergeCell ref="AG38"/>
    <mergeCell ref="AH38"/>
    <mergeCell ref="AI38"/>
    <mergeCell ref="AJ38"/>
    <mergeCell ref="AK38"/>
    <mergeCell ref="AL38"/>
    <mergeCell ref="AM38"/>
    <mergeCell ref="AN38"/>
    <mergeCell ref="AO38"/>
    <mergeCell ref="AP38"/>
    <mergeCell ref="AQ38"/>
    <mergeCell ref="AR38"/>
    <mergeCell ref="AS38"/>
    <mergeCell ref="AT38"/>
    <mergeCell ref="AU38"/>
    <mergeCell ref="AV38"/>
    <mergeCell ref="AZ37"/>
    <mergeCell ref="A38"/>
    <mergeCell ref="B38"/>
    <mergeCell ref="C38"/>
    <mergeCell ref="D38"/>
    <mergeCell ref="E38"/>
    <mergeCell ref="F38"/>
    <mergeCell ref="G38"/>
    <mergeCell ref="H38"/>
    <mergeCell ref="I38"/>
    <mergeCell ref="J38"/>
    <mergeCell ref="K38"/>
    <mergeCell ref="L38"/>
    <mergeCell ref="M38"/>
    <mergeCell ref="N38"/>
    <mergeCell ref="O38"/>
    <mergeCell ref="P38"/>
    <mergeCell ref="Q38"/>
    <mergeCell ref="R38"/>
    <mergeCell ref="S38"/>
    <mergeCell ref="T38"/>
    <mergeCell ref="U38"/>
    <mergeCell ref="V38"/>
    <mergeCell ref="W38"/>
    <mergeCell ref="X38"/>
    <mergeCell ref="Y38"/>
    <mergeCell ref="Z38"/>
    <mergeCell ref="AA38"/>
    <mergeCell ref="AB38"/>
    <mergeCell ref="AC38"/>
    <mergeCell ref="AD38"/>
    <mergeCell ref="AE38"/>
    <mergeCell ref="AI37"/>
    <mergeCell ref="AJ37"/>
    <mergeCell ref="AK37"/>
    <mergeCell ref="AL37"/>
    <mergeCell ref="AM37"/>
    <mergeCell ref="AN37"/>
    <mergeCell ref="AO37"/>
    <mergeCell ref="AP37"/>
    <mergeCell ref="AQ37"/>
    <mergeCell ref="AR37"/>
    <mergeCell ref="AS37"/>
    <mergeCell ref="AT37"/>
    <mergeCell ref="AU37"/>
    <mergeCell ref="AV37"/>
    <mergeCell ref="AW37"/>
    <mergeCell ref="AX37"/>
    <mergeCell ref="AY37"/>
    <mergeCell ref="R37"/>
    <mergeCell ref="S37"/>
    <mergeCell ref="T37"/>
    <mergeCell ref="U37"/>
    <mergeCell ref="V37"/>
    <mergeCell ref="W37"/>
    <mergeCell ref="X37"/>
    <mergeCell ref="Y37"/>
    <mergeCell ref="Z37"/>
    <mergeCell ref="AA37"/>
    <mergeCell ref="AB37"/>
    <mergeCell ref="AC37"/>
    <mergeCell ref="AD37"/>
    <mergeCell ref="AE37"/>
    <mergeCell ref="AF37"/>
    <mergeCell ref="AG37"/>
    <mergeCell ref="AH37"/>
    <mergeCell ref="A37"/>
    <mergeCell ref="B37"/>
    <mergeCell ref="C37"/>
    <mergeCell ref="D37"/>
    <mergeCell ref="E37"/>
    <mergeCell ref="F37"/>
    <mergeCell ref="G37"/>
    <mergeCell ref="H37"/>
    <mergeCell ref="I37"/>
    <mergeCell ref="J37"/>
    <mergeCell ref="K37"/>
    <mergeCell ref="L37"/>
    <mergeCell ref="M37"/>
    <mergeCell ref="N37"/>
    <mergeCell ref="O37"/>
    <mergeCell ref="P37"/>
    <mergeCell ref="Q37"/>
    <mergeCell ref="AJ36"/>
    <mergeCell ref="AK36"/>
    <mergeCell ref="AL36"/>
    <mergeCell ref="AM36"/>
    <mergeCell ref="AN36"/>
    <mergeCell ref="AO36"/>
    <mergeCell ref="AP36"/>
    <mergeCell ref="AQ36"/>
    <mergeCell ref="AR36"/>
    <mergeCell ref="AS36"/>
    <mergeCell ref="AT36"/>
    <mergeCell ref="AU36"/>
    <mergeCell ref="AV36"/>
    <mergeCell ref="AW36"/>
    <mergeCell ref="AX36"/>
    <mergeCell ref="AY36"/>
    <mergeCell ref="AZ36"/>
    <mergeCell ref="S36"/>
    <mergeCell ref="T36"/>
    <mergeCell ref="U36"/>
    <mergeCell ref="V36"/>
    <mergeCell ref="W36"/>
    <mergeCell ref="X36"/>
    <mergeCell ref="Y36"/>
    <mergeCell ref="Z36"/>
    <mergeCell ref="AA36"/>
    <mergeCell ref="AB36"/>
    <mergeCell ref="AC36"/>
    <mergeCell ref="AD36"/>
    <mergeCell ref="AE36"/>
    <mergeCell ref="AF36"/>
    <mergeCell ref="AG36"/>
    <mergeCell ref="AH36"/>
    <mergeCell ref="AI36"/>
    <mergeCell ref="AM35"/>
    <mergeCell ref="AN35"/>
    <mergeCell ref="AO35"/>
    <mergeCell ref="AP35"/>
    <mergeCell ref="AQ35"/>
    <mergeCell ref="AR35"/>
    <mergeCell ref="AS35"/>
    <mergeCell ref="AT35"/>
    <mergeCell ref="AU35"/>
    <mergeCell ref="AV35"/>
    <mergeCell ref="AW35"/>
    <mergeCell ref="AX35"/>
    <mergeCell ref="AY35"/>
    <mergeCell ref="AZ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R36"/>
    <mergeCell ref="V35"/>
    <mergeCell ref="W35"/>
    <mergeCell ref="X35"/>
    <mergeCell ref="Y35"/>
    <mergeCell ref="Z35"/>
    <mergeCell ref="AA35"/>
    <mergeCell ref="AB35"/>
    <mergeCell ref="AC35"/>
    <mergeCell ref="AD35"/>
    <mergeCell ref="AE35"/>
    <mergeCell ref="AF35"/>
    <mergeCell ref="AG35"/>
    <mergeCell ref="AH35"/>
    <mergeCell ref="AI35"/>
    <mergeCell ref="AJ35"/>
    <mergeCell ref="AK35"/>
    <mergeCell ref="AL35"/>
    <mergeCell ref="AP34"/>
    <mergeCell ref="AQ34"/>
    <mergeCell ref="AR34"/>
    <mergeCell ref="AS34"/>
    <mergeCell ref="AT34"/>
    <mergeCell ref="AU34"/>
    <mergeCell ref="AV34"/>
    <mergeCell ref="AW34"/>
    <mergeCell ref="AX34"/>
    <mergeCell ref="AY34"/>
    <mergeCell ref="AZ34"/>
    <mergeCell ref="A35"/>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R35"/>
    <mergeCell ref="S35"/>
    <mergeCell ref="T35"/>
    <mergeCell ref="U35"/>
    <mergeCell ref="Y34"/>
    <mergeCell ref="Z34"/>
    <mergeCell ref="AA34"/>
    <mergeCell ref="AB34"/>
    <mergeCell ref="AC34"/>
    <mergeCell ref="AD34"/>
    <mergeCell ref="AE34"/>
    <mergeCell ref="AF34"/>
    <mergeCell ref="AG34"/>
    <mergeCell ref="AH34"/>
    <mergeCell ref="AI34"/>
    <mergeCell ref="AJ34"/>
    <mergeCell ref="AK34"/>
    <mergeCell ref="AL34"/>
    <mergeCell ref="AM34"/>
    <mergeCell ref="AN34"/>
    <mergeCell ref="AO34"/>
    <mergeCell ref="AS33"/>
    <mergeCell ref="AT33"/>
    <mergeCell ref="AU33"/>
    <mergeCell ref="AV33"/>
    <mergeCell ref="AW33"/>
    <mergeCell ref="AX33"/>
    <mergeCell ref="AY33"/>
    <mergeCell ref="AZ33"/>
    <mergeCell ref="A34"/>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R34"/>
    <mergeCell ref="S34"/>
    <mergeCell ref="T34"/>
    <mergeCell ref="U34"/>
    <mergeCell ref="V34"/>
    <mergeCell ref="W34"/>
    <mergeCell ref="X34"/>
    <mergeCell ref="AB33"/>
    <mergeCell ref="AC33"/>
    <mergeCell ref="AD33"/>
    <mergeCell ref="AE33"/>
    <mergeCell ref="AF33"/>
    <mergeCell ref="AG33"/>
    <mergeCell ref="AH33"/>
    <mergeCell ref="AI33"/>
    <mergeCell ref="AJ33"/>
    <mergeCell ref="AK33"/>
    <mergeCell ref="AL33"/>
    <mergeCell ref="AM33"/>
    <mergeCell ref="AN33"/>
    <mergeCell ref="AO33"/>
    <mergeCell ref="AP33"/>
    <mergeCell ref="AQ33"/>
    <mergeCell ref="AR33"/>
    <mergeCell ref="AV32"/>
    <mergeCell ref="AW32"/>
    <mergeCell ref="AX32"/>
    <mergeCell ref="AY32"/>
    <mergeCell ref="AZ32"/>
    <mergeCell ref="A33"/>
    <mergeCell ref="B33"/>
    <mergeCell ref="C33"/>
    <mergeCell ref="D33"/>
    <mergeCell ref="E33"/>
    <mergeCell ref="F33"/>
    <mergeCell ref="G33"/>
    <mergeCell ref="H33"/>
    <mergeCell ref="I33"/>
    <mergeCell ref="J33"/>
    <mergeCell ref="K33"/>
    <mergeCell ref="L33"/>
    <mergeCell ref="M33"/>
    <mergeCell ref="N33"/>
    <mergeCell ref="O33"/>
    <mergeCell ref="P33"/>
    <mergeCell ref="Q33"/>
    <mergeCell ref="R33"/>
    <mergeCell ref="S33"/>
    <mergeCell ref="T33"/>
    <mergeCell ref="U33"/>
    <mergeCell ref="V33"/>
    <mergeCell ref="W33"/>
    <mergeCell ref="X33"/>
    <mergeCell ref="Y33"/>
    <mergeCell ref="Z33"/>
    <mergeCell ref="AA33"/>
    <mergeCell ref="AE32"/>
    <mergeCell ref="AF32"/>
    <mergeCell ref="AG32"/>
    <mergeCell ref="AH32"/>
    <mergeCell ref="AI32"/>
    <mergeCell ref="AJ32"/>
    <mergeCell ref="AK32"/>
    <mergeCell ref="AL32"/>
    <mergeCell ref="AM32"/>
    <mergeCell ref="AN32"/>
    <mergeCell ref="AO32"/>
    <mergeCell ref="AP32"/>
    <mergeCell ref="AQ32"/>
    <mergeCell ref="AR32"/>
    <mergeCell ref="AS32"/>
    <mergeCell ref="AT32"/>
    <mergeCell ref="AU32"/>
    <mergeCell ref="AY31"/>
    <mergeCell ref="AZ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S32"/>
    <mergeCell ref="T32"/>
    <mergeCell ref="U32"/>
    <mergeCell ref="V32"/>
    <mergeCell ref="W32"/>
    <mergeCell ref="X32"/>
    <mergeCell ref="Y32"/>
    <mergeCell ref="Z32"/>
    <mergeCell ref="AA32"/>
    <mergeCell ref="AB32"/>
    <mergeCell ref="AC32"/>
    <mergeCell ref="AD32"/>
    <mergeCell ref="AH31"/>
    <mergeCell ref="AI31"/>
    <mergeCell ref="AJ31"/>
    <mergeCell ref="AK31"/>
    <mergeCell ref="AL31"/>
    <mergeCell ref="AM31"/>
    <mergeCell ref="AN31"/>
    <mergeCell ref="AO31"/>
    <mergeCell ref="AP31"/>
    <mergeCell ref="AQ31"/>
    <mergeCell ref="AR31"/>
    <mergeCell ref="AS31"/>
    <mergeCell ref="AT31"/>
    <mergeCell ref="AU31"/>
    <mergeCell ref="AV31"/>
    <mergeCell ref="AW31"/>
    <mergeCell ref="AX31"/>
    <mergeCell ref="Q31"/>
    <mergeCell ref="R31"/>
    <mergeCell ref="S31"/>
    <mergeCell ref="T31"/>
    <mergeCell ref="U31"/>
    <mergeCell ref="V31"/>
    <mergeCell ref="W31"/>
    <mergeCell ref="X31"/>
    <mergeCell ref="Y31"/>
    <mergeCell ref="Z31"/>
    <mergeCell ref="AA31"/>
    <mergeCell ref="AB31"/>
    <mergeCell ref="AC31"/>
    <mergeCell ref="AD31"/>
    <mergeCell ref="AE31"/>
    <mergeCell ref="AF31"/>
    <mergeCell ref="AG31"/>
    <mergeCell ref="AK30"/>
    <mergeCell ref="AL30"/>
    <mergeCell ref="AM30"/>
    <mergeCell ref="AN30"/>
    <mergeCell ref="AO30"/>
    <mergeCell ref="AP30"/>
    <mergeCell ref="AQ30"/>
    <mergeCell ref="AR30"/>
    <mergeCell ref="AS30"/>
    <mergeCell ref="AT30"/>
    <mergeCell ref="AU30"/>
    <mergeCell ref="AV30"/>
    <mergeCell ref="AW30"/>
    <mergeCell ref="AX30"/>
    <mergeCell ref="AY30"/>
    <mergeCell ref="AZ30"/>
    <mergeCell ref="A31"/>
    <mergeCell ref="B31"/>
    <mergeCell ref="C31"/>
    <mergeCell ref="D31"/>
    <mergeCell ref="E31"/>
    <mergeCell ref="F31"/>
    <mergeCell ref="G31"/>
    <mergeCell ref="H31"/>
    <mergeCell ref="I31"/>
    <mergeCell ref="J31"/>
    <mergeCell ref="K31"/>
    <mergeCell ref="L31"/>
    <mergeCell ref="M31"/>
    <mergeCell ref="N31"/>
    <mergeCell ref="O31"/>
    <mergeCell ref="P31"/>
    <mergeCell ref="T30"/>
    <mergeCell ref="U30"/>
    <mergeCell ref="V30"/>
    <mergeCell ref="W30"/>
    <mergeCell ref="X30"/>
    <mergeCell ref="Y30"/>
    <mergeCell ref="Z30"/>
    <mergeCell ref="AA30"/>
    <mergeCell ref="AB30"/>
    <mergeCell ref="AC30"/>
    <mergeCell ref="AD30"/>
    <mergeCell ref="AE30"/>
    <mergeCell ref="AF30"/>
    <mergeCell ref="AG30"/>
    <mergeCell ref="AH30"/>
    <mergeCell ref="AI30"/>
    <mergeCell ref="AJ30"/>
    <mergeCell ref="AN29"/>
    <mergeCell ref="AO29"/>
    <mergeCell ref="AP29"/>
    <mergeCell ref="AQ29"/>
    <mergeCell ref="AR29"/>
    <mergeCell ref="AS29"/>
    <mergeCell ref="AT29"/>
    <mergeCell ref="AU29"/>
    <mergeCell ref="AV29"/>
    <mergeCell ref="AW29"/>
    <mergeCell ref="AX29"/>
    <mergeCell ref="AY29"/>
    <mergeCell ref="AZ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W29"/>
    <mergeCell ref="X29"/>
    <mergeCell ref="Y29"/>
    <mergeCell ref="Z29"/>
    <mergeCell ref="AA29"/>
    <mergeCell ref="AB29"/>
    <mergeCell ref="AC29"/>
    <mergeCell ref="AD29"/>
    <mergeCell ref="AE29"/>
    <mergeCell ref="AF29"/>
    <mergeCell ref="AG29"/>
    <mergeCell ref="AH29"/>
    <mergeCell ref="AI29"/>
    <mergeCell ref="AJ29"/>
    <mergeCell ref="AK29"/>
    <mergeCell ref="AL29"/>
    <mergeCell ref="AM29"/>
    <mergeCell ref="AQ28"/>
    <mergeCell ref="AR28"/>
    <mergeCell ref="AS28"/>
    <mergeCell ref="AT28"/>
    <mergeCell ref="AU28"/>
    <mergeCell ref="AV28"/>
    <mergeCell ref="AW28"/>
    <mergeCell ref="AX28"/>
    <mergeCell ref="AY28"/>
    <mergeCell ref="AZ28"/>
    <mergeCell ref="A29"/>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9"/>
    <mergeCell ref="S29"/>
    <mergeCell ref="T29"/>
    <mergeCell ref="U29"/>
    <mergeCell ref="V29"/>
    <mergeCell ref="Z28"/>
    <mergeCell ref="AA28"/>
    <mergeCell ref="AB28"/>
    <mergeCell ref="AC28"/>
    <mergeCell ref="AD28"/>
    <mergeCell ref="AE28"/>
    <mergeCell ref="AF28"/>
    <mergeCell ref="AG28"/>
    <mergeCell ref="AH28"/>
    <mergeCell ref="AI28"/>
    <mergeCell ref="AJ28"/>
    <mergeCell ref="AK28"/>
    <mergeCell ref="AL28"/>
    <mergeCell ref="AM28"/>
    <mergeCell ref="AN28"/>
    <mergeCell ref="AO28"/>
    <mergeCell ref="AP28"/>
    <mergeCell ref="AT27"/>
    <mergeCell ref="AU27"/>
    <mergeCell ref="AV27"/>
    <mergeCell ref="AW27"/>
    <mergeCell ref="AX27"/>
    <mergeCell ref="AY27"/>
    <mergeCell ref="AZ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U28"/>
    <mergeCell ref="V28"/>
    <mergeCell ref="W28"/>
    <mergeCell ref="X28"/>
    <mergeCell ref="Y28"/>
    <mergeCell ref="AC27"/>
    <mergeCell ref="AD27"/>
    <mergeCell ref="AE27"/>
    <mergeCell ref="AF27"/>
    <mergeCell ref="AG27"/>
    <mergeCell ref="AH27"/>
    <mergeCell ref="AI27"/>
    <mergeCell ref="AJ27"/>
    <mergeCell ref="AK27"/>
    <mergeCell ref="AL27"/>
    <mergeCell ref="AM27"/>
    <mergeCell ref="AN27"/>
    <mergeCell ref="AO27"/>
    <mergeCell ref="AP27"/>
    <mergeCell ref="AQ27"/>
    <mergeCell ref="AR27"/>
    <mergeCell ref="AS27"/>
    <mergeCell ref="AW26"/>
    <mergeCell ref="AX26"/>
    <mergeCell ref="AY26"/>
    <mergeCell ref="AZ26"/>
    <mergeCell ref="A27"/>
    <mergeCell ref="B27"/>
    <mergeCell ref="C27"/>
    <mergeCell ref="D27"/>
    <mergeCell ref="E27"/>
    <mergeCell ref="F27"/>
    <mergeCell ref="G27"/>
    <mergeCell ref="H27"/>
    <mergeCell ref="I27"/>
    <mergeCell ref="J27"/>
    <mergeCell ref="K27"/>
    <mergeCell ref="L27"/>
    <mergeCell ref="M27"/>
    <mergeCell ref="N27"/>
    <mergeCell ref="O27"/>
    <mergeCell ref="P27"/>
    <mergeCell ref="Q27"/>
    <mergeCell ref="R27"/>
    <mergeCell ref="S27"/>
    <mergeCell ref="T27"/>
    <mergeCell ref="U27"/>
    <mergeCell ref="V27"/>
    <mergeCell ref="W27"/>
    <mergeCell ref="X27"/>
    <mergeCell ref="Y27"/>
    <mergeCell ref="Z27"/>
    <mergeCell ref="AA27"/>
    <mergeCell ref="AB27"/>
    <mergeCell ref="AF26"/>
    <mergeCell ref="AG26"/>
    <mergeCell ref="AH26"/>
    <mergeCell ref="AI26"/>
    <mergeCell ref="AJ26"/>
    <mergeCell ref="AK26"/>
    <mergeCell ref="AL26"/>
    <mergeCell ref="AM26"/>
    <mergeCell ref="AN26"/>
    <mergeCell ref="AO26"/>
    <mergeCell ref="AP26"/>
    <mergeCell ref="AQ26"/>
    <mergeCell ref="AR26"/>
    <mergeCell ref="AS26"/>
    <mergeCell ref="AT26"/>
    <mergeCell ref="AU26"/>
    <mergeCell ref="AV26"/>
    <mergeCell ref="AZ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U26"/>
    <mergeCell ref="V26"/>
    <mergeCell ref="W26"/>
    <mergeCell ref="X26"/>
    <mergeCell ref="Y26"/>
    <mergeCell ref="Z26"/>
    <mergeCell ref="AA26"/>
    <mergeCell ref="AB26"/>
    <mergeCell ref="AC26"/>
    <mergeCell ref="AD26"/>
    <mergeCell ref="AE26"/>
    <mergeCell ref="AI25"/>
    <mergeCell ref="AJ25"/>
    <mergeCell ref="AK25"/>
    <mergeCell ref="AL25"/>
    <mergeCell ref="AM25"/>
    <mergeCell ref="AN25"/>
    <mergeCell ref="AO25"/>
    <mergeCell ref="AP25"/>
    <mergeCell ref="AQ25"/>
    <mergeCell ref="AR25"/>
    <mergeCell ref="AS25"/>
    <mergeCell ref="AT25"/>
    <mergeCell ref="AU25"/>
    <mergeCell ref="AV25"/>
    <mergeCell ref="AW25"/>
    <mergeCell ref="AX25"/>
    <mergeCell ref="AY25"/>
    <mergeCell ref="R25"/>
    <mergeCell ref="S25"/>
    <mergeCell ref="T25"/>
    <mergeCell ref="U25"/>
    <mergeCell ref="V25"/>
    <mergeCell ref="W25"/>
    <mergeCell ref="X25"/>
    <mergeCell ref="Y25"/>
    <mergeCell ref="Z25"/>
    <mergeCell ref="AA25"/>
    <mergeCell ref="AB25"/>
    <mergeCell ref="AC25"/>
    <mergeCell ref="AD25"/>
    <mergeCell ref="AE25"/>
    <mergeCell ref="AF25"/>
    <mergeCell ref="AG25"/>
    <mergeCell ref="AH25"/>
    <mergeCell ref="A25"/>
    <mergeCell ref="B25"/>
    <mergeCell ref="C25"/>
    <mergeCell ref="D25"/>
    <mergeCell ref="E25"/>
    <mergeCell ref="F25"/>
    <mergeCell ref="G25"/>
    <mergeCell ref="H25"/>
    <mergeCell ref="I25"/>
    <mergeCell ref="J25"/>
    <mergeCell ref="K25"/>
    <mergeCell ref="L25"/>
    <mergeCell ref="M25"/>
    <mergeCell ref="N25"/>
    <mergeCell ref="O25"/>
    <mergeCell ref="P25"/>
    <mergeCell ref="Q25"/>
    <mergeCell ref="AJ24"/>
    <mergeCell ref="AK24"/>
    <mergeCell ref="AL24"/>
    <mergeCell ref="AM24"/>
    <mergeCell ref="AN24"/>
    <mergeCell ref="AO24"/>
    <mergeCell ref="AP24"/>
    <mergeCell ref="AQ24"/>
    <mergeCell ref="AR24"/>
    <mergeCell ref="AS24"/>
    <mergeCell ref="AT24"/>
    <mergeCell ref="AU24"/>
    <mergeCell ref="AV24"/>
    <mergeCell ref="AW24"/>
    <mergeCell ref="AX24"/>
    <mergeCell ref="AY24"/>
    <mergeCell ref="AZ24"/>
    <mergeCell ref="S24"/>
    <mergeCell ref="T24"/>
    <mergeCell ref="U24"/>
    <mergeCell ref="V24"/>
    <mergeCell ref="W24"/>
    <mergeCell ref="X24"/>
    <mergeCell ref="Y24"/>
    <mergeCell ref="Z24"/>
    <mergeCell ref="AA24"/>
    <mergeCell ref="AB24"/>
    <mergeCell ref="AC24"/>
    <mergeCell ref="AD24"/>
    <mergeCell ref="AE24"/>
    <mergeCell ref="AF24"/>
    <mergeCell ref="AG24"/>
    <mergeCell ref="AH24"/>
    <mergeCell ref="AI24"/>
    <mergeCell ref="AM23"/>
    <mergeCell ref="AN23"/>
    <mergeCell ref="AO23"/>
    <mergeCell ref="AP23"/>
    <mergeCell ref="AQ23"/>
    <mergeCell ref="AR23"/>
    <mergeCell ref="AS23"/>
    <mergeCell ref="AT23"/>
    <mergeCell ref="AU23"/>
    <mergeCell ref="AV23"/>
    <mergeCell ref="AW23"/>
    <mergeCell ref="AX23"/>
    <mergeCell ref="AY23"/>
    <mergeCell ref="AZ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V23"/>
    <mergeCell ref="W23"/>
    <mergeCell ref="X23"/>
    <mergeCell ref="Y23"/>
    <mergeCell ref="Z23"/>
    <mergeCell ref="AA23"/>
    <mergeCell ref="AB23"/>
    <mergeCell ref="AC23"/>
    <mergeCell ref="AD23"/>
    <mergeCell ref="AE23"/>
    <mergeCell ref="AF23"/>
    <mergeCell ref="AG23"/>
    <mergeCell ref="AH23"/>
    <mergeCell ref="AI23"/>
    <mergeCell ref="AJ23"/>
    <mergeCell ref="AK23"/>
    <mergeCell ref="AL23"/>
    <mergeCell ref="AP22"/>
    <mergeCell ref="AQ22"/>
    <mergeCell ref="AR22"/>
    <mergeCell ref="AS22"/>
    <mergeCell ref="AT22"/>
    <mergeCell ref="AU22"/>
    <mergeCell ref="AV22"/>
    <mergeCell ref="AW22"/>
    <mergeCell ref="AX22"/>
    <mergeCell ref="AY22"/>
    <mergeCell ref="AZ22"/>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3"/>
    <mergeCell ref="S23"/>
    <mergeCell ref="T23"/>
    <mergeCell ref="U23"/>
    <mergeCell ref="Y22"/>
    <mergeCell ref="Z22"/>
    <mergeCell ref="AA22"/>
    <mergeCell ref="AB22"/>
    <mergeCell ref="AC22"/>
    <mergeCell ref="AD22"/>
    <mergeCell ref="AE22"/>
    <mergeCell ref="AF22"/>
    <mergeCell ref="AG22"/>
    <mergeCell ref="AH22"/>
    <mergeCell ref="AI22"/>
    <mergeCell ref="AJ22"/>
    <mergeCell ref="AK22"/>
    <mergeCell ref="AL22"/>
    <mergeCell ref="AM22"/>
    <mergeCell ref="AN22"/>
    <mergeCell ref="AO22"/>
    <mergeCell ref="AS21"/>
    <mergeCell ref="AT21"/>
    <mergeCell ref="AU21"/>
    <mergeCell ref="AV21"/>
    <mergeCell ref="AW21"/>
    <mergeCell ref="AX21"/>
    <mergeCell ref="AY21"/>
    <mergeCell ref="AZ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U22"/>
    <mergeCell ref="V22"/>
    <mergeCell ref="W22"/>
    <mergeCell ref="X22"/>
    <mergeCell ref="AB21"/>
    <mergeCell ref="AC21"/>
    <mergeCell ref="AD21"/>
    <mergeCell ref="AE21"/>
    <mergeCell ref="AF21"/>
    <mergeCell ref="AG21"/>
    <mergeCell ref="AH21"/>
    <mergeCell ref="AI21"/>
    <mergeCell ref="AJ21"/>
    <mergeCell ref="AK21"/>
    <mergeCell ref="AL21"/>
    <mergeCell ref="AM21"/>
    <mergeCell ref="AN21"/>
    <mergeCell ref="AO21"/>
    <mergeCell ref="AP21"/>
    <mergeCell ref="AQ21"/>
    <mergeCell ref="AR21"/>
    <mergeCell ref="AV20"/>
    <mergeCell ref="AW20"/>
    <mergeCell ref="AX20"/>
    <mergeCell ref="AY20"/>
    <mergeCell ref="AZ20"/>
    <mergeCell ref="A21"/>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R21"/>
    <mergeCell ref="S21"/>
    <mergeCell ref="T21"/>
    <mergeCell ref="U21"/>
    <mergeCell ref="V21"/>
    <mergeCell ref="W21"/>
    <mergeCell ref="X21"/>
    <mergeCell ref="Y21"/>
    <mergeCell ref="Z21"/>
    <mergeCell ref="AA21"/>
    <mergeCell ref="AE20"/>
    <mergeCell ref="AF20"/>
    <mergeCell ref="AG20"/>
    <mergeCell ref="AH20"/>
    <mergeCell ref="AI20"/>
    <mergeCell ref="AJ20"/>
    <mergeCell ref="AK20"/>
    <mergeCell ref="AL20"/>
    <mergeCell ref="AM20"/>
    <mergeCell ref="AN20"/>
    <mergeCell ref="AO20"/>
    <mergeCell ref="AP20"/>
    <mergeCell ref="AQ20"/>
    <mergeCell ref="AR20"/>
    <mergeCell ref="AS20"/>
    <mergeCell ref="AT20"/>
    <mergeCell ref="AU20"/>
    <mergeCell ref="AY19"/>
    <mergeCell ref="AZ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U20"/>
    <mergeCell ref="V20"/>
    <mergeCell ref="W20"/>
    <mergeCell ref="X20"/>
    <mergeCell ref="Y20"/>
    <mergeCell ref="Z20"/>
    <mergeCell ref="AA20"/>
    <mergeCell ref="AB20"/>
    <mergeCell ref="AC20"/>
    <mergeCell ref="AD20"/>
    <mergeCell ref="AH19"/>
    <mergeCell ref="AI19"/>
    <mergeCell ref="AJ19"/>
    <mergeCell ref="AK19"/>
    <mergeCell ref="AL19"/>
    <mergeCell ref="AM19"/>
    <mergeCell ref="AN19"/>
    <mergeCell ref="AO19"/>
    <mergeCell ref="AP19"/>
    <mergeCell ref="AQ19"/>
    <mergeCell ref="AR19"/>
    <mergeCell ref="AS19"/>
    <mergeCell ref="AT19"/>
    <mergeCell ref="AU19"/>
    <mergeCell ref="AV19"/>
    <mergeCell ref="AW19"/>
    <mergeCell ref="AX19"/>
    <mergeCell ref="Q19"/>
    <mergeCell ref="R19"/>
    <mergeCell ref="S19"/>
    <mergeCell ref="T19"/>
    <mergeCell ref="U19"/>
    <mergeCell ref="V19"/>
    <mergeCell ref="W19"/>
    <mergeCell ref="X19"/>
    <mergeCell ref="Y19"/>
    <mergeCell ref="Z19"/>
    <mergeCell ref="AA19"/>
    <mergeCell ref="AB19"/>
    <mergeCell ref="AC19"/>
    <mergeCell ref="AD19"/>
    <mergeCell ref="AE19"/>
    <mergeCell ref="AF19"/>
    <mergeCell ref="AG19"/>
    <mergeCell ref="AK18"/>
    <mergeCell ref="AL18"/>
    <mergeCell ref="AM18"/>
    <mergeCell ref="AN18"/>
    <mergeCell ref="AO18"/>
    <mergeCell ref="AP18"/>
    <mergeCell ref="AQ18"/>
    <mergeCell ref="AR18"/>
    <mergeCell ref="AS18"/>
    <mergeCell ref="AT18"/>
    <mergeCell ref="AU18"/>
    <mergeCell ref="AV18"/>
    <mergeCell ref="AW18"/>
    <mergeCell ref="AX18"/>
    <mergeCell ref="AY18"/>
    <mergeCell ref="AZ18"/>
    <mergeCell ref="A19"/>
    <mergeCell ref="B19"/>
    <mergeCell ref="C19"/>
    <mergeCell ref="D19"/>
    <mergeCell ref="E19"/>
    <mergeCell ref="F19"/>
    <mergeCell ref="G19"/>
    <mergeCell ref="H19"/>
    <mergeCell ref="I19"/>
    <mergeCell ref="J19"/>
    <mergeCell ref="K19"/>
    <mergeCell ref="L19"/>
    <mergeCell ref="M19"/>
    <mergeCell ref="N19"/>
    <mergeCell ref="O19"/>
    <mergeCell ref="P19"/>
    <mergeCell ref="T18"/>
    <mergeCell ref="U18"/>
    <mergeCell ref="V18"/>
    <mergeCell ref="W18"/>
    <mergeCell ref="X18"/>
    <mergeCell ref="Y18"/>
    <mergeCell ref="Z18"/>
    <mergeCell ref="AA18"/>
    <mergeCell ref="AB18"/>
    <mergeCell ref="AC18"/>
    <mergeCell ref="AD18"/>
    <mergeCell ref="AE18"/>
    <mergeCell ref="AF18"/>
    <mergeCell ref="AG18"/>
    <mergeCell ref="AH18"/>
    <mergeCell ref="AI18"/>
    <mergeCell ref="AJ18"/>
    <mergeCell ref="AN17"/>
    <mergeCell ref="AO17"/>
    <mergeCell ref="AP17"/>
    <mergeCell ref="AQ17"/>
    <mergeCell ref="AR17"/>
    <mergeCell ref="AS17"/>
    <mergeCell ref="AT17"/>
    <mergeCell ref="AU17"/>
    <mergeCell ref="AV17"/>
    <mergeCell ref="AW17"/>
    <mergeCell ref="AX17"/>
    <mergeCell ref="AY17"/>
    <mergeCell ref="AZ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W17"/>
    <mergeCell ref="X17"/>
    <mergeCell ref="Y17"/>
    <mergeCell ref="Z17"/>
    <mergeCell ref="AA17"/>
    <mergeCell ref="AB17"/>
    <mergeCell ref="AC17"/>
    <mergeCell ref="AD17"/>
    <mergeCell ref="AE17"/>
    <mergeCell ref="AF17"/>
    <mergeCell ref="AG17"/>
    <mergeCell ref="AH17"/>
    <mergeCell ref="AI17"/>
    <mergeCell ref="AJ17"/>
    <mergeCell ref="AK17"/>
    <mergeCell ref="AL17"/>
    <mergeCell ref="AM17"/>
    <mergeCell ref="AQ16"/>
    <mergeCell ref="AR16"/>
    <mergeCell ref="AS16"/>
    <mergeCell ref="AT16"/>
    <mergeCell ref="AU16"/>
    <mergeCell ref="AV16"/>
    <mergeCell ref="AW16"/>
    <mergeCell ref="AX16"/>
    <mergeCell ref="AY16"/>
    <mergeCell ref="AZ16"/>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7"/>
    <mergeCell ref="S17"/>
    <mergeCell ref="T17"/>
    <mergeCell ref="U17"/>
    <mergeCell ref="V17"/>
    <mergeCell ref="Z16"/>
    <mergeCell ref="AA16"/>
    <mergeCell ref="AB16"/>
    <mergeCell ref="AC16"/>
    <mergeCell ref="AD16"/>
    <mergeCell ref="AE16"/>
    <mergeCell ref="AF16"/>
    <mergeCell ref="AG16"/>
    <mergeCell ref="AH16"/>
    <mergeCell ref="AI16"/>
    <mergeCell ref="AJ16"/>
    <mergeCell ref="AK16"/>
    <mergeCell ref="AL16"/>
    <mergeCell ref="AM16"/>
    <mergeCell ref="AN16"/>
    <mergeCell ref="AO16"/>
    <mergeCell ref="AP16"/>
    <mergeCell ref="AT15"/>
    <mergeCell ref="AU15"/>
    <mergeCell ref="AV15"/>
    <mergeCell ref="AW15"/>
    <mergeCell ref="AX15"/>
    <mergeCell ref="AY15"/>
    <mergeCell ref="AZ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U16"/>
    <mergeCell ref="V16"/>
    <mergeCell ref="W16"/>
    <mergeCell ref="X16"/>
    <mergeCell ref="Y16"/>
    <mergeCell ref="AC15"/>
    <mergeCell ref="AD15"/>
    <mergeCell ref="AE15"/>
    <mergeCell ref="AF15"/>
    <mergeCell ref="AG15"/>
    <mergeCell ref="AH15"/>
    <mergeCell ref="AI15"/>
    <mergeCell ref="AJ15"/>
    <mergeCell ref="AK15"/>
    <mergeCell ref="AL15"/>
    <mergeCell ref="AM15"/>
    <mergeCell ref="AN15"/>
    <mergeCell ref="AO15"/>
    <mergeCell ref="AP15"/>
    <mergeCell ref="AQ15"/>
    <mergeCell ref="AR15"/>
    <mergeCell ref="AS15"/>
    <mergeCell ref="AW14"/>
    <mergeCell ref="AX14"/>
    <mergeCell ref="AY14"/>
    <mergeCell ref="AZ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R15"/>
    <mergeCell ref="S15"/>
    <mergeCell ref="T15"/>
    <mergeCell ref="U15"/>
    <mergeCell ref="V15"/>
    <mergeCell ref="W15"/>
    <mergeCell ref="X15"/>
    <mergeCell ref="Y15"/>
    <mergeCell ref="Z15"/>
    <mergeCell ref="AA15"/>
    <mergeCell ref="AB15"/>
    <mergeCell ref="AF14"/>
    <mergeCell ref="AG14"/>
    <mergeCell ref="AH14"/>
    <mergeCell ref="AI14"/>
    <mergeCell ref="AJ14"/>
    <mergeCell ref="AK14"/>
    <mergeCell ref="AL14"/>
    <mergeCell ref="AM14"/>
    <mergeCell ref="AN14"/>
    <mergeCell ref="AO14"/>
    <mergeCell ref="AP14"/>
    <mergeCell ref="AQ14"/>
    <mergeCell ref="AR14"/>
    <mergeCell ref="AS14"/>
    <mergeCell ref="AT14"/>
    <mergeCell ref="AU14"/>
    <mergeCell ref="AV14"/>
    <mergeCell ref="AZ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U14"/>
    <mergeCell ref="V14"/>
    <mergeCell ref="W14"/>
    <mergeCell ref="X14"/>
    <mergeCell ref="Y14"/>
    <mergeCell ref="Z14"/>
    <mergeCell ref="AA14"/>
    <mergeCell ref="AB14"/>
    <mergeCell ref="AC14"/>
    <mergeCell ref="AD14"/>
    <mergeCell ref="AE14"/>
    <mergeCell ref="AI13"/>
    <mergeCell ref="AJ13"/>
    <mergeCell ref="AK13"/>
    <mergeCell ref="AL13"/>
    <mergeCell ref="AM13"/>
    <mergeCell ref="AN13"/>
    <mergeCell ref="AO13"/>
    <mergeCell ref="AP13"/>
    <mergeCell ref="AQ13"/>
    <mergeCell ref="AR13"/>
    <mergeCell ref="AS13"/>
    <mergeCell ref="AT13"/>
    <mergeCell ref="AU13"/>
    <mergeCell ref="AV13"/>
    <mergeCell ref="AW13"/>
    <mergeCell ref="AX13"/>
    <mergeCell ref="AY13"/>
    <mergeCell ref="R13"/>
    <mergeCell ref="S13"/>
    <mergeCell ref="T13"/>
    <mergeCell ref="U13"/>
    <mergeCell ref="V13"/>
    <mergeCell ref="W13"/>
    <mergeCell ref="X13"/>
    <mergeCell ref="Y13"/>
    <mergeCell ref="Z13"/>
    <mergeCell ref="AA13"/>
    <mergeCell ref="AB13"/>
    <mergeCell ref="AC13"/>
    <mergeCell ref="AD13"/>
    <mergeCell ref="AE13"/>
    <mergeCell ref="AF13"/>
    <mergeCell ref="AG13"/>
    <mergeCell ref="AH13"/>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AJ12"/>
    <mergeCell ref="AK12"/>
    <mergeCell ref="AL12"/>
    <mergeCell ref="AM12"/>
    <mergeCell ref="AN12"/>
    <mergeCell ref="AO12"/>
    <mergeCell ref="AP12"/>
    <mergeCell ref="AQ12"/>
    <mergeCell ref="AR12"/>
    <mergeCell ref="AS12"/>
    <mergeCell ref="AT12"/>
    <mergeCell ref="AU12"/>
    <mergeCell ref="AV12"/>
    <mergeCell ref="AW12"/>
    <mergeCell ref="AX12"/>
    <mergeCell ref="AY12"/>
    <mergeCell ref="AZ12"/>
    <mergeCell ref="S12"/>
    <mergeCell ref="T12"/>
    <mergeCell ref="U12"/>
    <mergeCell ref="V12"/>
    <mergeCell ref="W12"/>
    <mergeCell ref="X12"/>
    <mergeCell ref="Y12"/>
    <mergeCell ref="Z12"/>
    <mergeCell ref="AA12"/>
    <mergeCell ref="AB12"/>
    <mergeCell ref="AC12"/>
    <mergeCell ref="AD12"/>
    <mergeCell ref="AE12"/>
    <mergeCell ref="AF12"/>
    <mergeCell ref="AG12"/>
    <mergeCell ref="AH12"/>
    <mergeCell ref="AI12"/>
    <mergeCell ref="AM11"/>
    <mergeCell ref="AN11"/>
    <mergeCell ref="AO11"/>
    <mergeCell ref="AP11"/>
    <mergeCell ref="AQ11"/>
    <mergeCell ref="AR11"/>
    <mergeCell ref="AS11"/>
    <mergeCell ref="AT11"/>
    <mergeCell ref="AU11"/>
    <mergeCell ref="AV11"/>
    <mergeCell ref="AW11"/>
    <mergeCell ref="AX11"/>
    <mergeCell ref="AY11"/>
    <mergeCell ref="AZ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V11"/>
    <mergeCell ref="W11"/>
    <mergeCell ref="X11"/>
    <mergeCell ref="Y11"/>
    <mergeCell ref="Z11"/>
    <mergeCell ref="AA11"/>
    <mergeCell ref="AB11"/>
    <mergeCell ref="AC11"/>
    <mergeCell ref="AD11"/>
    <mergeCell ref="AE11"/>
    <mergeCell ref="AF11"/>
    <mergeCell ref="AG11"/>
    <mergeCell ref="AH11"/>
    <mergeCell ref="AI11"/>
    <mergeCell ref="AJ11"/>
    <mergeCell ref="AK11"/>
    <mergeCell ref="AL11"/>
    <mergeCell ref="AP10"/>
    <mergeCell ref="AQ10"/>
    <mergeCell ref="AR10"/>
    <mergeCell ref="AS10"/>
    <mergeCell ref="AT10"/>
    <mergeCell ref="AU10"/>
    <mergeCell ref="AV10"/>
    <mergeCell ref="AW10"/>
    <mergeCell ref="AX10"/>
    <mergeCell ref="AY10"/>
    <mergeCell ref="AZ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R11"/>
    <mergeCell ref="S11"/>
    <mergeCell ref="T11"/>
    <mergeCell ref="U11"/>
    <mergeCell ref="Y10"/>
    <mergeCell ref="Z10"/>
    <mergeCell ref="AA10"/>
    <mergeCell ref="AB10"/>
    <mergeCell ref="AC10"/>
    <mergeCell ref="AD10"/>
    <mergeCell ref="AE10"/>
    <mergeCell ref="AF10"/>
    <mergeCell ref="AG10"/>
    <mergeCell ref="AH10"/>
    <mergeCell ref="AI10"/>
    <mergeCell ref="AJ10"/>
    <mergeCell ref="AK10"/>
    <mergeCell ref="AL10"/>
    <mergeCell ref="AM10"/>
    <mergeCell ref="AN10"/>
    <mergeCell ref="AO10"/>
    <mergeCell ref="AS9"/>
    <mergeCell ref="AT9"/>
    <mergeCell ref="AU9"/>
    <mergeCell ref="AV9"/>
    <mergeCell ref="AW9"/>
    <mergeCell ref="AX9"/>
    <mergeCell ref="AY9"/>
    <mergeCell ref="AZ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U10"/>
    <mergeCell ref="V10"/>
    <mergeCell ref="W10"/>
    <mergeCell ref="X10"/>
    <mergeCell ref="AB9"/>
    <mergeCell ref="AC9"/>
    <mergeCell ref="AD9"/>
    <mergeCell ref="AE9"/>
    <mergeCell ref="AF9"/>
    <mergeCell ref="AG9"/>
    <mergeCell ref="AH9"/>
    <mergeCell ref="AI9"/>
    <mergeCell ref="AJ9"/>
    <mergeCell ref="AK9"/>
    <mergeCell ref="AL9"/>
    <mergeCell ref="AM9"/>
    <mergeCell ref="AN9"/>
    <mergeCell ref="AO9"/>
    <mergeCell ref="AP9"/>
    <mergeCell ref="AQ9"/>
    <mergeCell ref="AR9"/>
    <mergeCell ref="AV8"/>
    <mergeCell ref="AW8"/>
    <mergeCell ref="AX8"/>
    <mergeCell ref="AY8"/>
    <mergeCell ref="AZ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R9"/>
    <mergeCell ref="S9"/>
    <mergeCell ref="T9"/>
    <mergeCell ref="U9"/>
    <mergeCell ref="V9"/>
    <mergeCell ref="W9"/>
    <mergeCell ref="X9"/>
    <mergeCell ref="Y9"/>
    <mergeCell ref="Z9"/>
    <mergeCell ref="AA9"/>
    <mergeCell ref="AE8"/>
    <mergeCell ref="AF8"/>
    <mergeCell ref="AG8"/>
    <mergeCell ref="AH8"/>
    <mergeCell ref="AI8"/>
    <mergeCell ref="AJ8"/>
    <mergeCell ref="AK8"/>
    <mergeCell ref="AL8"/>
    <mergeCell ref="AM8"/>
    <mergeCell ref="AN8"/>
    <mergeCell ref="AO8"/>
    <mergeCell ref="AP8"/>
    <mergeCell ref="AQ8"/>
    <mergeCell ref="AR8"/>
    <mergeCell ref="AS8"/>
    <mergeCell ref="AT8"/>
    <mergeCell ref="AU8"/>
    <mergeCell ref="AY7"/>
    <mergeCell ref="AZ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U8"/>
    <mergeCell ref="V8"/>
    <mergeCell ref="W8"/>
    <mergeCell ref="X8"/>
    <mergeCell ref="Y8"/>
    <mergeCell ref="Z8"/>
    <mergeCell ref="AA8"/>
    <mergeCell ref="AB8"/>
    <mergeCell ref="AC8"/>
    <mergeCell ref="AD8"/>
    <mergeCell ref="AH7"/>
    <mergeCell ref="AI7"/>
    <mergeCell ref="AJ7"/>
    <mergeCell ref="AK7"/>
    <mergeCell ref="AL7"/>
    <mergeCell ref="AM7"/>
    <mergeCell ref="AN7"/>
    <mergeCell ref="AO7"/>
    <mergeCell ref="AP7"/>
    <mergeCell ref="AQ7"/>
    <mergeCell ref="AR7"/>
    <mergeCell ref="AS7"/>
    <mergeCell ref="AT7"/>
    <mergeCell ref="AU7"/>
    <mergeCell ref="AV7"/>
    <mergeCell ref="AW7"/>
    <mergeCell ref="AX7"/>
    <mergeCell ref="Q7"/>
    <mergeCell ref="R7"/>
    <mergeCell ref="S7"/>
    <mergeCell ref="T7"/>
    <mergeCell ref="U7"/>
    <mergeCell ref="V7"/>
    <mergeCell ref="W7"/>
    <mergeCell ref="X7"/>
    <mergeCell ref="Y7"/>
    <mergeCell ref="Z7"/>
    <mergeCell ref="AA7"/>
    <mergeCell ref="AB7"/>
    <mergeCell ref="AC7"/>
    <mergeCell ref="AD7"/>
    <mergeCell ref="AE7"/>
    <mergeCell ref="AF7"/>
    <mergeCell ref="AG7"/>
    <mergeCell ref="AK6"/>
    <mergeCell ref="AL6"/>
    <mergeCell ref="AM6"/>
    <mergeCell ref="AN6"/>
    <mergeCell ref="AO6"/>
    <mergeCell ref="AP6"/>
    <mergeCell ref="AQ6"/>
    <mergeCell ref="AR6"/>
    <mergeCell ref="AS6"/>
    <mergeCell ref="AT6"/>
    <mergeCell ref="AU6"/>
    <mergeCell ref="AV6"/>
    <mergeCell ref="AW6"/>
    <mergeCell ref="AX6"/>
    <mergeCell ref="AY6"/>
    <mergeCell ref="AZ6"/>
    <mergeCell ref="A7"/>
    <mergeCell ref="B7"/>
    <mergeCell ref="C7"/>
    <mergeCell ref="D7"/>
    <mergeCell ref="E7"/>
    <mergeCell ref="F7"/>
    <mergeCell ref="G7"/>
    <mergeCell ref="H7"/>
    <mergeCell ref="I7"/>
    <mergeCell ref="J7"/>
    <mergeCell ref="K7"/>
    <mergeCell ref="L7"/>
    <mergeCell ref="M7"/>
    <mergeCell ref="N7"/>
    <mergeCell ref="O7"/>
    <mergeCell ref="P7"/>
    <mergeCell ref="T6"/>
    <mergeCell ref="U6"/>
    <mergeCell ref="V6"/>
    <mergeCell ref="W6"/>
    <mergeCell ref="X6"/>
    <mergeCell ref="Y6"/>
    <mergeCell ref="Z6"/>
    <mergeCell ref="AA6"/>
    <mergeCell ref="AB6"/>
    <mergeCell ref="AC6"/>
    <mergeCell ref="AD6"/>
    <mergeCell ref="AE6"/>
    <mergeCell ref="AF6"/>
    <mergeCell ref="AG6"/>
    <mergeCell ref="AH6"/>
    <mergeCell ref="AI6"/>
    <mergeCell ref="AJ6"/>
    <mergeCell ref="AN5"/>
    <mergeCell ref="AO5"/>
    <mergeCell ref="AP5"/>
    <mergeCell ref="AQ5"/>
    <mergeCell ref="AR5"/>
    <mergeCell ref="AS5"/>
    <mergeCell ref="AT5"/>
    <mergeCell ref="AU5"/>
    <mergeCell ref="AV5"/>
    <mergeCell ref="AW5"/>
    <mergeCell ref="AX5"/>
    <mergeCell ref="AY5"/>
    <mergeCell ref="AZ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W5"/>
    <mergeCell ref="X5"/>
    <mergeCell ref="Y5"/>
    <mergeCell ref="Z5"/>
    <mergeCell ref="AA5"/>
    <mergeCell ref="AB5"/>
    <mergeCell ref="AC5"/>
    <mergeCell ref="AD5"/>
    <mergeCell ref="AE5"/>
    <mergeCell ref="AF5"/>
    <mergeCell ref="AG5"/>
    <mergeCell ref="AH5"/>
    <mergeCell ref="AI5"/>
    <mergeCell ref="AJ5"/>
    <mergeCell ref="AK5"/>
    <mergeCell ref="AL5"/>
    <mergeCell ref="AM5"/>
    <mergeCell ref="AQ4"/>
    <mergeCell ref="AR4"/>
    <mergeCell ref="AS4"/>
    <mergeCell ref="AT4"/>
    <mergeCell ref="AU4"/>
    <mergeCell ref="AV4"/>
    <mergeCell ref="AW4"/>
    <mergeCell ref="AX4"/>
    <mergeCell ref="AY4"/>
    <mergeCell ref="AZ4"/>
    <mergeCell ref="A5"/>
    <mergeCell ref="B5"/>
    <mergeCell ref="C5"/>
    <mergeCell ref="D5"/>
    <mergeCell ref="E5"/>
    <mergeCell ref="F5"/>
    <mergeCell ref="G5"/>
    <mergeCell ref="H5"/>
    <mergeCell ref="I5"/>
    <mergeCell ref="J5"/>
    <mergeCell ref="K5"/>
    <mergeCell ref="L5"/>
    <mergeCell ref="M5"/>
    <mergeCell ref="N5"/>
    <mergeCell ref="O5"/>
    <mergeCell ref="P5"/>
    <mergeCell ref="Q5"/>
    <mergeCell ref="R5"/>
    <mergeCell ref="S5"/>
    <mergeCell ref="T5"/>
    <mergeCell ref="U5"/>
    <mergeCell ref="V5"/>
    <mergeCell ref="Z4"/>
    <mergeCell ref="AA4"/>
    <mergeCell ref="AB4"/>
    <mergeCell ref="AC4"/>
    <mergeCell ref="AD4"/>
    <mergeCell ref="AE4"/>
    <mergeCell ref="AF4"/>
    <mergeCell ref="AG4"/>
    <mergeCell ref="AH4"/>
    <mergeCell ref="AI4"/>
    <mergeCell ref="AJ4"/>
    <mergeCell ref="AK4"/>
    <mergeCell ref="AL4"/>
    <mergeCell ref="AM4"/>
    <mergeCell ref="AN4"/>
    <mergeCell ref="AO4"/>
    <mergeCell ref="AP4"/>
    <mergeCell ref="AT3"/>
    <mergeCell ref="AU3"/>
    <mergeCell ref="AV3"/>
    <mergeCell ref="AW3"/>
    <mergeCell ref="AX3"/>
    <mergeCell ref="AY3"/>
    <mergeCell ref="AZ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U4"/>
    <mergeCell ref="V4"/>
    <mergeCell ref="W4"/>
    <mergeCell ref="X4"/>
    <mergeCell ref="Y4"/>
    <mergeCell ref="AC3"/>
    <mergeCell ref="AD3"/>
    <mergeCell ref="AE3"/>
    <mergeCell ref="AF3"/>
    <mergeCell ref="AG3"/>
    <mergeCell ref="AH3"/>
    <mergeCell ref="AI3"/>
    <mergeCell ref="AJ3"/>
    <mergeCell ref="AK3"/>
    <mergeCell ref="AL3"/>
    <mergeCell ref="AM3"/>
    <mergeCell ref="AN3"/>
    <mergeCell ref="AO3"/>
    <mergeCell ref="AP3"/>
    <mergeCell ref="AQ3"/>
    <mergeCell ref="AR3"/>
    <mergeCell ref="AS3"/>
    <mergeCell ref="AW2"/>
    <mergeCell ref="AX2"/>
    <mergeCell ref="AY2"/>
    <mergeCell ref="AZ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R3"/>
    <mergeCell ref="S3"/>
    <mergeCell ref="T3"/>
    <mergeCell ref="U3"/>
    <mergeCell ref="V3"/>
    <mergeCell ref="W3"/>
    <mergeCell ref="X3"/>
    <mergeCell ref="Y3"/>
    <mergeCell ref="Z3"/>
    <mergeCell ref="AA3"/>
    <mergeCell ref="AB3"/>
    <mergeCell ref="AF2"/>
    <mergeCell ref="AG2"/>
    <mergeCell ref="AH2"/>
    <mergeCell ref="AI2"/>
    <mergeCell ref="AJ2"/>
    <mergeCell ref="AK2"/>
    <mergeCell ref="AL2"/>
    <mergeCell ref="AM2"/>
    <mergeCell ref="AN2"/>
    <mergeCell ref="AO2"/>
    <mergeCell ref="AP2"/>
    <mergeCell ref="AQ2"/>
    <mergeCell ref="AR2"/>
    <mergeCell ref="AS2"/>
    <mergeCell ref="AT2"/>
    <mergeCell ref="AU2"/>
    <mergeCell ref="AV2"/>
    <mergeCell ref="AZ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U2"/>
    <mergeCell ref="V2"/>
    <mergeCell ref="W2"/>
    <mergeCell ref="X2"/>
    <mergeCell ref="Y2"/>
    <mergeCell ref="Z2"/>
    <mergeCell ref="AA2"/>
    <mergeCell ref="AB2"/>
    <mergeCell ref="AC2"/>
    <mergeCell ref="AD2"/>
    <mergeCell ref="AE2"/>
    <mergeCell ref="AI1"/>
    <mergeCell ref="AJ1"/>
    <mergeCell ref="AK1"/>
    <mergeCell ref="AL1"/>
    <mergeCell ref="AM1"/>
    <mergeCell ref="AN1"/>
    <mergeCell ref="AO1"/>
    <mergeCell ref="AP1"/>
    <mergeCell ref="AQ1"/>
    <mergeCell ref="AR1"/>
    <mergeCell ref="AS1"/>
    <mergeCell ref="AT1"/>
    <mergeCell ref="AU1"/>
    <mergeCell ref="AV1"/>
    <mergeCell ref="AW1"/>
    <mergeCell ref="AX1"/>
    <mergeCell ref="AY1"/>
    <mergeCell ref="R1"/>
    <mergeCell ref="S1"/>
    <mergeCell ref="T1"/>
    <mergeCell ref="U1"/>
    <mergeCell ref="V1"/>
    <mergeCell ref="W1"/>
    <mergeCell ref="X1"/>
    <mergeCell ref="Y1"/>
    <mergeCell ref="Z1"/>
    <mergeCell ref="AA1"/>
    <mergeCell ref="AB1"/>
    <mergeCell ref="AC1"/>
    <mergeCell ref="AD1"/>
    <mergeCell ref="AE1"/>
    <mergeCell ref="AF1"/>
    <mergeCell ref="AG1"/>
    <mergeCell ref="AH1"/>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s>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0" sqref="I30"/>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71"/>
      <c r="B3" s="3471"/>
      <c r="C3" s="3471"/>
      <c r="D3" s="854" t="s">
        <v>925</v>
      </c>
      <c r="E3" s="854" t="s">
        <v>931</v>
      </c>
      <c r="F3" s="854" t="s">
        <v>925</v>
      </c>
      <c r="G3" s="854" t="s">
        <v>926</v>
      </c>
      <c r="H3" s="854" t="s">
        <v>925</v>
      </c>
      <c r="I3" s="854" t="s">
        <v>926</v>
      </c>
    </row>
    <row r="4" spans="1:9" ht="30">
      <c r="A4" s="1505" t="str">
        <f>项目基本情况!S2</f>
        <v>江苏省南京市栖霞区元化路8号2幢101室房地产</v>
      </c>
      <c r="B4" s="854">
        <f>项目基本情况!C17</f>
        <v>17198.240000000002</v>
      </c>
      <c r="C4" s="854">
        <f>项目基本情况!C18</f>
        <v>0</v>
      </c>
      <c r="D4" s="854">
        <f ca="1">结果表!D118</f>
        <v>5340</v>
      </c>
      <c r="E4" s="854">
        <f ca="1">结果表!E118</f>
        <v>3105</v>
      </c>
      <c r="F4" s="854">
        <f ca="1">结果表!F118</f>
        <v>24326</v>
      </c>
      <c r="G4" s="854">
        <f ca="1">结果表!G118</f>
        <v>14144</v>
      </c>
      <c r="H4" s="854">
        <f ca="1">结果表!H118</f>
        <v>29666</v>
      </c>
      <c r="I4" s="854">
        <f ca="1">结果表!I118</f>
        <v>17249</v>
      </c>
    </row>
    <row r="5" spans="1:9" ht="30" customHeight="1">
      <c r="A5" s="3471" t="s">
        <v>927</v>
      </c>
      <c r="B5" s="3471"/>
      <c r="C5" s="3471"/>
      <c r="D5" s="3471" t="str">
        <f ca="1">结果表!D119</f>
        <v>伍仟叁佰肆拾万元整</v>
      </c>
      <c r="E5" s="3471"/>
      <c r="F5" s="3471" t="str">
        <f ca="1">结果表!F119</f>
        <v>贰亿肆仟叁佰贰拾陆万元整</v>
      </c>
      <c r="G5" s="3471"/>
      <c r="H5" s="3471" t="str">
        <f ca="1">结果表!H119</f>
        <v>贰亿玖仟陆佰陆拾陆万元整</v>
      </c>
      <c r="I5" s="3471"/>
    </row>
    <row r="6" spans="1:9" ht="15.75">
      <c r="A6" s="3472" t="str">
        <f>结果表!A120</f>
        <v>估价师知悉的法定优先受偿款</v>
      </c>
      <c r="B6" s="3472"/>
      <c r="C6" s="3472"/>
      <c r="D6" s="3472">
        <f>结果表!D120</f>
        <v>0</v>
      </c>
      <c r="E6" s="3472"/>
      <c r="F6" s="3472"/>
      <c r="G6" s="3472"/>
      <c r="H6" s="3472"/>
      <c r="I6" s="3472"/>
    </row>
    <row r="7" spans="1:9" ht="15">
      <c r="A7" s="3471" t="s">
        <v>927</v>
      </c>
      <c r="B7" s="3471"/>
      <c r="C7" s="3471"/>
      <c r="D7" s="3473" t="str">
        <f>结果表!D121</f>
        <v>零元整</v>
      </c>
      <c r="E7" s="3474"/>
      <c r="F7" s="3474"/>
      <c r="G7" s="3474"/>
      <c r="H7" s="3474"/>
      <c r="I7" s="3475"/>
    </row>
    <row r="8" spans="1:9" ht="15.75">
      <c r="A8" s="3472" t="str">
        <f>结果表!A122</f>
        <v>房地产抵押价值</v>
      </c>
      <c r="B8" s="3472"/>
      <c r="C8" s="3472"/>
      <c r="D8" s="3472">
        <f ca="1">结果表!D122</f>
        <v>29666</v>
      </c>
      <c r="E8" s="3472"/>
      <c r="F8" s="3472"/>
      <c r="G8" s="3472"/>
      <c r="H8" s="3472"/>
      <c r="I8" s="3472"/>
    </row>
    <row r="9" spans="1:9" ht="15">
      <c r="A9" s="3471" t="s">
        <v>927</v>
      </c>
      <c r="B9" s="3471"/>
      <c r="C9" s="3471"/>
      <c r="D9" s="3471" t="str">
        <f ca="1">结果表!D123</f>
        <v>贰亿玖仟陆佰陆拾陆万元整</v>
      </c>
      <c r="E9" s="3471"/>
      <c r="F9" s="3471"/>
      <c r="G9" s="3471"/>
      <c r="H9" s="3471"/>
      <c r="I9" s="3471"/>
    </row>
    <row r="10" spans="1:9" ht="15.75">
      <c r="A10" s="3472" t="str">
        <f>结果表!A124</f>
        <v/>
      </c>
      <c r="B10" s="3472"/>
      <c r="C10" s="3472"/>
      <c r="D10" s="3472" t="str">
        <f>结果表!D124</f>
        <v>——</v>
      </c>
      <c r="E10" s="3472"/>
      <c r="F10" s="3472"/>
      <c r="G10" s="3472"/>
      <c r="H10" s="3472"/>
      <c r="I10" s="3472"/>
    </row>
    <row r="11" spans="1:9" ht="15">
      <c r="A11" s="3471" t="s">
        <v>927</v>
      </c>
      <c r="B11" s="3471"/>
      <c r="C11" s="3471"/>
      <c r="D11" s="3471" t="e">
        <f>结果表!D125</f>
        <v>#VALUE!</v>
      </c>
      <c r="E11" s="3471"/>
      <c r="F11" s="3471"/>
      <c r="G11" s="3471"/>
      <c r="H11" s="3471"/>
      <c r="I11" s="3471"/>
    </row>
    <row r="12" spans="1:9" ht="15.75">
      <c r="A12" s="3472" t="str">
        <f>结果表!A126</f>
        <v>抵押净值</v>
      </c>
      <c r="B12" s="3472"/>
      <c r="C12" s="3472"/>
      <c r="D12" s="3472">
        <f ca="1">结果表!D126</f>
        <v>29510</v>
      </c>
      <c r="E12" s="3472"/>
      <c r="F12" s="3472"/>
      <c r="G12" s="3472"/>
      <c r="H12" s="3472"/>
      <c r="I12" s="3472"/>
    </row>
    <row r="13" spans="1:9" ht="15.75" thickBot="1">
      <c r="A13" s="3476" t="s">
        <v>927</v>
      </c>
      <c r="B13" s="3476"/>
      <c r="C13" s="3476"/>
      <c r="D13" s="3476" t="str">
        <f ca="1">结果表!D127</f>
        <v>贰亿玖仟伍佰壹拾万元整</v>
      </c>
      <c r="E13" s="3476"/>
      <c r="F13" s="3476"/>
      <c r="G13" s="3476"/>
      <c r="H13" s="3476"/>
      <c r="I13" s="3476"/>
    </row>
    <row r="14" spans="1:9" ht="15" thickTop="1">
      <c r="A14" s="3477" t="s">
        <v>932</v>
      </c>
      <c r="B14" s="3477"/>
      <c r="C14" s="3477"/>
      <c r="D14" s="3477"/>
      <c r="E14" s="3477"/>
      <c r="F14" s="3477"/>
      <c r="G14" s="3477"/>
      <c r="H14" s="3477"/>
      <c r="I14" s="347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8" t="s">
        <v>949</v>
      </c>
      <c r="B1" s="3478"/>
      <c r="C1" s="3478"/>
      <c r="D1" s="3478"/>
    </row>
    <row r="2" spans="1:4" ht="18">
      <c r="A2" s="3479" t="s">
        <v>933</v>
      </c>
      <c r="B2" s="3479"/>
      <c r="C2" s="3479"/>
      <c r="D2" s="347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9" t="s">
        <v>939</v>
      </c>
      <c r="B6" s="3479"/>
      <c r="C6" s="3479"/>
      <c r="D6" s="347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0"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81" t="str">
        <f>IF(项目基本情况!B8="抵押","4.本次评估估价师所知悉的法定优先受偿款情况说明如下：","——")</f>
        <v>4.本次评估估价师所知悉的法定优先受偿款情况说明如下：</v>
      </c>
      <c r="B14" s="3482"/>
      <c r="C14" s="3482"/>
      <c r="D14" s="3482"/>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4" t="s">
        <v>943</v>
      </c>
      <c r="B16" s="3484"/>
      <c r="C16" s="3484"/>
      <c r="D16" s="3484"/>
    </row>
    <row r="17" spans="1:4" ht="144" customHeight="1">
      <c r="A17" s="3484" t="s">
        <v>944</v>
      </c>
      <c r="B17" s="3484"/>
      <c r="C17" s="3484"/>
      <c r="D17" s="3484"/>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3">
        <v>42551</v>
      </c>
      <c r="D31" s="34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2" t="s">
        <v>956</v>
      </c>
      <c r="B15" s="3487" t="s">
        <v>109</v>
      </c>
      <c r="C15" s="3488"/>
    </row>
    <row r="16" spans="1:7" ht="13.5">
      <c r="A16" s="3493"/>
      <c r="B16" s="3487" t="s">
        <v>42</v>
      </c>
      <c r="C16" s="3488"/>
    </row>
    <row r="17" spans="1:3" ht="13.5">
      <c r="A17" s="3493"/>
      <c r="B17" s="3490" t="s">
        <v>957</v>
      </c>
      <c r="C17" s="1532" t="s">
        <v>956</v>
      </c>
    </row>
    <row r="18" spans="1:3" ht="13.5">
      <c r="A18" s="3493"/>
      <c r="B18" s="3490"/>
      <c r="C18" s="1532" t="s">
        <v>958</v>
      </c>
    </row>
    <row r="19" spans="1:3" ht="13.5">
      <c r="A19" s="3493"/>
      <c r="B19" s="3490"/>
      <c r="C19" s="1532" t="s">
        <v>959</v>
      </c>
    </row>
    <row r="20" spans="1:3" ht="13.5">
      <c r="A20" s="3494"/>
      <c r="B20" s="3489" t="s">
        <v>960</v>
      </c>
      <c r="C20" s="3488"/>
    </row>
    <row r="21" spans="1:3" ht="13.5">
      <c r="A21" s="1533" t="s">
        <v>961</v>
      </c>
      <c r="B21" s="1534"/>
      <c r="C21" s="1535"/>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2" t="s">
        <v>967</v>
      </c>
    </row>
    <row r="26" spans="1:3" ht="13.5">
      <c r="A26" s="3491"/>
      <c r="B26" s="3490"/>
      <c r="C26" s="1532" t="s">
        <v>968</v>
      </c>
    </row>
    <row r="27" spans="1:3" ht="13.5">
      <c r="A27" s="3491"/>
      <c r="B27" s="3490"/>
      <c r="C27" s="1532" t="s">
        <v>969</v>
      </c>
    </row>
    <row r="28" spans="1:3" ht="13.5">
      <c r="A28" s="3491"/>
      <c r="B28" s="3490"/>
      <c r="C28" s="1532" t="s">
        <v>970</v>
      </c>
    </row>
    <row r="29" spans="1:3" ht="13.5">
      <c r="A29" s="3491"/>
      <c r="B29" s="3490"/>
      <c r="C29" s="1532" t="s">
        <v>971</v>
      </c>
    </row>
    <row r="30" spans="1:3" ht="13.5">
      <c r="A30" s="3491"/>
      <c r="B30" s="3490"/>
      <c r="C30" s="1532" t="s">
        <v>972</v>
      </c>
    </row>
    <row r="31" spans="1:3" ht="13.5">
      <c r="A31" s="3491"/>
      <c r="B31" s="3490"/>
      <c r="C31" s="1532" t="s">
        <v>973</v>
      </c>
    </row>
    <row r="32" spans="1:3" ht="13.5">
      <c r="A32" s="3491"/>
      <c r="B32" s="3490"/>
      <c r="C32" s="1532" t="s">
        <v>974</v>
      </c>
    </row>
    <row r="33" spans="1:3" ht="13.5">
      <c r="A33" s="3491"/>
      <c r="B33" s="349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45062</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5" t="s">
        <v>2159</v>
      </c>
      <c r="B17" s="3495"/>
      <c r="C17" s="3495"/>
      <c r="D17" s="3495"/>
      <c r="E17" s="3495"/>
      <c r="F17" s="3495"/>
      <c r="G17" s="3495"/>
      <c r="H17" s="3495"/>
    </row>
    <row r="18" spans="1:8" ht="24" customHeight="1">
      <c r="A18" s="3496" t="s">
        <v>2160</v>
      </c>
      <c r="B18" s="3496"/>
      <c r="C18" s="3496"/>
      <c r="D18" s="2343"/>
      <c r="E18" s="3497" t="s">
        <v>2161</v>
      </c>
      <c r="F18" s="3496"/>
      <c r="G18" s="3496"/>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酒店</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2023-05-16T07:04:19Z</dcterms:modified>
</cp:coreProperties>
</file>