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8"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商业)" sheetId="79" r:id="rId18"/>
    <sheet name="结果表（办公）" sheetId="9" r:id="rId19"/>
    <sheet name="成本法" sheetId="68" state="hidden" r:id="rId20"/>
    <sheet name="成本法 (元)" sheetId="69" state="hidden" r:id="rId21"/>
    <sheet name="假设开发法" sheetId="12" state="hidden" r:id="rId22"/>
    <sheet name="收益法（汇总）" sheetId="70" state="hidden" r:id="rId23"/>
    <sheet name="酒店收入计算" sheetId="66" state="hidden" r:id="rId24"/>
    <sheet name="比较法-住宅" sheetId="21" state="hidden" r:id="rId25"/>
    <sheet name="比较法-商业" sheetId="33" r:id="rId26"/>
    <sheet name="收益法(商业元)" sheetId="67" r:id="rId27"/>
    <sheet name="收益法（商业）" sheetId="15" state="hidden" r:id="rId28"/>
    <sheet name="比较法-商业 (租金)" sheetId="80" r:id="rId29"/>
    <sheet name="比较法-办公" sheetId="34" r:id="rId30"/>
    <sheet name="收益法(办公元)" sheetId="83" r:id="rId31"/>
    <sheet name="收益法 (办公)" sheetId="78"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地价" sheetId="71" state="hidden" r:id="rId41"/>
    <sheet name="比较法-办公 (租金)" sheetId="81" r:id="rId42"/>
    <sheet name="典型户型修正" sheetId="31" r:id="rId43"/>
    <sheet name="面积表" sheetId="82"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9" hidden="1">'比较法-办公'!$A$1:$L$50</definedName>
    <definedName name="_xlnm._FilterDatabase" localSheetId="41"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8" hidden="1">'比较法-商业 (租金)'!$A$1:$L$49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估价师及机构信息!$A$1:$F$24</definedName>
    <definedName name="_xlnm.Print_Area" localSheetId="31">'收益法 (办公)'!$A$1:$AK$69</definedName>
    <definedName name="_xlnm.Print_Area" localSheetId="30">'收益法(办公元)'!$A$1:$AK$69</definedName>
    <definedName name="_xlnm.Print_Area" localSheetId="27">'收益法（商业）'!$A$1:$AK$69</definedName>
    <definedName name="_xlnm.Print_Area" localSheetId="26">'收益法(商业元)'!$A$1:$AK$69</definedName>
    <definedName name="_xlnm.Print_Area" localSheetId="13">'数据-汇总表'!$A$1:$P$32</definedName>
    <definedName name="_xlnm.Print_Area" localSheetId="5">'预评函-4'!$A$1:$D$31</definedName>
    <definedName name="八级">区片价!$O$1:$O$40</definedName>
    <definedName name="办公层高" localSheetId="41">'比较法-办公 (租金)'!$B$119:$M$119</definedName>
    <definedName name="办公层高" localSheetId="5">'[1]比较法-办公'!$B$115:$M$115</definedName>
    <definedName name="办公层高">'比较法-办公'!$B$119:$M$119</definedName>
    <definedName name="办公朝向" localSheetId="41">'比较法-办公 (租金)'!$B$91:$M$91</definedName>
    <definedName name="办公朝向" localSheetId="5">'[1]比较法-办公'!$B$87:$M$87</definedName>
    <definedName name="办公朝向">'比较法-办公'!$B$91:$M$91</definedName>
    <definedName name="办公道路级别" localSheetId="41">'比较法-办公 (租金)'!$B$87:$M$87</definedName>
    <definedName name="办公道路级别" localSheetId="5">'[1]比较法-办公'!$B$83:$M$83</definedName>
    <definedName name="办公道路级别">'比较法-办公'!$B$87:$M$87</definedName>
    <definedName name="办公公共部分装修" localSheetId="41">'比较法-办公 (租金)'!$B$108:$M$108</definedName>
    <definedName name="办公公共部分装修" localSheetId="5">'[1]比较法-办公'!$B$104:$M$104</definedName>
    <definedName name="办公公共部分装修">'比较法-办公'!$B$108:$M$108</definedName>
    <definedName name="办公基础设施水平" localSheetId="41">'比较法-办公 (租金)'!$B$117:$M$117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1">'比较法-办公 (租金)'!$B$106:$M$106</definedName>
    <definedName name="办公建筑结构" localSheetId="5">'[1]比较法-办公'!$B$102:$M$102</definedName>
    <definedName name="办公建筑结构">'比较法-办公'!$B$106:$M$106</definedName>
    <definedName name="办公建筑类型" localSheetId="41">'比较法-办公 (租金)'!$B$101:$M$101</definedName>
    <definedName name="办公建筑类型" localSheetId="5">'[1]比较法-办公'!$B$97:$M$97</definedName>
    <definedName name="办公建筑类型">'比较法-办公'!$B$101:$M$101</definedName>
    <definedName name="办公交易情况" localSheetId="41">'比较法-办公 (租金)'!$A$62:$M$62</definedName>
    <definedName name="办公交易情况" localSheetId="5">'[1]比较法-办公'!$A$60:$M$60</definedName>
    <definedName name="办公交易情况">'比较法-办公'!$A$62:$M$62</definedName>
    <definedName name="办公楼层" localSheetId="41">'比较法-办公 (租金)'!$B$89:$M$89</definedName>
    <definedName name="办公楼层" localSheetId="5">'[1]比较法-办公'!$B$85:$M$85</definedName>
    <definedName name="办公楼层">'比较法-办公'!$B$89:$M$89</definedName>
    <definedName name="办公内部装修" localSheetId="41">'比较法-办公 (租金)'!$B$123:$M$123</definedName>
    <definedName name="办公内部装修" localSheetId="5">'[1]比较法-办公'!$B$119:$M$119</definedName>
    <definedName name="办公内部装修">'比较法-办公'!$B$123:$M$123</definedName>
    <definedName name="办公物业管理" localSheetId="41">'比较法-办公 (租金)'!$B$115:$M$115</definedName>
    <definedName name="办公物业管理" localSheetId="5">'[1]比较法-办公'!$B$111:$M$111</definedName>
    <definedName name="办公物业管理">'比较法-办公'!$B$115:$M$115</definedName>
    <definedName name="办公用途" localSheetId="41">'比较法-办公 (租金)'!$B$64:$M$64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8">'比较法-商业 (租金)'!$B$116:$M$116</definedName>
    <definedName name="商业层高" localSheetId="5">'[1]比较法-商业'!$B$112:$M$112</definedName>
    <definedName name="商业层高">'比较法-商业'!$B$116:$M$116</definedName>
    <definedName name="商业成新度" localSheetId="28">'比较法-商业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28">'比较法-商业 (租金)'!$B$107:$M$107</definedName>
    <definedName name="商业公共部分装修" localSheetId="5">'[1]比较法-商业'!$B$103:$M$103</definedName>
    <definedName name="商业公共部分装修">'比较法-商业'!$B$107:$M$107</definedName>
    <definedName name="商业基础设施水平" localSheetId="28">'比较法-商业 (租金)'!$B$112:$M$112</definedName>
    <definedName name="商业基础设施水平" localSheetId="5">'[1]比较法-商业'!$B$108:$M$108</definedName>
    <definedName name="商业基础设施水平">'比较法-商业'!$B$112:$M$112</definedName>
    <definedName name="商业建筑结构" localSheetId="28">'比较法-商业 (租金)'!$B$105:$M$105</definedName>
    <definedName name="商业建筑结构" localSheetId="5">'[1]比较法-商业'!$B$101:$M$101</definedName>
    <definedName name="商业建筑结构">'比较法-商业'!$B$105:$M$105</definedName>
    <definedName name="商业交易情况" localSheetId="28">'比较法-商业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8">'比较法-商业 (租金)'!$B$120:$M$120</definedName>
    <definedName name="商业进深比" localSheetId="5">'[1]比较法-商业'!$B$116:$M$116</definedName>
    <definedName name="商业进深比">'比较法-商业'!$B$120:$M$120</definedName>
    <definedName name="商业类型" localSheetId="28">'比较法-商业 (租金)'!$B$100:$M$100</definedName>
    <definedName name="商业类型" localSheetId="5">'[1]比较法-商业'!$B$96:$M$96</definedName>
    <definedName name="商业类型">'比较法-商业'!$B$100:$M$100</definedName>
    <definedName name="商业临街状况" localSheetId="28">'比较法-商业 (租金)'!$B$86:$M$86</definedName>
    <definedName name="商业临街状况" localSheetId="5">'[1]比较法-商业'!$B$82:$M$82</definedName>
    <definedName name="商业临街状况">'比较法-商业'!$B$86:$M$86</definedName>
    <definedName name="商业楼层" localSheetId="28">'比较法-商业 (租金)'!$B$92:$M$92</definedName>
    <definedName name="商业楼层" localSheetId="5">'[1]比较法-商业'!$B$88:$M$88</definedName>
    <definedName name="商业楼层">'比较法-商业'!$B$92:$M$92</definedName>
    <definedName name="商业内部装修" localSheetId="28">'比较法-商业 (租金)'!$B$122:$M$122</definedName>
    <definedName name="商业内部装修" localSheetId="5">'[1]比较法-商业'!$B$118:$M$118</definedName>
    <definedName name="商业内部装修">'比较法-商业'!$B$122:$M$122</definedName>
    <definedName name="商业人流量" localSheetId="28">'比较法-商业 (租金)'!$B$90:$M$90</definedName>
    <definedName name="商业人流量" localSheetId="5">'[1]比较法-商业'!$B$86:$M$86</definedName>
    <definedName name="商业人流量">'比较法-商业'!$B$90:$M$90</definedName>
    <definedName name="商业业态" localSheetId="28">'比较法-商业 (租金)'!$B$114:$M$114</definedName>
    <definedName name="商业业态" localSheetId="5">'[1]比较法-商业'!$B$110:$M$110</definedName>
    <definedName name="商业业态">'比较法-商业'!$B$114:$M$114</definedName>
    <definedName name="商业用途" localSheetId="28">'比较法-商业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1">'比较法-办公 (租金)'!$B$113:$M$113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4" i="3" l="1"/>
  <c r="B26" i="31" l="1"/>
  <c r="B25" i="31"/>
  <c r="B24" i="31"/>
  <c r="Q72" i="83"/>
  <c r="Q59" i="83"/>
  <c r="F59" i="83"/>
  <c r="Q58" i="83"/>
  <c r="Q51" i="83"/>
  <c r="J50" i="83"/>
  <c r="J51" i="83" s="1"/>
  <c r="M47" i="83"/>
  <c r="D46" i="83"/>
  <c r="F34" i="83"/>
  <c r="F33" i="83"/>
  <c r="F61" i="83" s="1"/>
  <c r="F32" i="83"/>
  <c r="F60" i="83" s="1"/>
  <c r="F31" i="83"/>
  <c r="F28" i="83"/>
  <c r="C28" i="83"/>
  <c r="F23" i="83"/>
  <c r="D24" i="83" s="1"/>
  <c r="D23" i="83"/>
  <c r="D22" i="83"/>
  <c r="F21" i="83"/>
  <c r="M20" i="83"/>
  <c r="F20" i="83"/>
  <c r="M19" i="83"/>
  <c r="M18" i="83"/>
  <c r="F18" i="83"/>
  <c r="M17" i="83"/>
  <c r="F17" i="83"/>
  <c r="F15" i="83"/>
  <c r="G42" i="81"/>
  <c r="I25" i="81"/>
  <c r="G25" i="81"/>
  <c r="E25" i="81"/>
  <c r="F62" i="83" l="1"/>
  <c r="D8" i="82"/>
  <c r="I34" i="81" l="1"/>
  <c r="G34" i="81"/>
  <c r="E34" i="81"/>
  <c r="F34" i="81" s="1"/>
  <c r="AA34" i="81" s="1"/>
  <c r="C34" i="81"/>
  <c r="I11" i="81"/>
  <c r="J11" i="81" s="1"/>
  <c r="AC11" i="81" s="1"/>
  <c r="G11" i="81"/>
  <c r="E11" i="81"/>
  <c r="F11" i="81" s="1"/>
  <c r="AA11" i="81" s="1"/>
  <c r="C11" i="81"/>
  <c r="G34" i="34"/>
  <c r="E34" i="34"/>
  <c r="C34" i="34"/>
  <c r="G11" i="34"/>
  <c r="E11" i="34"/>
  <c r="B131" i="81"/>
  <c r="B129" i="81"/>
  <c r="B127" i="81"/>
  <c r="D126" i="81"/>
  <c r="E126" i="81" s="1"/>
  <c r="F126" i="81" s="1"/>
  <c r="G126" i="81" s="1"/>
  <c r="E124" i="81"/>
  <c r="D124" i="81"/>
  <c r="D120" i="81"/>
  <c r="E120" i="81" s="1"/>
  <c r="F120" i="81" s="1"/>
  <c r="G120" i="81" s="1"/>
  <c r="H120" i="81" s="1"/>
  <c r="I120" i="81" s="1"/>
  <c r="J120" i="81" s="1"/>
  <c r="K120" i="81" s="1"/>
  <c r="L120" i="81" s="1"/>
  <c r="M120" i="81" s="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J32" i="81" s="1"/>
  <c r="B97" i="81"/>
  <c r="B95" i="81"/>
  <c r="B93" i="81"/>
  <c r="I92" i="81"/>
  <c r="J92" i="81" s="1"/>
  <c r="K92" i="81" s="1"/>
  <c r="L92" i="81" s="1"/>
  <c r="M92" i="81" s="1"/>
  <c r="E92" i="81"/>
  <c r="F92" i="81" s="1"/>
  <c r="G92" i="81" s="1"/>
  <c r="H92" i="81" s="1"/>
  <c r="D92" i="81"/>
  <c r="B91" i="81"/>
  <c r="D90" i="81"/>
  <c r="F27" i="81" s="1"/>
  <c r="S27"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I67" i="81"/>
  <c r="F67" i="81"/>
  <c r="G67" i="81" s="1"/>
  <c r="H67" i="81" s="1"/>
  <c r="C64" i="81"/>
  <c r="I55" i="81"/>
  <c r="J55" i="81" s="1"/>
  <c r="G55" i="81"/>
  <c r="H55" i="81" s="1"/>
  <c r="E55" i="81"/>
  <c r="F55" i="81" s="1"/>
  <c r="P50" i="81"/>
  <c r="P49" i="81"/>
  <c r="V48" i="81"/>
  <c r="T48" i="81"/>
  <c r="R48" i="81"/>
  <c r="P48" i="81"/>
  <c r="Q47" i="81"/>
  <c r="Z47" i="81" s="1"/>
  <c r="J47" i="81"/>
  <c r="AC47" i="81" s="1"/>
  <c r="H47" i="81"/>
  <c r="U47" i="81" s="1"/>
  <c r="F47" i="81"/>
  <c r="AA47" i="81" s="1"/>
  <c r="AA46" i="81"/>
  <c r="Q46" i="81"/>
  <c r="Z46" i="81" s="1"/>
  <c r="J46" i="81"/>
  <c r="AC46" i="81" s="1"/>
  <c r="H46" i="81"/>
  <c r="AB46" i="81" s="1"/>
  <c r="F46" i="81"/>
  <c r="S46" i="81" s="1"/>
  <c r="Z45" i="81"/>
  <c r="Q45" i="81"/>
  <c r="J45" i="81"/>
  <c r="AC45" i="81" s="1"/>
  <c r="H45" i="81"/>
  <c r="AB45" i="81" s="1"/>
  <c r="F45" i="81"/>
  <c r="AA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J40" i="81"/>
  <c r="AC40" i="81" s="1"/>
  <c r="Q39" i="81"/>
  <c r="Z39" i="81" s="1"/>
  <c r="J39" i="81"/>
  <c r="AC39" i="81" s="1"/>
  <c r="H39" i="81"/>
  <c r="AB39" i="81" s="1"/>
  <c r="F39" i="81"/>
  <c r="AA39" i="81" s="1"/>
  <c r="Q38" i="81"/>
  <c r="Z38" i="81" s="1"/>
  <c r="J38" i="81"/>
  <c r="AC38" i="81" s="1"/>
  <c r="H38" i="81"/>
  <c r="AB38" i="81" s="1"/>
  <c r="F38" i="81"/>
  <c r="S38" i="81" s="1"/>
  <c r="Z37" i="81"/>
  <c r="Q37" i="81"/>
  <c r="C37" i="81"/>
  <c r="Z36" i="81"/>
  <c r="Q36" i="8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S33" i="81" s="1"/>
  <c r="AB32" i="81"/>
  <c r="AA32" i="81"/>
  <c r="S32" i="81"/>
  <c r="Q32" i="81"/>
  <c r="Z32" i="81" s="1"/>
  <c r="H32" i="81"/>
  <c r="U32" i="81" s="1"/>
  <c r="F32" i="81"/>
  <c r="AC31" i="81"/>
  <c r="AA31" i="81"/>
  <c r="Q31" i="81"/>
  <c r="Z31" i="81" s="1"/>
  <c r="J31" i="81"/>
  <c r="W31" i="81" s="1"/>
  <c r="H31" i="81"/>
  <c r="AB31" i="81" s="1"/>
  <c r="F31" i="81"/>
  <c r="S31" i="81" s="1"/>
  <c r="AC30" i="81"/>
  <c r="W30" i="81"/>
  <c r="U30" i="81"/>
  <c r="Q30" i="81"/>
  <c r="Z30" i="81" s="1"/>
  <c r="J30" i="81"/>
  <c r="H30" i="81"/>
  <c r="AB30" i="81" s="1"/>
  <c r="F30" i="81"/>
  <c r="AA30" i="81" s="1"/>
  <c r="AA29" i="81"/>
  <c r="Q29" i="81"/>
  <c r="Z29" i="81" s="1"/>
  <c r="J29" i="81"/>
  <c r="W29" i="81" s="1"/>
  <c r="H29" i="81"/>
  <c r="U29" i="81" s="1"/>
  <c r="F29" i="81"/>
  <c r="S29" i="81" s="1"/>
  <c r="AB28" i="81"/>
  <c r="Q28" i="81"/>
  <c r="Z28" i="81" s="1"/>
  <c r="J28" i="81"/>
  <c r="AC28" i="81" s="1"/>
  <c r="H28" i="81"/>
  <c r="U28" i="81" s="1"/>
  <c r="F28" i="81"/>
  <c r="AA28" i="81" s="1"/>
  <c r="Z27" i="81"/>
  <c r="Q27" i="81"/>
  <c r="Q25" i="81"/>
  <c r="Z25" i="81" s="1"/>
  <c r="J25" i="81"/>
  <c r="AC25" i="81" s="1"/>
  <c r="H25" i="81"/>
  <c r="U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C7" i="81"/>
  <c r="C59" i="81" s="1"/>
  <c r="D3" i="81"/>
  <c r="B130" i="80"/>
  <c r="J46" i="80" s="1"/>
  <c r="AC46" i="80" s="1"/>
  <c r="B128" i="80"/>
  <c r="B126" i="80"/>
  <c r="D125" i="80"/>
  <c r="D123" i="80"/>
  <c r="E123" i="80" s="1"/>
  <c r="F123" i="80" s="1"/>
  <c r="D121" i="80"/>
  <c r="D117" i="80"/>
  <c r="E117" i="80" s="1"/>
  <c r="F117" i="80" s="1"/>
  <c r="G117" i="80" s="1"/>
  <c r="D115" i="80"/>
  <c r="E115" i="80" s="1"/>
  <c r="F115" i="80" s="1"/>
  <c r="G115" i="80" s="1"/>
  <c r="H115" i="80" s="1"/>
  <c r="I115" i="80" s="1"/>
  <c r="J115" i="80" s="1"/>
  <c r="K115" i="80" s="1"/>
  <c r="L115" i="80" s="1"/>
  <c r="M115" i="80" s="1"/>
  <c r="D113" i="80"/>
  <c r="E113" i="80" s="1"/>
  <c r="F111" i="80"/>
  <c r="G111" i="80" s="1"/>
  <c r="H111" i="80" s="1"/>
  <c r="I111" i="80" s="1"/>
  <c r="J111" i="80" s="1"/>
  <c r="K111" i="80" s="1"/>
  <c r="L111" i="80" s="1"/>
  <c r="M111" i="80" s="1"/>
  <c r="D111" i="80"/>
  <c r="E111" i="80" s="1"/>
  <c r="G109" i="80"/>
  <c r="F109" i="80"/>
  <c r="E109" i="80"/>
  <c r="D109" i="80"/>
  <c r="C109" i="80"/>
  <c r="I108" i="80"/>
  <c r="J108" i="80" s="1"/>
  <c r="K108" i="80" s="1"/>
  <c r="L108" i="80" s="1"/>
  <c r="M108" i="80" s="1"/>
  <c r="E108" i="80"/>
  <c r="F108" i="80" s="1"/>
  <c r="G108" i="80" s="1"/>
  <c r="H108" i="80" s="1"/>
  <c r="D108" i="80"/>
  <c r="G106" i="80"/>
  <c r="H106" i="80" s="1"/>
  <c r="I106" i="80" s="1"/>
  <c r="J106" i="80" s="1"/>
  <c r="K106" i="80" s="1"/>
  <c r="L106" i="80" s="1"/>
  <c r="M106" i="80" s="1"/>
  <c r="D106" i="80"/>
  <c r="E106" i="80" s="1"/>
  <c r="F106" i="80" s="1"/>
  <c r="M102" i="80"/>
  <c r="L102" i="80"/>
  <c r="K102" i="80"/>
  <c r="J102" i="80"/>
  <c r="I102" i="80"/>
  <c r="H102" i="80"/>
  <c r="G102" i="80"/>
  <c r="F102" i="80"/>
  <c r="E102" i="80"/>
  <c r="D102" i="80"/>
  <c r="C102" i="80"/>
  <c r="D101" i="80"/>
  <c r="E101" i="80" s="1"/>
  <c r="B98" i="80"/>
  <c r="B96" i="80"/>
  <c r="B94" i="80"/>
  <c r="B92" i="80"/>
  <c r="J28" i="80" s="1"/>
  <c r="D91" i="80"/>
  <c r="E91" i="80" s="1"/>
  <c r="F91" i="80" s="1"/>
  <c r="B90" i="80"/>
  <c r="B88" i="80"/>
  <c r="J26" i="80" s="1"/>
  <c r="D87" i="80"/>
  <c r="E87" i="80" s="1"/>
  <c r="F87" i="80" s="1"/>
  <c r="F85" i="80"/>
  <c r="G85" i="80" s="1"/>
  <c r="D85" i="80"/>
  <c r="E85" i="80" s="1"/>
  <c r="D83" i="80"/>
  <c r="E83" i="80" s="1"/>
  <c r="F83" i="80" s="1"/>
  <c r="G83" i="80" s="1"/>
  <c r="F81" i="80"/>
  <c r="G81" i="80" s="1"/>
  <c r="D81" i="80"/>
  <c r="E81" i="80" s="1"/>
  <c r="D79" i="80"/>
  <c r="E79" i="80" s="1"/>
  <c r="F79" i="80" s="1"/>
  <c r="G79" i="80" s="1"/>
  <c r="F77" i="80"/>
  <c r="G77" i="80" s="1"/>
  <c r="D77" i="80"/>
  <c r="E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H66" i="80"/>
  <c r="I66" i="80" s="1"/>
  <c r="G66" i="80"/>
  <c r="C63" i="80"/>
  <c r="I54" i="80"/>
  <c r="J54" i="80" s="1"/>
  <c r="G54" i="80"/>
  <c r="H54" i="80" s="1"/>
  <c r="E54" i="80"/>
  <c r="F54" i="80" s="1"/>
  <c r="P49" i="80"/>
  <c r="P48" i="80"/>
  <c r="V47" i="80"/>
  <c r="T47" i="80"/>
  <c r="R47" i="80"/>
  <c r="P47" i="80"/>
  <c r="Q46" i="80"/>
  <c r="Z46" i="80" s="1"/>
  <c r="Q45" i="80"/>
  <c r="Z45" i="80" s="1"/>
  <c r="J45" i="80"/>
  <c r="AC45" i="80" s="1"/>
  <c r="H45" i="80"/>
  <c r="AB45" i="80" s="1"/>
  <c r="F45" i="80"/>
  <c r="AA45" i="80" s="1"/>
  <c r="Q44" i="80"/>
  <c r="Z44" i="80" s="1"/>
  <c r="AA43" i="80"/>
  <c r="Q43" i="80"/>
  <c r="Z43" i="80" s="1"/>
  <c r="F43" i="80"/>
  <c r="S43" i="80" s="1"/>
  <c r="Z42" i="80"/>
  <c r="Q42" i="80"/>
  <c r="W41" i="80"/>
  <c r="Q41" i="80"/>
  <c r="Z41" i="80" s="1"/>
  <c r="J41" i="80"/>
  <c r="AC41" i="80" s="1"/>
  <c r="Q40" i="80"/>
  <c r="Z40" i="80" s="1"/>
  <c r="Q39" i="80"/>
  <c r="Z39" i="80" s="1"/>
  <c r="J39" i="80"/>
  <c r="AC39" i="80" s="1"/>
  <c r="H39" i="80"/>
  <c r="AB39" i="80" s="1"/>
  <c r="F39" i="80"/>
  <c r="AA39" i="80" s="1"/>
  <c r="Q38" i="80"/>
  <c r="Z38" i="80" s="1"/>
  <c r="J38" i="80"/>
  <c r="AC38" i="80" s="1"/>
  <c r="H38" i="80"/>
  <c r="AB38" i="80" s="1"/>
  <c r="F38" i="80"/>
  <c r="S38" i="80" s="1"/>
  <c r="Z37" i="80"/>
  <c r="Q37" i="80"/>
  <c r="H37" i="80"/>
  <c r="AB37" i="80" s="1"/>
  <c r="Q36" i="80"/>
  <c r="Z36" i="80" s="1"/>
  <c r="C36" i="80"/>
  <c r="AC35" i="80"/>
  <c r="Q35" i="80"/>
  <c r="Z35" i="80" s="1"/>
  <c r="J35" i="80"/>
  <c r="W35" i="80" s="1"/>
  <c r="H35" i="80"/>
  <c r="AB35" i="80" s="1"/>
  <c r="F35" i="80"/>
  <c r="S35" i="80" s="1"/>
  <c r="AB34" i="80"/>
  <c r="Q34" i="80"/>
  <c r="Z34" i="80" s="1"/>
  <c r="J34" i="80"/>
  <c r="AC34" i="80" s="1"/>
  <c r="H34" i="80"/>
  <c r="U34" i="80" s="1"/>
  <c r="F34" i="80"/>
  <c r="AA34" i="80" s="1"/>
  <c r="Q33" i="80"/>
  <c r="Z33" i="80" s="1"/>
  <c r="J33" i="80"/>
  <c r="AC33" i="80" s="1"/>
  <c r="H33" i="80"/>
  <c r="AB33" i="80" s="1"/>
  <c r="F33" i="80"/>
  <c r="S33" i="80" s="1"/>
  <c r="Z32" i="80"/>
  <c r="Q32" i="80"/>
  <c r="H32" i="80"/>
  <c r="AB32" i="80" s="1"/>
  <c r="AC31" i="80"/>
  <c r="W31" i="80"/>
  <c r="Q31" i="80"/>
  <c r="Z31" i="80" s="1"/>
  <c r="J31" i="80"/>
  <c r="H31" i="80"/>
  <c r="AB31" i="80" s="1"/>
  <c r="F31" i="80"/>
  <c r="S31" i="80" s="1"/>
  <c r="Z30" i="80"/>
  <c r="W30" i="80"/>
  <c r="Q30" i="80"/>
  <c r="J30" i="80"/>
  <c r="AC30" i="80" s="1"/>
  <c r="H30" i="80"/>
  <c r="AB30" i="80" s="1"/>
  <c r="F30" i="80"/>
  <c r="AA30" i="80" s="1"/>
  <c r="AB29" i="80"/>
  <c r="AA29" i="80"/>
  <c r="Q29" i="80"/>
  <c r="Z29" i="80" s="1"/>
  <c r="J29" i="80"/>
  <c r="AC29" i="80" s="1"/>
  <c r="H29" i="80"/>
  <c r="U29" i="80" s="1"/>
  <c r="F29" i="80"/>
  <c r="S29" i="80" s="1"/>
  <c r="AB28" i="80"/>
  <c r="U28" i="80"/>
  <c r="S28" i="80"/>
  <c r="Q28" i="80"/>
  <c r="Z28" i="80" s="1"/>
  <c r="H28" i="80"/>
  <c r="F28" i="80"/>
  <c r="AA28" i="80" s="1"/>
  <c r="Q27" i="80"/>
  <c r="Z27" i="80" s="1"/>
  <c r="H27" i="80"/>
  <c r="AB27" i="80" s="1"/>
  <c r="F27" i="80"/>
  <c r="AA27" i="80" s="1"/>
  <c r="Q26" i="80"/>
  <c r="Z26" i="80" s="1"/>
  <c r="F26" i="80"/>
  <c r="AA26" i="80" s="1"/>
  <c r="Q25" i="80"/>
  <c r="Z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AA8" i="80"/>
  <c r="J8" i="80"/>
  <c r="AC8" i="80" s="1"/>
  <c r="H8" i="80"/>
  <c r="U8" i="80" s="1"/>
  <c r="F8" i="80"/>
  <c r="S8" i="80" s="1"/>
  <c r="C7" i="80"/>
  <c r="C58" i="80" s="1"/>
  <c r="D58" i="80" s="1"/>
  <c r="E58" i="80" s="1"/>
  <c r="F58" i="80" s="1"/>
  <c r="G58" i="80" s="1"/>
  <c r="H58" i="80" s="1"/>
  <c r="I58" i="80" s="1"/>
  <c r="J58" i="80" s="1"/>
  <c r="K58" i="80" s="1"/>
  <c r="L58" i="80" s="1"/>
  <c r="M58" i="80" s="1"/>
  <c r="N58" i="80" s="1"/>
  <c r="O58" i="80" s="1"/>
  <c r="D2" i="80"/>
  <c r="D2" i="81"/>
  <c r="AA33" i="81" l="1"/>
  <c r="AA38" i="81"/>
  <c r="U39" i="80"/>
  <c r="AA33" i="80"/>
  <c r="H46" i="80"/>
  <c r="AB46" i="80" s="1"/>
  <c r="W45" i="80"/>
  <c r="F46" i="80"/>
  <c r="AA46" i="80" s="1"/>
  <c r="H11" i="80"/>
  <c r="AB11" i="80" s="1"/>
  <c r="F11" i="80"/>
  <c r="AA11" i="80" s="1"/>
  <c r="J11" i="80"/>
  <c r="AC11" i="80" s="1"/>
  <c r="H11" i="81"/>
  <c r="AB11" i="81" s="1"/>
  <c r="H34" i="81"/>
  <c r="U34" i="81" s="1"/>
  <c r="J34" i="81"/>
  <c r="AC34" i="81" s="1"/>
  <c r="U15" i="81"/>
  <c r="U19" i="81"/>
  <c r="U21" i="81"/>
  <c r="U23" i="81"/>
  <c r="W25" i="81"/>
  <c r="S28" i="81"/>
  <c r="J37" i="81"/>
  <c r="H37" i="81"/>
  <c r="F37" i="81"/>
  <c r="S42" i="81"/>
  <c r="AB47" i="81"/>
  <c r="F124" i="81"/>
  <c r="J43" i="81"/>
  <c r="U10" i="81"/>
  <c r="W11" i="81"/>
  <c r="S13" i="81"/>
  <c r="U14" i="81"/>
  <c r="AA8" i="81"/>
  <c r="S12" i="81"/>
  <c r="U13" i="81"/>
  <c r="W14" i="81"/>
  <c r="W17" i="81"/>
  <c r="W19" i="81"/>
  <c r="W21" i="81"/>
  <c r="W23" i="81"/>
  <c r="AB29" i="81"/>
  <c r="W35" i="81"/>
  <c r="U39" i="81"/>
  <c r="W40" i="81"/>
  <c r="D59" i="81"/>
  <c r="AC32" i="81"/>
  <c r="W32" i="81"/>
  <c r="S9" i="81"/>
  <c r="U17" i="81"/>
  <c r="U9" i="81"/>
  <c r="W10" i="81"/>
  <c r="W15" i="81"/>
  <c r="AB8" i="81"/>
  <c r="W9" i="81"/>
  <c r="S11" i="81"/>
  <c r="U12" i="81"/>
  <c r="W13" i="81"/>
  <c r="S25" i="81"/>
  <c r="AB25" i="81"/>
  <c r="AA27" i="81"/>
  <c r="AC29" i="81"/>
  <c r="W44" i="81"/>
  <c r="H27" i="81"/>
  <c r="E90" i="81"/>
  <c r="F118" i="81"/>
  <c r="G118" i="81" s="1"/>
  <c r="H40" i="81"/>
  <c r="F40" i="81"/>
  <c r="S10" i="81"/>
  <c r="W12" i="81"/>
  <c r="S14" i="81"/>
  <c r="S15" i="81"/>
  <c r="S17" i="81"/>
  <c r="S19" i="81"/>
  <c r="S21" i="81"/>
  <c r="S23" i="81"/>
  <c r="U33" i="81"/>
  <c r="S36" i="81"/>
  <c r="U38" i="81"/>
  <c r="W39" i="81"/>
  <c r="S41" i="81"/>
  <c r="U42" i="81"/>
  <c r="S45" i="81"/>
  <c r="U46" i="81"/>
  <c r="W47" i="81"/>
  <c r="W33" i="81"/>
  <c r="S35" i="81"/>
  <c r="U36" i="81"/>
  <c r="W38" i="81"/>
  <c r="U41" i="81"/>
  <c r="W42" i="81"/>
  <c r="S44" i="81"/>
  <c r="U45" i="81"/>
  <c r="W46" i="81"/>
  <c r="W28" i="81"/>
  <c r="S30" i="81"/>
  <c r="U31" i="81"/>
  <c r="S34" i="81"/>
  <c r="U35" i="81"/>
  <c r="W36" i="81"/>
  <c r="S39" i="81"/>
  <c r="W41" i="81"/>
  <c r="U44" i="81"/>
  <c r="W45" i="81"/>
  <c r="S47" i="81"/>
  <c r="AC26" i="80"/>
  <c r="W26" i="80"/>
  <c r="G87" i="80"/>
  <c r="H87" i="80" s="1"/>
  <c r="I87" i="80" s="1"/>
  <c r="J87" i="80" s="1"/>
  <c r="K87" i="80" s="1"/>
  <c r="L87" i="80" s="1"/>
  <c r="M87" i="80" s="1"/>
  <c r="J25" i="80"/>
  <c r="H42" i="80"/>
  <c r="G123" i="80"/>
  <c r="H123" i="80" s="1"/>
  <c r="I123" i="80" s="1"/>
  <c r="J123" i="80" s="1"/>
  <c r="K123" i="80" s="1"/>
  <c r="L123" i="80" s="1"/>
  <c r="M123" i="80" s="1"/>
  <c r="F42" i="80"/>
  <c r="J42" i="80"/>
  <c r="G91" i="80"/>
  <c r="H91" i="80" s="1"/>
  <c r="I91" i="80" s="1"/>
  <c r="J91" i="80" s="1"/>
  <c r="K91" i="80" s="1"/>
  <c r="L91" i="80" s="1"/>
  <c r="M91" i="80" s="1"/>
  <c r="J27" i="80"/>
  <c r="J7" i="80"/>
  <c r="W8" i="80"/>
  <c r="S9" i="80"/>
  <c r="U10" i="80"/>
  <c r="S13" i="80"/>
  <c r="U14" i="80"/>
  <c r="U15" i="80"/>
  <c r="U17" i="80"/>
  <c r="U19" i="80"/>
  <c r="U21" i="80"/>
  <c r="U23" i="80"/>
  <c r="S27" i="80"/>
  <c r="W29" i="80"/>
  <c r="U30" i="80"/>
  <c r="AA31" i="80"/>
  <c r="U32" i="80"/>
  <c r="W33" i="80"/>
  <c r="AA35" i="80"/>
  <c r="J36" i="80"/>
  <c r="U37" i="80"/>
  <c r="AA38" i="80"/>
  <c r="J43" i="80"/>
  <c r="E125" i="80"/>
  <c r="F125" i="80" s="1"/>
  <c r="G125" i="80" s="1"/>
  <c r="H43" i="80"/>
  <c r="W15" i="80"/>
  <c r="W21" i="80"/>
  <c r="S26" i="80"/>
  <c r="U9" i="80"/>
  <c r="U13" i="80"/>
  <c r="W14" i="80"/>
  <c r="W17" i="80"/>
  <c r="W19" i="80"/>
  <c r="W23" i="80"/>
  <c r="U27" i="80"/>
  <c r="J44" i="80"/>
  <c r="F44" i="80"/>
  <c r="F7" i="80"/>
  <c r="AB8" i="80"/>
  <c r="W9" i="80"/>
  <c r="S11" i="80"/>
  <c r="U12" i="80"/>
  <c r="W13" i="80"/>
  <c r="S25" i="80"/>
  <c r="H26" i="80"/>
  <c r="H36" i="80"/>
  <c r="H44" i="80"/>
  <c r="AC28" i="80"/>
  <c r="W28" i="80"/>
  <c r="F101" i="80"/>
  <c r="G101" i="80" s="1"/>
  <c r="H101" i="80" s="1"/>
  <c r="I101" i="80" s="1"/>
  <c r="J101" i="80" s="1"/>
  <c r="K101" i="80" s="1"/>
  <c r="L101" i="80" s="1"/>
  <c r="M101" i="80" s="1"/>
  <c r="F32" i="80"/>
  <c r="J32" i="80"/>
  <c r="F41" i="80"/>
  <c r="E121" i="80"/>
  <c r="F121" i="80" s="1"/>
  <c r="G121" i="80" s="1"/>
  <c r="H121" i="80" s="1"/>
  <c r="I121" i="80" s="1"/>
  <c r="J121" i="80" s="1"/>
  <c r="K121" i="80" s="1"/>
  <c r="L121" i="80" s="1"/>
  <c r="M121" i="80" s="1"/>
  <c r="H41" i="80"/>
  <c r="W10" i="80"/>
  <c r="S12" i="80"/>
  <c r="H7" i="80"/>
  <c r="S10" i="80"/>
  <c r="W12" i="80"/>
  <c r="S14" i="80"/>
  <c r="S15" i="80"/>
  <c r="S17" i="80"/>
  <c r="S19" i="80"/>
  <c r="S21" i="80"/>
  <c r="S23" i="80"/>
  <c r="U25" i="80"/>
  <c r="F36" i="80"/>
  <c r="F113" i="80"/>
  <c r="G113" i="80" s="1"/>
  <c r="H113" i="80" s="1"/>
  <c r="I113" i="80" s="1"/>
  <c r="J113" i="80" s="1"/>
  <c r="K113" i="80" s="1"/>
  <c r="L113" i="80" s="1"/>
  <c r="M113" i="80" s="1"/>
  <c r="F37" i="80"/>
  <c r="J37" i="80"/>
  <c r="S30" i="80"/>
  <c r="U31" i="80"/>
  <c r="S34" i="80"/>
  <c r="U35" i="80"/>
  <c r="S39" i="80"/>
  <c r="U45" i="80"/>
  <c r="W46" i="80"/>
  <c r="U33" i="80"/>
  <c r="W34" i="80"/>
  <c r="U38" i="80"/>
  <c r="W39" i="80"/>
  <c r="W38" i="80"/>
  <c r="S45" i="80"/>
  <c r="F20" i="6"/>
  <c r="F90" i="81" l="1"/>
  <c r="G90" i="81" s="1"/>
  <c r="H90" i="81" s="1"/>
  <c r="I90" i="81" s="1"/>
  <c r="J90" i="81" s="1"/>
  <c r="K90" i="81" s="1"/>
  <c r="L90" i="81" s="1"/>
  <c r="M90" i="81" s="1"/>
  <c r="J27" i="81"/>
  <c r="U11" i="81"/>
  <c r="U46" i="80"/>
  <c r="S46" i="80"/>
  <c r="U11" i="80"/>
  <c r="W11" i="80"/>
  <c r="AB34" i="81"/>
  <c r="W34" i="81"/>
  <c r="AB27" i="81"/>
  <c r="U27" i="81"/>
  <c r="AC43" i="81"/>
  <c r="W43" i="81"/>
  <c r="AB40" i="81"/>
  <c r="U40" i="81"/>
  <c r="F43" i="81"/>
  <c r="G124" i="81"/>
  <c r="H124" i="81" s="1"/>
  <c r="I124" i="81" s="1"/>
  <c r="J124" i="81" s="1"/>
  <c r="K124" i="81" s="1"/>
  <c r="L124" i="81" s="1"/>
  <c r="M124" i="81" s="1"/>
  <c r="H43" i="81"/>
  <c r="AA37" i="81"/>
  <c r="S37" i="81"/>
  <c r="AA40" i="81"/>
  <c r="S40" i="81"/>
  <c r="AB37" i="81"/>
  <c r="U37" i="81"/>
  <c r="E59" i="81"/>
  <c r="AC37" i="81"/>
  <c r="W37" i="81"/>
  <c r="AB41" i="80"/>
  <c r="U41" i="80"/>
  <c r="AB26" i="80"/>
  <c r="U26" i="80"/>
  <c r="AA44" i="80"/>
  <c r="S44" i="80"/>
  <c r="AB43" i="80"/>
  <c r="U43" i="80"/>
  <c r="AC42" i="80"/>
  <c r="W42" i="80"/>
  <c r="AC25" i="80"/>
  <c r="W25" i="80"/>
  <c r="AC37" i="80"/>
  <c r="W37" i="80"/>
  <c r="AA37" i="80"/>
  <c r="S37" i="80"/>
  <c r="U7" i="80"/>
  <c r="AB7" i="80"/>
  <c r="AB44" i="80"/>
  <c r="U44" i="80"/>
  <c r="AC44" i="80"/>
  <c r="W44" i="80"/>
  <c r="W7" i="80"/>
  <c r="AC7" i="80"/>
  <c r="AA42" i="80"/>
  <c r="S42" i="80"/>
  <c r="S36" i="80"/>
  <c r="AA36" i="80"/>
  <c r="AA41" i="80"/>
  <c r="S41" i="80"/>
  <c r="AC43" i="80"/>
  <c r="W43" i="80"/>
  <c r="W36" i="80"/>
  <c r="AC36" i="80"/>
  <c r="W27" i="80"/>
  <c r="AC27" i="80"/>
  <c r="AA32" i="80"/>
  <c r="S32" i="80"/>
  <c r="AC32" i="80"/>
  <c r="W32" i="80"/>
  <c r="AB36" i="80"/>
  <c r="U36" i="80"/>
  <c r="S7" i="80"/>
  <c r="AA7" i="80"/>
  <c r="AB42" i="80"/>
  <c r="U42" i="80"/>
  <c r="Y6" i="1"/>
  <c r="C36" i="33"/>
  <c r="A120" i="79"/>
  <c r="A118" i="79"/>
  <c r="E111" i="79"/>
  <c r="H112" i="79" s="1"/>
  <c r="E109" i="79"/>
  <c r="A124" i="79" s="1"/>
  <c r="E107" i="79"/>
  <c r="A122" i="79" s="1"/>
  <c r="H106" i="79"/>
  <c r="H105" i="79"/>
  <c r="H104" i="79"/>
  <c r="H103" i="79"/>
  <c r="D120" i="79" s="1"/>
  <c r="D101" i="79"/>
  <c r="C101" i="79"/>
  <c r="C91" i="79"/>
  <c r="E90" i="79"/>
  <c r="D89" i="79"/>
  <c r="C89" i="79" s="1"/>
  <c r="C87" i="79" s="1"/>
  <c r="H77" i="79"/>
  <c r="D77" i="79"/>
  <c r="C77" i="79"/>
  <c r="C76" i="79"/>
  <c r="C74" i="79"/>
  <c r="F59" i="79"/>
  <c r="O55" i="79" s="1"/>
  <c r="E59" i="79"/>
  <c r="N55" i="79" s="1"/>
  <c r="D59" i="79"/>
  <c r="N56" i="79"/>
  <c r="M56" i="79"/>
  <c r="K56" i="79"/>
  <c r="J56" i="79"/>
  <c r="F56" i="79"/>
  <c r="O54" i="79" s="1"/>
  <c r="M55" i="79"/>
  <c r="K55" i="79"/>
  <c r="J55" i="79"/>
  <c r="J57" i="79" s="1"/>
  <c r="J59" i="79" s="1"/>
  <c r="J61" i="79" s="1"/>
  <c r="I55" i="79"/>
  <c r="F55" i="79"/>
  <c r="O53" i="79" s="1"/>
  <c r="N54" i="79"/>
  <c r="N53" i="79"/>
  <c r="K49" i="79"/>
  <c r="F48" i="79"/>
  <c r="O52" i="79" s="1"/>
  <c r="E48" i="79"/>
  <c r="N52" i="79" s="1"/>
  <c r="D48" i="79"/>
  <c r="M52" i="79" s="1"/>
  <c r="M47" i="79"/>
  <c r="F33" i="79"/>
  <c r="B30" i="79"/>
  <c r="C25" i="79" s="1"/>
  <c r="D27" i="79"/>
  <c r="D30" i="79" s="1"/>
  <c r="C30" i="79" s="1"/>
  <c r="D17" i="79"/>
  <c r="C17" i="79"/>
  <c r="L4" i="79"/>
  <c r="K4" i="79"/>
  <c r="A2" i="79"/>
  <c r="H1" i="79"/>
  <c r="Y7" i="1"/>
  <c r="C37" i="34"/>
  <c r="D34" i="79"/>
  <c r="D35" i="79"/>
  <c r="AC27" i="81" l="1"/>
  <c r="W27" i="81"/>
  <c r="F59" i="81"/>
  <c r="AA43" i="81"/>
  <c r="S43" i="81"/>
  <c r="AB43" i="81"/>
  <c r="U43" i="81"/>
  <c r="C18" i="79"/>
  <c r="D18" i="79" s="1"/>
  <c r="C92" i="79"/>
  <c r="C94" i="79"/>
  <c r="D121" i="79"/>
  <c r="K120" i="79"/>
  <c r="C24" i="79"/>
  <c r="H111" i="79"/>
  <c r="D126" i="79" s="1"/>
  <c r="D127" i="79" s="1"/>
  <c r="A126" i="79"/>
  <c r="H109" i="79"/>
  <c r="G59" i="81" l="1"/>
  <c r="D124" i="79"/>
  <c r="D125" i="79" s="1"/>
  <c r="H110" i="79"/>
  <c r="H59" i="81" l="1"/>
  <c r="Q72" i="78"/>
  <c r="Q59" i="78"/>
  <c r="F59" i="78"/>
  <c r="Q58" i="78"/>
  <c r="Q51" i="78"/>
  <c r="J50" i="78"/>
  <c r="M47" i="78"/>
  <c r="D46" i="78"/>
  <c r="F33" i="78"/>
  <c r="F61" i="78" s="1"/>
  <c r="F31" i="78"/>
  <c r="F23" i="78"/>
  <c r="D24" i="78" s="1"/>
  <c r="F21" i="78"/>
  <c r="F20" i="78"/>
  <c r="M19" i="78"/>
  <c r="F18" i="78"/>
  <c r="M17" i="78"/>
  <c r="F17" i="78"/>
  <c r="F15" i="78"/>
  <c r="F19" i="6"/>
  <c r="C40" i="33" l="1"/>
  <c r="C40" i="80"/>
  <c r="I59" i="81"/>
  <c r="D22" i="78"/>
  <c r="D23" i="78"/>
  <c r="J51" i="78"/>
  <c r="A15" i="51"/>
  <c r="J40" i="80" l="1"/>
  <c r="H40" i="80"/>
  <c r="F40" i="80"/>
  <c r="J59" i="81"/>
  <c r="C76" i="9"/>
  <c r="S40" i="80" l="1"/>
  <c r="AA40" i="80"/>
  <c r="R48" i="80" s="1"/>
  <c r="AB40" i="80"/>
  <c r="T48" i="80" s="1"/>
  <c r="G48" i="80" s="1"/>
  <c r="G52" i="80" s="1"/>
  <c r="H52" i="80" s="1"/>
  <c r="U40" i="80"/>
  <c r="W40" i="80"/>
  <c r="AC40" i="80"/>
  <c r="V48" i="80" s="1"/>
  <c r="I48" i="80" s="1"/>
  <c r="K59" i="81"/>
  <c r="L59" i="81" s="1"/>
  <c r="M59" i="81" s="1"/>
  <c r="N59" i="81" s="1"/>
  <c r="O59" i="81" s="1"/>
  <c r="F7" i="81" s="1"/>
  <c r="H7" i="81"/>
  <c r="J7" i="81"/>
  <c r="I107" i="40"/>
  <c r="G53" i="80" l="1"/>
  <c r="H53" i="80" s="1"/>
  <c r="I52" i="80"/>
  <c r="J52" i="80" s="1"/>
  <c r="I53" i="80"/>
  <c r="J53" i="80" s="1"/>
  <c r="E48" i="80"/>
  <c r="R49" i="80"/>
  <c r="AC7" i="81"/>
  <c r="V49" i="81" s="1"/>
  <c r="I49" i="81" s="1"/>
  <c r="W7" i="81"/>
  <c r="U7" i="81"/>
  <c r="AB7" i="81"/>
  <c r="T49" i="81" s="1"/>
  <c r="G49" i="81" s="1"/>
  <c r="S7" i="81"/>
  <c r="AA7" i="81"/>
  <c r="R49" i="81" s="1"/>
  <c r="K6" i="4"/>
  <c r="E52" i="80" l="1"/>
  <c r="F52" i="80" s="1"/>
  <c r="E53" i="80"/>
  <c r="F53" i="80" s="1"/>
  <c r="C49" i="80"/>
  <c r="C48" i="80"/>
  <c r="G53" i="81"/>
  <c r="H53" i="81" s="1"/>
  <c r="G54" i="81"/>
  <c r="H54" i="81" s="1"/>
  <c r="E49" i="81"/>
  <c r="I54" i="81" s="1"/>
  <c r="J54" i="81" s="1"/>
  <c r="R50" i="81"/>
  <c r="I53" i="81"/>
  <c r="J53" i="81" s="1"/>
  <c r="B22" i="31"/>
  <c r="B3" i="80" l="1"/>
  <c r="U6" i="1" s="1"/>
  <c r="C50" i="81"/>
  <c r="C49" i="81"/>
  <c r="E54" i="81"/>
  <c r="F54" i="81" s="1"/>
  <c r="E53" i="81"/>
  <c r="F53" i="81" s="1"/>
  <c r="N56" i="9"/>
  <c r="M56" i="9"/>
  <c r="K56" i="9"/>
  <c r="B2" i="81" l="1"/>
  <c r="B3" i="81"/>
  <c r="U7" i="1" s="1"/>
  <c r="E15" i="74"/>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F5" i="73"/>
  <c r="D3" i="73"/>
  <c r="F3" i="73"/>
  <c r="I1" i="73" l="1"/>
  <c r="B39" i="1" s="1"/>
  <c r="D6" i="73"/>
  <c r="D5" i="73"/>
  <c r="D4" i="73"/>
  <c r="D7" i="73"/>
  <c r="M11" i="83" l="1"/>
  <c r="J10" i="83" s="1"/>
  <c r="F11" i="83"/>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N47" i="71" s="1"/>
  <c r="F46" i="71"/>
  <c r="F45" i="71" s="1"/>
  <c r="Q45" i="71" s="1"/>
  <c r="D44" i="71"/>
  <c r="Q43" i="71"/>
  <c r="P43" i="71"/>
  <c r="O43" i="71"/>
  <c r="N43" i="71"/>
  <c r="Q42" i="71"/>
  <c r="P42" i="71"/>
  <c r="O42" i="71"/>
  <c r="N42" i="71"/>
  <c r="F42" i="71"/>
  <c r="F43" i="71" s="1"/>
  <c r="V43" i="71" s="1"/>
  <c r="Q41" i="71"/>
  <c r="P41" i="71"/>
  <c r="O41" i="71"/>
  <c r="N41" i="71"/>
  <c r="Q40" i="71"/>
  <c r="F41" i="71" s="1"/>
  <c r="P40" i="71"/>
  <c r="E41" i="71" s="1"/>
  <c r="O40" i="71"/>
  <c r="C41" i="71" s="1"/>
  <c r="N40" i="71"/>
  <c r="B41" i="71" s="1"/>
  <c r="D40" i="71"/>
  <c r="Q39" i="71"/>
  <c r="P39" i="71"/>
  <c r="O39" i="71"/>
  <c r="N39" i="71"/>
  <c r="Q38" i="71"/>
  <c r="P38" i="71"/>
  <c r="O38" i="71"/>
  <c r="N38" i="71"/>
  <c r="F38" i="71"/>
  <c r="F39" i="71" s="1"/>
  <c r="V39" i="71" s="1"/>
  <c r="Q37" i="71"/>
  <c r="P37" i="71"/>
  <c r="O37" i="71"/>
  <c r="N37" i="71"/>
  <c r="Q36" i="71"/>
  <c r="F37" i="71" s="1"/>
  <c r="P36" i="71"/>
  <c r="E37" i="71" s="1"/>
  <c r="O36" i="71"/>
  <c r="C37" i="71" s="1"/>
  <c r="N36" i="71"/>
  <c r="B37" i="71" s="1"/>
  <c r="D36" i="71"/>
  <c r="Q35" i="71"/>
  <c r="P35" i="71"/>
  <c r="O35" i="71"/>
  <c r="N35" i="71"/>
  <c r="Q34" i="71"/>
  <c r="P34" i="71"/>
  <c r="O34" i="71"/>
  <c r="N34" i="71"/>
  <c r="F34" i="71"/>
  <c r="F35" i="71" s="1"/>
  <c r="V35" i="71" s="1"/>
  <c r="Q33" i="71"/>
  <c r="P33" i="71"/>
  <c r="O33" i="71"/>
  <c r="N33" i="71"/>
  <c r="Q32" i="71"/>
  <c r="F33" i="71" s="1"/>
  <c r="P32" i="71"/>
  <c r="E33" i="71" s="1"/>
  <c r="O32" i="71"/>
  <c r="C33" i="71" s="1"/>
  <c r="N32" i="71"/>
  <c r="B33" i="71" s="1"/>
  <c r="D32" i="71"/>
  <c r="Q31" i="71"/>
  <c r="P31" i="71"/>
  <c r="O31" i="71"/>
  <c r="N31" i="71"/>
  <c r="Q30" i="71"/>
  <c r="P30" i="71"/>
  <c r="O30" i="71"/>
  <c r="N30" i="71"/>
  <c r="Q29" i="71"/>
  <c r="P29" i="71"/>
  <c r="O29" i="71"/>
  <c r="N29" i="71"/>
  <c r="E29" i="71"/>
  <c r="E30" i="71" s="1"/>
  <c r="E31" i="71" s="1"/>
  <c r="U31" i="71" s="1"/>
  <c r="Q28" i="71"/>
  <c r="F29"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O24" i="71"/>
  <c r="C25" i="71" s="1"/>
  <c r="N24" i="71"/>
  <c r="B25" i="71" s="1"/>
  <c r="B26" i="71" s="1"/>
  <c r="B27" i="71" s="1"/>
  <c r="S27" i="71" s="1"/>
  <c r="D24" i="71"/>
  <c r="Q23" i="71"/>
  <c r="P23" i="71"/>
  <c r="O23" i="71"/>
  <c r="N23" i="71"/>
  <c r="Q22" i="71"/>
  <c r="P22" i="71"/>
  <c r="O22" i="71"/>
  <c r="N22" i="71"/>
  <c r="Q21" i="71"/>
  <c r="P21" i="71"/>
  <c r="O21" i="71"/>
  <c r="N21" i="71"/>
  <c r="Q20" i="71"/>
  <c r="F21" i="71" s="1"/>
  <c r="F22" i="71" s="1"/>
  <c r="F23" i="71" s="1"/>
  <c r="V23" i="71" s="1"/>
  <c r="P20" i="71"/>
  <c r="E21" i="71" s="1"/>
  <c r="E22" i="71" s="1"/>
  <c r="E23" i="71" s="1"/>
  <c r="U23" i="71" s="1"/>
  <c r="O20" i="71"/>
  <c r="C21" i="71" s="1"/>
  <c r="N20" i="71"/>
  <c r="B21"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Q16" i="71"/>
  <c r="AB16" i="71" s="1"/>
  <c r="P16" i="71"/>
  <c r="O16" i="71"/>
  <c r="N16" i="71"/>
  <c r="D16" i="71"/>
  <c r="Q15" i="71"/>
  <c r="AB15" i="71" s="1"/>
  <c r="P15" i="71"/>
  <c r="O15" i="71"/>
  <c r="Y15" i="71" s="1"/>
  <c r="Z15" i="71" s="1"/>
  <c r="N15" i="71"/>
  <c r="X15" i="71" s="1"/>
  <c r="Q14" i="71"/>
  <c r="AB14" i="71" s="1"/>
  <c r="P14" i="71"/>
  <c r="O14" i="71"/>
  <c r="Y14" i="71" s="1"/>
  <c r="Z14" i="71" s="1"/>
  <c r="N14" i="71"/>
  <c r="X14" i="71" s="1"/>
  <c r="Q13" i="71"/>
  <c r="AB13" i="71" s="1"/>
  <c r="P13" i="71"/>
  <c r="O13" i="71"/>
  <c r="Y13" i="71" s="1"/>
  <c r="Z13" i="71" s="1"/>
  <c r="N13" i="71"/>
  <c r="X13" i="71" s="1"/>
  <c r="F13" i="71"/>
  <c r="F14" i="71" s="1"/>
  <c r="F15" i="71" s="1"/>
  <c r="V15" i="71" s="1"/>
  <c r="Q12" i="71"/>
  <c r="P12" i="71"/>
  <c r="O12" i="71"/>
  <c r="N12" i="71"/>
  <c r="D12" i="71"/>
  <c r="Q11" i="71"/>
  <c r="P11" i="71"/>
  <c r="AA11" i="71" s="1"/>
  <c r="O11" i="71"/>
  <c r="Y11" i="71" s="1"/>
  <c r="Z11" i="71" s="1"/>
  <c r="N11" i="71"/>
  <c r="Q10" i="71"/>
  <c r="AB10" i="71" s="1"/>
  <c r="P10" i="71"/>
  <c r="AA10" i="71" s="1"/>
  <c r="O10" i="71"/>
  <c r="Y10" i="71" s="1"/>
  <c r="Z10" i="71" s="1"/>
  <c r="N10" i="71"/>
  <c r="Q9" i="71"/>
  <c r="AB9" i="71" s="1"/>
  <c r="P9" i="71"/>
  <c r="AA9" i="71" s="1"/>
  <c r="O9" i="71"/>
  <c r="Y9" i="71" s="1"/>
  <c r="Z9" i="71" s="1"/>
  <c r="N9" i="71"/>
  <c r="Q8" i="71"/>
  <c r="AB8" i="71" s="1"/>
  <c r="P8" i="71"/>
  <c r="O8" i="71"/>
  <c r="N8" i="71"/>
  <c r="D8" i="71"/>
  <c r="O7" i="71"/>
  <c r="N7" i="71"/>
  <c r="B9" i="71" l="1"/>
  <c r="B10" i="71" s="1"/>
  <c r="B11" i="71" s="1"/>
  <c r="S11" i="71" s="1"/>
  <c r="X8" i="71"/>
  <c r="F9" i="71"/>
  <c r="F10" i="71" s="1"/>
  <c r="F11" i="71" s="1"/>
  <c r="V11" i="71" s="1"/>
  <c r="B17" i="71"/>
  <c r="B18" i="71" s="1"/>
  <c r="B19" i="71" s="1"/>
  <c r="S19" i="71" s="1"/>
  <c r="X16" i="71"/>
  <c r="F17" i="71"/>
  <c r="F18" i="71" s="1"/>
  <c r="F19" i="71" s="1"/>
  <c r="V19" i="71" s="1"/>
  <c r="B22" i="71"/>
  <c r="B23" i="71" s="1"/>
  <c r="S23" i="71" s="1"/>
  <c r="E26" i="71"/>
  <c r="E27" i="71" s="1"/>
  <c r="U27" i="71" s="1"/>
  <c r="B34" i="71"/>
  <c r="B35" i="71" s="1"/>
  <c r="S35" i="71" s="1"/>
  <c r="B38" i="71"/>
  <c r="B39" i="71" s="1"/>
  <c r="S39" i="71" s="1"/>
  <c r="B42" i="71"/>
  <c r="B43" i="71" s="1"/>
  <c r="S43" i="71" s="1"/>
  <c r="B46" i="71"/>
  <c r="S47" i="71"/>
  <c r="E9" i="71"/>
  <c r="E10" i="71" s="1"/>
  <c r="E11" i="71" s="1"/>
  <c r="U11" i="71" s="1"/>
  <c r="AA8" i="71"/>
  <c r="C13" i="71"/>
  <c r="Y12" i="71"/>
  <c r="Z12" i="71" s="1"/>
  <c r="AB11" i="71"/>
  <c r="E13" i="71"/>
  <c r="E14" i="71" s="1"/>
  <c r="E15" i="71" s="1"/>
  <c r="U15" i="71" s="1"/>
  <c r="AA12" i="71"/>
  <c r="C9" i="71"/>
  <c r="Y8" i="71"/>
  <c r="Z8" i="71" s="1"/>
  <c r="X9" i="71"/>
  <c r="X10" i="71"/>
  <c r="X11" i="71"/>
  <c r="AB12" i="71"/>
  <c r="AA13" i="71"/>
  <c r="AA14" i="71"/>
  <c r="AA15" i="71"/>
  <c r="C17" i="71"/>
  <c r="Y16" i="71"/>
  <c r="Z16" i="71" s="1"/>
  <c r="X17" i="71"/>
  <c r="F30" i="71"/>
  <c r="F31" i="71" s="1"/>
  <c r="V31" i="71" s="1"/>
  <c r="B13" i="71"/>
  <c r="B14" i="71" s="1"/>
  <c r="B15" i="71" s="1"/>
  <c r="S15" i="71" s="1"/>
  <c r="X12" i="71"/>
  <c r="E17" i="71"/>
  <c r="E18" i="71" s="1"/>
  <c r="E19" i="71" s="1"/>
  <c r="U19" i="71" s="1"/>
  <c r="AA16"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E66" i="36"/>
  <c r="F66" i="36" s="1"/>
  <c r="D66" i="36"/>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9" i="1"/>
  <c r="AO12" i="1"/>
  <c r="AO10" i="1"/>
  <c r="AO11" i="1"/>
  <c r="AO13" i="1"/>
  <c r="B10" i="70" l="1"/>
  <c r="B9" i="70"/>
  <c r="B11" i="70"/>
  <c r="B13" i="70"/>
  <c r="B12" i="70"/>
  <c r="B75" i="43"/>
  <c r="B66" i="43"/>
  <c r="B55" i="43"/>
  <c r="C29" i="39"/>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0" i="66" s="1"/>
  <c r="I23" i="66"/>
  <c r="D20" i="66"/>
  <c r="I19" i="66"/>
  <c r="I18" i="66"/>
  <c r="I17" i="66"/>
  <c r="I20" i="66" s="1"/>
  <c r="E15" i="66"/>
  <c r="I14" i="66"/>
  <c r="I13" i="66"/>
  <c r="I15" i="66" s="1"/>
  <c r="I12" i="66"/>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G8" i="1" s="1"/>
  <c r="A7" i="1"/>
  <c r="A8" i="1"/>
  <c r="B8" i="1" s="1"/>
  <c r="E8" i="1" s="1"/>
  <c r="A9" i="1"/>
  <c r="A10" i="1"/>
  <c r="B10" i="1" s="1"/>
  <c r="E10" i="1" s="1"/>
  <c r="A11" i="1"/>
  <c r="A12" i="1"/>
  <c r="A13" i="1"/>
  <c r="K13" i="1" s="1"/>
  <c r="A6" i="1"/>
  <c r="G1" i="83" s="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AZ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AZ40" i="3" s="1"/>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L25" i="3" s="1"/>
  <c r="AZ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Z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AZ490" i="3" s="1"/>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D3" i="80" s="1"/>
  <c r="B2" i="80" s="1"/>
  <c r="E20" i="6"/>
  <c r="E21" i="6"/>
  <c r="K8" i="1" s="1"/>
  <c r="M8" i="1" s="1"/>
  <c r="F23" i="15"/>
  <c r="D24" i="15" s="1"/>
  <c r="O8" i="1"/>
  <c r="P8" i="1" s="1"/>
  <c r="M13" i="1"/>
  <c r="O13" i="1" s="1"/>
  <c r="P13" i="1" s="1"/>
  <c r="E22" i="6"/>
  <c r="E23" i="6"/>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41" i="31"/>
  <c r="E45" i="31"/>
  <c r="E49" i="31"/>
  <c r="E53" i="31"/>
  <c r="E55" i="31"/>
  <c r="E57" i="31"/>
  <c r="E59" i="31"/>
  <c r="E61" i="31"/>
  <c r="E63" i="31"/>
  <c r="E65"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2" i="31"/>
  <c r="S300" i="31"/>
  <c r="S296" i="31"/>
  <c r="S292" i="31"/>
  <c r="S288" i="31"/>
  <c r="S284" i="31"/>
  <c r="S280" i="31"/>
  <c r="S276" i="31"/>
  <c r="S272" i="31"/>
  <c r="S270"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1" i="31"/>
  <c r="S120" i="31"/>
  <c r="S119" i="31"/>
  <c r="S117" i="31"/>
  <c r="S116" i="31"/>
  <c r="S115" i="31"/>
  <c r="S113" i="31"/>
  <c r="S112" i="31"/>
  <c r="S504" i="31"/>
  <c r="S500" i="31"/>
  <c r="S467" i="31"/>
  <c r="S465" i="31"/>
  <c r="S464" i="31"/>
  <c r="S463" i="31"/>
  <c r="S461" i="31"/>
  <c r="S460" i="31"/>
  <c r="S459" i="31"/>
  <c r="S457" i="31"/>
  <c r="S456" i="31"/>
  <c r="S455" i="31"/>
  <c r="S453" i="31"/>
  <c r="S452" i="31"/>
  <c r="S451"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7" i="31"/>
  <c r="S519" i="31"/>
  <c r="S520" i="31"/>
  <c r="S521"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c r="Q40" i="39"/>
  <c r="Z40" i="39" s="1"/>
  <c r="Q41" i="39"/>
  <c r="Z41" i="39"/>
  <c r="Q42" i="39"/>
  <c r="Z42" i="39" s="1"/>
  <c r="Q43" i="39"/>
  <c r="Z43" i="39"/>
  <c r="Q44" i="39"/>
  <c r="Z44" i="39" s="1"/>
  <c r="Q45" i="39"/>
  <c r="Z45" i="39"/>
  <c r="Q38" i="39"/>
  <c r="Z38" i="39" s="1"/>
  <c r="Q36" i="39"/>
  <c r="Z36" i="39" s="1"/>
  <c r="Q37" i="39"/>
  <c r="Z37" i="39" s="1"/>
  <c r="B131" i="39"/>
  <c r="B129" i="39"/>
  <c r="H44"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H12" i="39" s="1"/>
  <c r="AB12" i="39" s="1"/>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F40" i="37" s="1"/>
  <c r="AA40" i="37" s="1"/>
  <c r="D107" i="37"/>
  <c r="E107" i="37"/>
  <c r="D105" i="37"/>
  <c r="E105" i="37"/>
  <c r="D103" i="37"/>
  <c r="E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s="1"/>
  <c r="AA32" i="36" s="1"/>
  <c r="B95" i="36"/>
  <c r="D83" i="36"/>
  <c r="E83" i="36" s="1"/>
  <c r="D78" i="36"/>
  <c r="E78" i="36"/>
  <c r="F78" i="36" s="1"/>
  <c r="G78" i="36" s="1"/>
  <c r="H78" i="36" s="1"/>
  <c r="I78" i="36" s="1"/>
  <c r="J78" i="36" s="1"/>
  <c r="K78" i="36" s="1"/>
  <c r="L78" i="36" s="1"/>
  <c r="M78" i="36" s="1"/>
  <c r="B75" i="36"/>
  <c r="B73" i="36"/>
  <c r="J24" i="36"/>
  <c r="AC24" i="36" s="1"/>
  <c r="B71" i="36"/>
  <c r="D70" i="36"/>
  <c r="H22" i="36"/>
  <c r="AB22" i="36" s="1"/>
  <c r="D68" i="36"/>
  <c r="E68" i="36"/>
  <c r="D64" i="36"/>
  <c r="E64" i="36" s="1"/>
  <c r="F64" i="36" s="1"/>
  <c r="G64" i="36" s="1"/>
  <c r="J16" i="36"/>
  <c r="W16" i="36" s="1"/>
  <c r="D62" i="36"/>
  <c r="E62" i="36" s="1"/>
  <c r="F62" i="36" s="1"/>
  <c r="G62" i="36" s="1"/>
  <c r="B59" i="36"/>
  <c r="F13" i="36" s="1"/>
  <c r="S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c r="H26" i="36"/>
  <c r="AB26" i="36" s="1"/>
  <c r="Q25" i="36"/>
  <c r="Z25" i="36" s="1"/>
  <c r="Q24" i="36"/>
  <c r="Z24" i="36"/>
  <c r="H24" i="36"/>
  <c r="AB24" i="36" s="1"/>
  <c r="Q23" i="36"/>
  <c r="Z23" i="36"/>
  <c r="J23" i="36"/>
  <c r="AC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J35" i="35" s="1"/>
  <c r="AC35" i="35" s="1"/>
  <c r="B97" i="35"/>
  <c r="B77" i="35"/>
  <c r="B75" i="35"/>
  <c r="J24" i="35"/>
  <c r="AC24" i="35" s="1"/>
  <c r="B73" i="35"/>
  <c r="H23" i="35"/>
  <c r="U23" i="35" s="1"/>
  <c r="B57" i="35"/>
  <c r="B61" i="35"/>
  <c r="H13" i="35" s="1"/>
  <c r="U13" i="35" s="1"/>
  <c r="B59" i="35"/>
  <c r="B131" i="34"/>
  <c r="F47" i="34" s="1"/>
  <c r="S47" i="34" s="1"/>
  <c r="B129" i="34"/>
  <c r="B127" i="34"/>
  <c r="H45" i="34" s="1"/>
  <c r="U45" i="34" s="1"/>
  <c r="B99" i="34"/>
  <c r="B97" i="34"/>
  <c r="B95" i="34"/>
  <c r="B93" i="34"/>
  <c r="H29" i="34" s="1"/>
  <c r="AB29" i="34" s="1"/>
  <c r="B75" i="34"/>
  <c r="B73" i="34"/>
  <c r="J13" i="34" s="1"/>
  <c r="W13" i="34" s="1"/>
  <c r="B71" i="34"/>
  <c r="B130" i="33"/>
  <c r="J46" i="33" s="1"/>
  <c r="AC46" i="33" s="1"/>
  <c r="B128" i="33"/>
  <c r="B126" i="33"/>
  <c r="J44" i="33" s="1"/>
  <c r="B98" i="33"/>
  <c r="B96" i="33"/>
  <c r="J30" i="33" s="1"/>
  <c r="B94" i="33"/>
  <c r="J29" i="33" s="1"/>
  <c r="B74" i="33"/>
  <c r="F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F46" i="21" s="1"/>
  <c r="AA46" i="21" s="1"/>
  <c r="B128" i="21"/>
  <c r="J45" i="21" s="1"/>
  <c r="W45" i="21" s="1"/>
  <c r="B126" i="21"/>
  <c r="H44" i="21" s="1"/>
  <c r="U44" i="21" s="1"/>
  <c r="B98" i="21"/>
  <c r="H31" i="21" s="1"/>
  <c r="B96" i="21"/>
  <c r="H30" i="21" s="1"/>
  <c r="U30" i="21" s="1"/>
  <c r="B94" i="21"/>
  <c r="J29" i="21" s="1"/>
  <c r="AC29" i="21" s="1"/>
  <c r="B92" i="21"/>
  <c r="J28" i="21" s="1"/>
  <c r="B90" i="21"/>
  <c r="J27" i="21" s="1"/>
  <c r="W27" i="21" s="1"/>
  <c r="B74" i="21"/>
  <c r="H14" i="21" s="1"/>
  <c r="U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4" i="39"/>
  <c r="AC44" i="39" s="1"/>
  <c r="F36" i="39"/>
  <c r="S36" i="39" s="1"/>
  <c r="H36" i="39"/>
  <c r="AB36" i="39" s="1"/>
  <c r="F35" i="39"/>
  <c r="AA35" i="39" s="1"/>
  <c r="J36" i="39"/>
  <c r="AC36" i="39" s="1"/>
  <c r="U9" i="39"/>
  <c r="W25" i="37"/>
  <c r="U30" i="37"/>
  <c r="F103" i="37"/>
  <c r="F39" i="37"/>
  <c r="S39" i="37" s="1"/>
  <c r="U14" i="37"/>
  <c r="F29" i="36"/>
  <c r="AA29" i="36" s="1"/>
  <c r="W8" i="36"/>
  <c r="F16" i="36"/>
  <c r="AA16" i="36" s="1"/>
  <c r="U9" i="36"/>
  <c r="S30" i="36"/>
  <c r="S32" i="36"/>
  <c r="AC31" i="36"/>
  <c r="W31" i="36"/>
  <c r="U31" i="36"/>
  <c r="J33" i="36"/>
  <c r="W33" i="36" s="1"/>
  <c r="H22" i="35"/>
  <c r="AB22" i="35" s="1"/>
  <c r="AC27" i="35"/>
  <c r="W28" i="35"/>
  <c r="U31" i="35"/>
  <c r="W34" i="35"/>
  <c r="W22" i="35"/>
  <c r="U34" i="35"/>
  <c r="F36" i="34"/>
  <c r="J35" i="34"/>
  <c r="H39" i="33"/>
  <c r="AB39" i="33" s="1"/>
  <c r="F26" i="33"/>
  <c r="AA26" i="33" s="1"/>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W32" i="40"/>
  <c r="S44" i="39"/>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F120" i="34"/>
  <c r="G120" i="34" s="1"/>
  <c r="H120" i="34" s="1"/>
  <c r="I120" i="34" s="1"/>
  <c r="J120" i="34" s="1"/>
  <c r="K120" i="34" s="1"/>
  <c r="L120" i="34" s="1"/>
  <c r="M120" i="34" s="1"/>
  <c r="U42" i="34"/>
  <c r="H40" i="34"/>
  <c r="U40" i="34" s="1"/>
  <c r="E114" i="34"/>
  <c r="H36" i="34"/>
  <c r="U36" i="34" s="1"/>
  <c r="F37" i="34"/>
  <c r="AA37" i="34" s="1"/>
  <c r="F28" i="34"/>
  <c r="AA28" i="34" s="1"/>
  <c r="F27" i="34"/>
  <c r="AA27" i="34" s="1"/>
  <c r="F25" i="34"/>
  <c r="S25" i="34" s="1"/>
  <c r="H23" i="34"/>
  <c r="J23" i="34"/>
  <c r="F19" i="34"/>
  <c r="H17" i="34"/>
  <c r="U17" i="34" s="1"/>
  <c r="F15" i="34"/>
  <c r="S15" i="34" s="1"/>
  <c r="H15" i="34"/>
  <c r="AB15" i="34" s="1"/>
  <c r="J28" i="34"/>
  <c r="W28" i="34" s="1"/>
  <c r="F41"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F17" i="34"/>
  <c r="AA17" i="34" s="1"/>
  <c r="J17" i="34"/>
  <c r="W17" i="34" s="1"/>
  <c r="H37" i="33"/>
  <c r="AB37" i="33" s="1"/>
  <c r="H15" i="33"/>
  <c r="AB15" i="33" s="1"/>
  <c r="H11" i="33"/>
  <c r="AB11" i="33" s="1"/>
  <c r="F28" i="40"/>
  <c r="AA28" i="40" s="1"/>
  <c r="AA29" i="35"/>
  <c r="J37" i="34"/>
  <c r="AC37" i="34" s="1"/>
  <c r="J11" i="33"/>
  <c r="W11" i="33" s="1"/>
  <c r="S28" i="34"/>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F28" i="21"/>
  <c r="AA28" i="21" s="1"/>
  <c r="F30" i="21"/>
  <c r="S30" i="21" s="1"/>
  <c r="J30" i="21"/>
  <c r="AC30" i="21" s="1"/>
  <c r="J44" i="21"/>
  <c r="AC44" i="21" s="1"/>
  <c r="H46" i="21"/>
  <c r="U46" i="21" s="1"/>
  <c r="J46" i="21"/>
  <c r="W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c r="J11" i="36"/>
  <c r="AC11" i="36" s="1"/>
  <c r="H11" i="36"/>
  <c r="U11" i="36" s="1"/>
  <c r="F11" i="36"/>
  <c r="H13" i="36"/>
  <c r="AB13" i="36" s="1"/>
  <c r="J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J14" i="33"/>
  <c r="H30" i="33"/>
  <c r="AB30" i="33" s="1"/>
  <c r="F30" i="33"/>
  <c r="H44" i="33"/>
  <c r="F46" i="33"/>
  <c r="AA46" i="33" s="1"/>
  <c r="H46" i="33"/>
  <c r="AB46" i="33" s="1"/>
  <c r="H13" i="34"/>
  <c r="U13" i="34" s="1"/>
  <c r="F13" i="34"/>
  <c r="AA13" i="34" s="1"/>
  <c r="J29" i="34"/>
  <c r="F29" i="34"/>
  <c r="S29" i="34" s="1"/>
  <c r="J31" i="34"/>
  <c r="AC31" i="34" s="1"/>
  <c r="H31" i="34"/>
  <c r="F31" i="34"/>
  <c r="S31" i="34" s="1"/>
  <c r="J45" i="34"/>
  <c r="W45" i="34" s="1"/>
  <c r="F45" i="34"/>
  <c r="S45" i="34" s="1"/>
  <c r="H47" i="34"/>
  <c r="U47" i="34" s="1"/>
  <c r="J47" i="34"/>
  <c r="AC47" i="34" s="1"/>
  <c r="F13" i="35"/>
  <c r="S13" i="35" s="1"/>
  <c r="J13" i="35"/>
  <c r="AC13" i="35" s="1"/>
  <c r="J25" i="35"/>
  <c r="W25" i="35" s="1"/>
  <c r="F25" i="35"/>
  <c r="S25" i="35" s="1"/>
  <c r="H25" i="35"/>
  <c r="AB2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28" i="37"/>
  <c r="AA13" i="35"/>
  <c r="AA47" i="34"/>
  <c r="AC13" i="34"/>
  <c r="J36" i="37"/>
  <c r="AC36" i="37" s="1"/>
  <c r="AB11" i="36"/>
  <c r="J10" i="36"/>
  <c r="AC10" i="36" s="1"/>
  <c r="AB30" i="21"/>
  <c r="AC13" i="36"/>
  <c r="W13" i="36"/>
  <c r="W11" i="36"/>
  <c r="W11" i="35"/>
  <c r="AB46" i="34"/>
  <c r="AC30" i="34"/>
  <c r="U13" i="33"/>
  <c r="BA586" i="3"/>
  <c r="F17" i="21"/>
  <c r="AA17" i="21" s="1"/>
  <c r="H17" i="21"/>
  <c r="AB17" i="21" s="1"/>
  <c r="F15" i="21"/>
  <c r="S15" i="21" s="1"/>
  <c r="AB11" i="21"/>
  <c r="J41" i="39"/>
  <c r="W41" i="39" s="1"/>
  <c r="W44" i="39"/>
  <c r="W36" i="39"/>
  <c r="W35" i="39"/>
  <c r="U36" i="39"/>
  <c r="S35" i="39"/>
  <c r="G544" i="3"/>
  <c r="G540" i="3"/>
  <c r="G536" i="3"/>
  <c r="G532" i="3"/>
  <c r="G531" i="3"/>
  <c r="G528" i="3"/>
  <c r="G523" i="3"/>
  <c r="G518" i="3"/>
  <c r="G514" i="3"/>
  <c r="G508" i="3"/>
  <c r="G504" i="3"/>
  <c r="G500" i="3"/>
  <c r="G584" i="3"/>
  <c r="G580" i="3"/>
  <c r="G576" i="3"/>
  <c r="G568" i="3"/>
  <c r="G564" i="3"/>
  <c r="G560" i="3"/>
  <c r="G550" i="3"/>
  <c r="BL584" i="3"/>
  <c r="BL580" i="3"/>
  <c r="BL572" i="3"/>
  <c r="BL568" i="3"/>
  <c r="BL564" i="3"/>
  <c r="BL554" i="3"/>
  <c r="BL546" i="3"/>
  <c r="BL542" i="3"/>
  <c r="BL534" i="3"/>
  <c r="BL530" i="3"/>
  <c r="BL526" i="3"/>
  <c r="BL516" i="3"/>
  <c r="BL512" i="3"/>
  <c r="BL506" i="3"/>
  <c r="AZ506" i="3" s="1"/>
  <c r="BL498" i="3"/>
  <c r="BL494" i="3"/>
  <c r="AZ494" i="3" s="1"/>
  <c r="BL582" i="3"/>
  <c r="BL578" i="3"/>
  <c r="BL574" i="3"/>
  <c r="BL570" i="3"/>
  <c r="AZ570" i="3" s="1"/>
  <c r="BL562" i="3"/>
  <c r="BL556" i="3"/>
  <c r="BL552" i="3"/>
  <c r="BL540" i="3"/>
  <c r="BL536" i="3"/>
  <c r="G533" i="3"/>
  <c r="G529" i="3"/>
  <c r="BL528" i="3"/>
  <c r="G525" i="3"/>
  <c r="BL518" i="3"/>
  <c r="BL514" i="3"/>
  <c r="BL504" i="3"/>
  <c r="BL500" i="3"/>
  <c r="BL496" i="3"/>
  <c r="BA584" i="3"/>
  <c r="BA582" i="3"/>
  <c r="AZ582" i="3" s="1"/>
  <c r="BA580" i="3"/>
  <c r="AZ580" i="3" s="1"/>
  <c r="BA578" i="3"/>
  <c r="AZ578" i="3"/>
  <c r="BA576" i="3"/>
  <c r="BA574" i="3"/>
  <c r="AZ574" i="3" s="1"/>
  <c r="BA572" i="3"/>
  <c r="AZ572" i="3" s="1"/>
  <c r="BA570" i="3"/>
  <c r="BA568" i="3"/>
  <c r="BA566" i="3"/>
  <c r="BA564" i="3"/>
  <c r="AZ564" i="3" s="1"/>
  <c r="BA562" i="3"/>
  <c r="AZ562" i="3"/>
  <c r="BA560" i="3"/>
  <c r="BA556" i="3"/>
  <c r="AZ556" i="3"/>
  <c r="BA552" i="3"/>
  <c r="AZ552" i="3" s="1"/>
  <c r="BA546" i="3"/>
  <c r="BA544" i="3"/>
  <c r="BA540" i="3"/>
  <c r="AZ540" i="3" s="1"/>
  <c r="BA536" i="3"/>
  <c r="AZ536" i="3"/>
  <c r="BA532" i="3"/>
  <c r="BA528" i="3"/>
  <c r="AZ528" i="3" s="1"/>
  <c r="BA526" i="3"/>
  <c r="AZ526" i="3" s="1"/>
  <c r="BA524" i="3"/>
  <c r="BA522" i="3"/>
  <c r="BA520" i="3"/>
  <c r="BA516" i="3"/>
  <c r="AZ516" i="3"/>
  <c r="BA512" i="3"/>
  <c r="AZ512" i="3"/>
  <c r="BA510" i="3"/>
  <c r="BA508" i="3"/>
  <c r="AZ508" i="3" s="1"/>
  <c r="BA506" i="3"/>
  <c r="BA504" i="3"/>
  <c r="AZ504" i="3" s="1"/>
  <c r="BA502" i="3"/>
  <c r="BA500" i="3"/>
  <c r="BA498" i="3"/>
  <c r="AZ498" i="3" s="1"/>
  <c r="BA496" i="3"/>
  <c r="BA494" i="3"/>
  <c r="BA587" i="3"/>
  <c r="AZ587" i="3" s="1"/>
  <c r="BA583" i="3"/>
  <c r="BA581" i="3"/>
  <c r="BA577" i="3"/>
  <c r="AZ577" i="3" s="1"/>
  <c r="BA575" i="3"/>
  <c r="BA573" i="3"/>
  <c r="BA569" i="3"/>
  <c r="BA567" i="3"/>
  <c r="BA565" i="3"/>
  <c r="BA561" i="3"/>
  <c r="BA559" i="3"/>
  <c r="BA555" i="3"/>
  <c r="BA549" i="3"/>
  <c r="BA547" i="3"/>
  <c r="BA545" i="3"/>
  <c r="BA541" i="3"/>
  <c r="BA539" i="3"/>
  <c r="BA537" i="3"/>
  <c r="BA533" i="3"/>
  <c r="BA531" i="3"/>
  <c r="BA529" i="3"/>
  <c r="BA525" i="3"/>
  <c r="BA523" i="3"/>
  <c r="BA519" i="3"/>
  <c r="BA515" i="3"/>
  <c r="BA513" i="3"/>
  <c r="AZ513" i="3" s="1"/>
  <c r="BA511" i="3"/>
  <c r="BA505" i="3"/>
  <c r="AZ505" i="3" s="1"/>
  <c r="BA503" i="3"/>
  <c r="BA501" i="3"/>
  <c r="BA497" i="3"/>
  <c r="BA495" i="3"/>
  <c r="BA493" i="3"/>
  <c r="G583" i="3"/>
  <c r="G581" i="3"/>
  <c r="G579" i="3"/>
  <c r="G577" i="3"/>
  <c r="G575" i="3"/>
  <c r="G573" i="3"/>
  <c r="G571" i="3"/>
  <c r="G567" i="3"/>
  <c r="G565" i="3"/>
  <c r="G563" i="3"/>
  <c r="BL558" i="3"/>
  <c r="BA557" i="3"/>
  <c r="AC557" i="3"/>
  <c r="G557" i="3" s="1"/>
  <c r="BQ557" i="3"/>
  <c r="BL557" i="3"/>
  <c r="AZ557" i="3" s="1"/>
  <c r="BQ583" i="3"/>
  <c r="BL583" i="3"/>
  <c r="AZ583" i="3"/>
  <c r="BQ581" i="3"/>
  <c r="BQ579" i="3"/>
  <c r="BL579" i="3" s="1"/>
  <c r="BQ577" i="3"/>
  <c r="BL577" i="3"/>
  <c r="BQ575" i="3"/>
  <c r="BQ573" i="3"/>
  <c r="BL573" i="3" s="1"/>
  <c r="BQ571" i="3"/>
  <c r="BL571" i="3" s="1"/>
  <c r="BQ569" i="3"/>
  <c r="BL569" i="3"/>
  <c r="AZ569" i="3" s="1"/>
  <c r="BQ567" i="3"/>
  <c r="BQ565" i="3"/>
  <c r="BL565" i="3" s="1"/>
  <c r="BQ563" i="3"/>
  <c r="BL563" i="3" s="1"/>
  <c r="BQ561" i="3"/>
  <c r="BQ559" i="3"/>
  <c r="BL559" i="3" s="1"/>
  <c r="G559" i="3"/>
  <c r="G555" i="3"/>
  <c r="G553" i="3"/>
  <c r="G547" i="3"/>
  <c r="G545" i="3"/>
  <c r="G543" i="3"/>
  <c r="G539" i="3"/>
  <c r="G537" i="3"/>
  <c r="BQ555" i="3"/>
  <c r="BQ553" i="3"/>
  <c r="BL553" i="3" s="1"/>
  <c r="BQ551" i="3"/>
  <c r="BL551" i="3"/>
  <c r="BQ549" i="3"/>
  <c r="BQ547" i="3"/>
  <c r="BL547" i="3"/>
  <c r="BQ545" i="3"/>
  <c r="BL545" i="3" s="1"/>
  <c r="AZ545" i="3" s="1"/>
  <c r="BQ543" i="3"/>
  <c r="BL543" i="3"/>
  <c r="BQ541" i="3"/>
  <c r="BL541" i="3" s="1"/>
  <c r="AZ541" i="3" s="1"/>
  <c r="BQ539" i="3"/>
  <c r="BL539" i="3"/>
  <c r="BQ537" i="3"/>
  <c r="BL537" i="3" s="1"/>
  <c r="BQ535" i="3"/>
  <c r="BL535" i="3"/>
  <c r="BQ533" i="3"/>
  <c r="BL533" i="3" s="1"/>
  <c r="AZ533" i="3" s="1"/>
  <c r="BQ531" i="3"/>
  <c r="BL531" i="3"/>
  <c r="BQ529" i="3"/>
  <c r="BL529" i="3" s="1"/>
  <c r="AZ529" i="3" s="1"/>
  <c r="BQ527" i="3"/>
  <c r="BL527" i="3"/>
  <c r="BQ525" i="3"/>
  <c r="BL525" i="3" s="1"/>
  <c r="BQ523" i="3"/>
  <c r="BL523" i="3"/>
  <c r="BA521" i="3"/>
  <c r="AC521" i="3"/>
  <c r="G521" i="3" s="1"/>
  <c r="BQ521" i="3"/>
  <c r="BL521" i="3" s="1"/>
  <c r="AZ521" i="3" s="1"/>
  <c r="G519" i="3"/>
  <c r="G517" i="3"/>
  <c r="G513" i="3"/>
  <c r="G511" i="3"/>
  <c r="BQ519" i="3"/>
  <c r="BQ517" i="3"/>
  <c r="BL517" i="3" s="1"/>
  <c r="BQ515" i="3"/>
  <c r="BL515" i="3" s="1"/>
  <c r="AZ515" i="3" s="1"/>
  <c r="BQ513" i="3"/>
  <c r="BL513" i="3"/>
  <c r="BQ511" i="3"/>
  <c r="BA509" i="3"/>
  <c r="AZ509" i="3" s="1"/>
  <c r="AC509" i="3"/>
  <c r="BQ509" i="3"/>
  <c r="BL509" i="3"/>
  <c r="BL508" i="3"/>
  <c r="G505" i="3"/>
  <c r="G503" i="3"/>
  <c r="G501" i="3"/>
  <c r="G497" i="3"/>
  <c r="G495" i="3"/>
  <c r="BQ507" i="3"/>
  <c r="BQ505" i="3"/>
  <c r="BL505" i="3"/>
  <c r="BQ503" i="3"/>
  <c r="BL503" i="3"/>
  <c r="AZ503" i="3" s="1"/>
  <c r="BQ501" i="3"/>
  <c r="BL501" i="3" s="1"/>
  <c r="AZ501" i="3" s="1"/>
  <c r="BQ499" i="3"/>
  <c r="BL499" i="3" s="1"/>
  <c r="BQ497" i="3"/>
  <c r="BL497" i="3" s="1"/>
  <c r="AZ497" i="3" s="1"/>
  <c r="BQ495" i="3"/>
  <c r="BQ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AC32" i="36"/>
  <c r="AC33" i="36"/>
  <c r="U35" i="35"/>
  <c r="AA12" i="35"/>
  <c r="W23" i="35"/>
  <c r="W14" i="37"/>
  <c r="AB28" i="37"/>
  <c r="U33" i="37"/>
  <c r="U39" i="37"/>
  <c r="W26" i="37"/>
  <c r="AC8" i="37"/>
  <c r="U26" i="37"/>
  <c r="W47" i="34"/>
  <c r="AA13" i="33"/>
  <c r="AC31" i="33"/>
  <c r="U11" i="33"/>
  <c r="U19" i="21"/>
  <c r="U26" i="21"/>
  <c r="AC46" i="21"/>
  <c r="AB38" i="21"/>
  <c r="F43" i="33"/>
  <c r="AA43" i="33" s="1"/>
  <c r="W16" i="35"/>
  <c r="W40" i="37"/>
  <c r="H113" i="21"/>
  <c r="H37" i="21"/>
  <c r="U37" i="21" s="1"/>
  <c r="S42" i="2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c r="J15" i="37"/>
  <c r="W15" i="37" s="1"/>
  <c r="U12" i="37"/>
  <c r="AT6" i="3"/>
  <c r="H5" i="3"/>
  <c r="C12" i="43"/>
  <c r="H19" i="40"/>
  <c r="U19" i="40" s="1"/>
  <c r="F88" i="40"/>
  <c r="G88" i="40" s="1"/>
  <c r="F19" i="40"/>
  <c r="S19" i="40" s="1"/>
  <c r="S14" i="40"/>
  <c r="AC13" i="40"/>
  <c r="AB33" i="40"/>
  <c r="W23"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G4" i="4"/>
  <c r="I4" i="4"/>
  <c r="K5" i="4"/>
  <c r="B47" i="48" s="1"/>
  <c r="A2" i="9"/>
  <c r="N2" i="43"/>
  <c r="F59" i="43" s="1"/>
  <c r="AZ20" i="3"/>
  <c r="AZ24" i="3"/>
  <c r="AZ32" i="3"/>
  <c r="BL549" i="3"/>
  <c r="AZ549" i="3" s="1"/>
  <c r="AZ546" i="3"/>
  <c r="G546" i="3"/>
  <c r="G524" i="3"/>
  <c r="G303" i="3"/>
  <c r="BL304" i="3"/>
  <c r="G305" i="3"/>
  <c r="BL306" i="3"/>
  <c r="BA308" i="3"/>
  <c r="AZ308" i="3"/>
  <c r="BA309" i="3"/>
  <c r="AZ309" i="3" s="1"/>
  <c r="BL309" i="3"/>
  <c r="G310" i="3"/>
  <c r="BA311" i="3"/>
  <c r="G319" i="3"/>
  <c r="BL320" i="3"/>
  <c r="G321" i="3"/>
  <c r="BL322" i="3"/>
  <c r="BA324" i="3"/>
  <c r="AZ324" i="3"/>
  <c r="BA325" i="3"/>
  <c r="BL325" i="3"/>
  <c r="AZ325" i="3" s="1"/>
  <c r="G326" i="3"/>
  <c r="BA327" i="3"/>
  <c r="G335" i="3"/>
  <c r="BL336" i="3"/>
  <c r="G337" i="3"/>
  <c r="BL338" i="3"/>
  <c r="BA340" i="3"/>
  <c r="AZ340" i="3"/>
  <c r="BA341" i="3"/>
  <c r="AZ341" i="3" s="1"/>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BL144" i="3"/>
  <c r="G145" i="3"/>
  <c r="BA147" i="3"/>
  <c r="AZ147" i="3" s="1"/>
  <c r="BL148" i="3"/>
  <c r="AZ148" i="3" s="1"/>
  <c r="G149" i="3"/>
  <c r="BA151" i="3"/>
  <c r="AZ151" i="3"/>
  <c r="BL152" i="3"/>
  <c r="AZ152" i="3" s="1"/>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47" i="3"/>
  <c r="AZ51" i="3"/>
  <c r="AZ55" i="3"/>
  <c r="AZ59" i="3"/>
  <c r="AZ67" i="3"/>
  <c r="AZ75" i="3"/>
  <c r="AZ83" i="3"/>
  <c r="AZ144" i="3"/>
  <c r="AZ168" i="3"/>
  <c r="AZ176" i="3"/>
  <c r="AZ200" i="3"/>
  <c r="AZ85" i="3"/>
  <c r="AZ89" i="3"/>
  <c r="AZ97" i="3"/>
  <c r="AZ105" i="3"/>
  <c r="AZ109" i="3"/>
  <c r="AZ120"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AZ329" i="3" s="1"/>
  <c r="BL329" i="3"/>
  <c r="G330" i="3"/>
  <c r="G333" i="3"/>
  <c r="BL334" i="3"/>
  <c r="BA336" i="3"/>
  <c r="AZ336" i="3"/>
  <c r="BA337" i="3"/>
  <c r="BL337" i="3"/>
  <c r="G338" i="3"/>
  <c r="G341" i="3"/>
  <c r="BA342" i="3"/>
  <c r="AZ342" i="3" s="1"/>
  <c r="BL342" i="3"/>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AZ377" i="3" s="1"/>
  <c r="BL379" i="3"/>
  <c r="BA381" i="3"/>
  <c r="AZ381" i="3" s="1"/>
  <c r="BA382" i="3"/>
  <c r="AZ382" i="3" s="1"/>
  <c r="BL382" i="3"/>
  <c r="G383" i="3"/>
  <c r="G386" i="3"/>
  <c r="BL387" i="3"/>
  <c r="BA389" i="3"/>
  <c r="BA390" i="3"/>
  <c r="AZ390" i="3" s="1"/>
  <c r="BL390" i="3"/>
  <c r="G391" i="3"/>
  <c r="G394" i="3"/>
  <c r="AZ138" i="3"/>
  <c r="AZ142" i="3"/>
  <c r="AZ154" i="3"/>
  <c r="AZ162" i="3"/>
  <c r="AZ166" i="3"/>
  <c r="AZ170" i="3"/>
  <c r="AZ174" i="3"/>
  <c r="AZ178" i="3"/>
  <c r="AZ182" i="3"/>
  <c r="AZ186" i="3"/>
  <c r="AZ190" i="3"/>
  <c r="AZ194" i="3"/>
  <c r="AZ198" i="3"/>
  <c r="AZ202" i="3"/>
  <c r="AZ206" i="3"/>
  <c r="AZ523"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237" i="3"/>
  <c r="AZ245"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F5" i="3"/>
  <c r="AZ305" i="3"/>
  <c r="AZ313" i="3"/>
  <c r="AZ317" i="3"/>
  <c r="AZ321" i="3"/>
  <c r="AZ333" i="3"/>
  <c r="AZ337" i="3"/>
  <c r="AZ345" i="3"/>
  <c r="AC5" i="3"/>
  <c r="AZ547" i="3"/>
  <c r="AZ496" i="3"/>
  <c r="G548" i="3"/>
  <c r="G538" i="3"/>
  <c r="G520" i="3"/>
  <c r="G502" i="3"/>
  <c r="BS5" i="3"/>
  <c r="BP5" i="3"/>
  <c r="BN5" i="3"/>
  <c r="AZ343" i="3"/>
  <c r="AZ347" i="3"/>
  <c r="BK5" i="3"/>
  <c r="BI5" i="3"/>
  <c r="BG5" i="3"/>
  <c r="BE5" i="3"/>
  <c r="BC5" i="3"/>
  <c r="E8" i="6" s="1"/>
  <c r="F27" i="6" s="1"/>
  <c r="G17" i="3"/>
  <c r="BA17" i="3"/>
  <c r="BT5" i="3"/>
  <c r="AZ350" i="3"/>
  <c r="AZ360" i="3"/>
  <c r="AZ368" i="3"/>
  <c r="BA15" i="3"/>
  <c r="AZ15" i="3"/>
  <c r="BB5" i="3"/>
  <c r="BR5" i="3"/>
  <c r="AZ384" i="3"/>
  <c r="AZ392" i="3"/>
  <c r="AZ396" i="3"/>
  <c r="AZ394" i="3"/>
  <c r="G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10" i="1"/>
  <c r="F48" i="9"/>
  <c r="O52" i="9" s="1"/>
  <c r="W37" i="37"/>
  <c r="U13" i="37"/>
  <c r="U12" i="40"/>
  <c r="F106" i="33"/>
  <c r="G106" i="33" s="1"/>
  <c r="H106" i="33" s="1"/>
  <c r="I106" i="33" s="1"/>
  <c r="J106" i="33" s="1"/>
  <c r="K106" i="33" s="1"/>
  <c r="L106" i="33" s="1"/>
  <c r="M106" i="33" s="1"/>
  <c r="J34" i="33"/>
  <c r="W34" i="33" s="1"/>
  <c r="F33" i="34"/>
  <c r="S33" i="34" s="1"/>
  <c r="W12" i="36"/>
  <c r="AC12" i="36"/>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32" i="3"/>
  <c r="AZ240" i="3"/>
  <c r="AZ243" i="3"/>
  <c r="AZ248" i="3"/>
  <c r="AZ251" i="3"/>
  <c r="AZ256" i="3"/>
  <c r="AZ259" i="3"/>
  <c r="AZ268" i="3"/>
  <c r="AZ271" i="3"/>
  <c r="AZ280" i="3"/>
  <c r="AZ288" i="3"/>
  <c r="AZ296" i="3"/>
  <c r="AZ114" i="3"/>
  <c r="AZ130" i="3"/>
  <c r="AZ133" i="3"/>
  <c r="AZ21" i="3"/>
  <c r="AZ33" i="3"/>
  <c r="AZ42" i="3"/>
  <c r="AZ45" i="3"/>
  <c r="AZ50" i="3"/>
  <c r="AZ53" i="3"/>
  <c r="AZ69" i="3"/>
  <c r="AZ72" i="3"/>
  <c r="AZ74" i="3"/>
  <c r="AZ77" i="3"/>
  <c r="AZ94" i="3"/>
  <c r="AZ102" i="3"/>
  <c r="H74" i="43"/>
  <c r="I20" i="43"/>
  <c r="F23" i="39"/>
  <c r="AA23" i="39" s="1"/>
  <c r="F97" i="39"/>
  <c r="H27" i="36"/>
  <c r="U27" i="36" s="1"/>
  <c r="F27" i="36"/>
  <c r="AA27" i="36" s="1"/>
  <c r="H33" i="34"/>
  <c r="U33" i="34" s="1"/>
  <c r="F32" i="37"/>
  <c r="AA32" i="37" s="1"/>
  <c r="G96" i="37"/>
  <c r="H96" i="37" s="1"/>
  <c r="I96" i="37" s="1"/>
  <c r="J96" i="37" s="1"/>
  <c r="K96" i="37" s="1"/>
  <c r="L96" i="37" s="1"/>
  <c r="M96" i="37" s="1"/>
  <c r="G68" i="36"/>
  <c r="F20" i="36"/>
  <c r="AA20" i="36" s="1"/>
  <c r="J33" i="34"/>
  <c r="AC33" i="34" s="1"/>
  <c r="H23" i="39"/>
  <c r="U23" i="39" s="1"/>
  <c r="G97" i="39"/>
  <c r="D48" i="9"/>
  <c r="M52" i="9" s="1"/>
  <c r="H82" i="43"/>
  <c r="K9" i="1"/>
  <c r="M9" i="1" s="1"/>
  <c r="O9" i="1" s="1"/>
  <c r="P9" i="1" s="1"/>
  <c r="F3" i="35"/>
  <c r="D93" i="9"/>
  <c r="J51" i="15"/>
  <c r="AE9" i="1"/>
  <c r="F16" i="83"/>
  <c r="M24" i="83"/>
  <c r="L48" i="83"/>
  <c r="J15" i="83"/>
  <c r="F38" i="83"/>
  <c r="M22" i="83"/>
  <c r="F40" i="83"/>
  <c r="M9" i="83"/>
  <c r="F6" i="83"/>
  <c r="F13" i="83"/>
  <c r="F36" i="83"/>
  <c r="C76" i="83"/>
  <c r="F37" i="83"/>
  <c r="M26" i="83"/>
  <c r="M8" i="83"/>
  <c r="M28" i="83"/>
  <c r="M27" i="83"/>
  <c r="F8" i="83"/>
  <c r="F9" i="83"/>
  <c r="F26" i="83"/>
  <c r="L47" i="83"/>
  <c r="M23" i="83"/>
  <c r="F42" i="83"/>
  <c r="M6" i="83"/>
  <c r="L57" i="83" l="1"/>
  <c r="L60" i="83"/>
  <c r="J57" i="83"/>
  <c r="J55" i="83" s="1"/>
  <c r="J58" i="83" s="1"/>
  <c r="Q50" i="83" s="1"/>
  <c r="J53" i="83"/>
  <c r="L56" i="83"/>
  <c r="K53" i="83"/>
  <c r="J60" i="83"/>
  <c r="Q48" i="83" s="1"/>
  <c r="J59" i="83"/>
  <c r="L46" i="83"/>
  <c r="F51" i="83"/>
  <c r="L58" i="83"/>
  <c r="L59" i="83"/>
  <c r="Q71" i="83"/>
  <c r="F64" i="83"/>
  <c r="F66" i="83"/>
  <c r="C27" i="83"/>
  <c r="F70" i="83"/>
  <c r="F68" i="83"/>
  <c r="F65" i="83"/>
  <c r="J15" i="34"/>
  <c r="AC15" i="34" s="1"/>
  <c r="F42" i="33"/>
  <c r="AA42" i="33" s="1"/>
  <c r="J42" i="33"/>
  <c r="AC42" i="33" s="1"/>
  <c r="AC45" i="33"/>
  <c r="M20" i="15"/>
  <c r="F34" i="78"/>
  <c r="F62" i="78" s="1"/>
  <c r="M20" i="78"/>
  <c r="D78" i="9"/>
  <c r="D93" i="79"/>
  <c r="D78" i="79"/>
  <c r="E37" i="31"/>
  <c r="E33" i="31"/>
  <c r="AC44" i="34"/>
  <c r="AA42" i="34"/>
  <c r="S34" i="34"/>
  <c r="AC29" i="33"/>
  <c r="W29" i="33"/>
  <c r="F29" i="33"/>
  <c r="S29" i="33" s="1"/>
  <c r="H29" i="33"/>
  <c r="U29" i="33" s="1"/>
  <c r="U30" i="33"/>
  <c r="W26" i="33"/>
  <c r="AC44" i="33"/>
  <c r="W44" i="33"/>
  <c r="F44" i="33"/>
  <c r="S44" i="33" s="1"/>
  <c r="AB45" i="33"/>
  <c r="E64" i="31"/>
  <c r="E60" i="31"/>
  <c r="E56" i="31"/>
  <c r="E52" i="31"/>
  <c r="E48" i="31"/>
  <c r="E44" i="31"/>
  <c r="E40" i="31"/>
  <c r="E36" i="31"/>
  <c r="E32" i="31"/>
  <c r="E51" i="31"/>
  <c r="E47" i="31"/>
  <c r="E43" i="31"/>
  <c r="E39" i="31"/>
  <c r="E35" i="31"/>
  <c r="E31" i="31"/>
  <c r="E66" i="31"/>
  <c r="E62" i="31"/>
  <c r="E58" i="31"/>
  <c r="E54" i="31"/>
  <c r="E50" i="31"/>
  <c r="E46" i="31"/>
  <c r="E42" i="31"/>
  <c r="E38" i="31"/>
  <c r="E34" i="31"/>
  <c r="E30" i="31"/>
  <c r="AA14" i="34"/>
  <c r="K6" i="1"/>
  <c r="M6" i="1" s="1"/>
  <c r="M18" i="79"/>
  <c r="B118" i="79" s="1"/>
  <c r="B7" i="1"/>
  <c r="E7" i="1" s="1"/>
  <c r="G1" i="78"/>
  <c r="W41" i="33"/>
  <c r="U40" i="33"/>
  <c r="AA40" i="33"/>
  <c r="W40" i="33"/>
  <c r="E113" i="33"/>
  <c r="F113" i="33" s="1"/>
  <c r="G113" i="33" s="1"/>
  <c r="H113" i="33" s="1"/>
  <c r="I113" i="33" s="1"/>
  <c r="J113" i="33" s="1"/>
  <c r="K113" i="33" s="1"/>
  <c r="L113" i="33" s="1"/>
  <c r="M113" i="33" s="1"/>
  <c r="J37" i="33"/>
  <c r="W37" i="33" s="1"/>
  <c r="S34" i="33"/>
  <c r="AC34" i="33"/>
  <c r="U32" i="33"/>
  <c r="U35" i="33"/>
  <c r="W33" i="33"/>
  <c r="AB26" i="33"/>
  <c r="S26" i="33"/>
  <c r="S8" i="33"/>
  <c r="S44" i="34"/>
  <c r="AC38" i="34"/>
  <c r="W37" i="34"/>
  <c r="AA38" i="34"/>
  <c r="AA39" i="34"/>
  <c r="AC36" i="34"/>
  <c r="S35" i="34"/>
  <c r="W27" i="34"/>
  <c r="H19" i="34"/>
  <c r="AB19" i="34" s="1"/>
  <c r="J19" i="34"/>
  <c r="AC19" i="34" s="1"/>
  <c r="AC17" i="34"/>
  <c r="AB17" i="34"/>
  <c r="AA15" i="34"/>
  <c r="W9" i="34"/>
  <c r="G14" i="3"/>
  <c r="E15" i="6"/>
  <c r="E60" i="40" s="1"/>
  <c r="F29" i="6"/>
  <c r="E29" i="6" s="1"/>
  <c r="K101" i="43"/>
  <c r="K103" i="43" s="1"/>
  <c r="N104" i="46"/>
  <c r="N101" i="43"/>
  <c r="N102" i="43" s="1"/>
  <c r="C101" i="43"/>
  <c r="C104" i="43" s="1"/>
  <c r="J101" i="43"/>
  <c r="J104" i="43" s="1"/>
  <c r="G101" i="43"/>
  <c r="G105" i="43" s="1"/>
  <c r="E22" i="43"/>
  <c r="F101" i="43"/>
  <c r="F104" i="43" s="1"/>
  <c r="B113" i="43"/>
  <c r="B115" i="43" s="1"/>
  <c r="C115" i="43" s="1"/>
  <c r="E12" i="6"/>
  <c r="G13" i="1"/>
  <c r="G9" i="1"/>
  <c r="AZ525" i="3"/>
  <c r="AZ537" i="3"/>
  <c r="AB12" i="21"/>
  <c r="U12" i="21"/>
  <c r="W28" i="21"/>
  <c r="AC28" i="21"/>
  <c r="S15" i="37"/>
  <c r="G28" i="6"/>
  <c r="G30" i="6" s="1"/>
  <c r="G31" i="6" s="1"/>
  <c r="AC12" i="37"/>
  <c r="AZ573" i="3"/>
  <c r="G587" i="3"/>
  <c r="B77" i="43"/>
  <c r="C25" i="39"/>
  <c r="J12" i="33"/>
  <c r="AB34" i="34"/>
  <c r="U34" i="34"/>
  <c r="S14" i="33"/>
  <c r="AA14" i="33"/>
  <c r="AB38" i="40"/>
  <c r="U38" i="40"/>
  <c r="BL567" i="3"/>
  <c r="AZ567" i="3" s="1"/>
  <c r="BL566" i="3"/>
  <c r="AZ566" i="3" s="1"/>
  <c r="BL561" i="3"/>
  <c r="AZ561" i="3" s="1"/>
  <c r="BL560" i="3"/>
  <c r="BL550" i="3"/>
  <c r="BL522" i="3"/>
  <c r="AZ522" i="3" s="1"/>
  <c r="BA518" i="3"/>
  <c r="AZ518" i="3" s="1"/>
  <c r="BA507" i="3"/>
  <c r="BL502" i="3"/>
  <c r="AZ502" i="3" s="1"/>
  <c r="BA499" i="3"/>
  <c r="AZ499" i="3" s="1"/>
  <c r="H49" i="43"/>
  <c r="H86" i="43"/>
  <c r="H50" i="43"/>
  <c r="E13" i="6"/>
  <c r="S11" i="39"/>
  <c r="W44" i="21"/>
  <c r="AB37" i="34"/>
  <c r="U14" i="40"/>
  <c r="U43" i="33"/>
  <c r="BL495" i="3"/>
  <c r="AZ495" i="3" s="1"/>
  <c r="AZ565" i="3"/>
  <c r="AZ560" i="3"/>
  <c r="U31" i="33"/>
  <c r="S14" i="37"/>
  <c r="AA14" i="37"/>
  <c r="AA11" i="36"/>
  <c r="S11" i="36"/>
  <c r="H28" i="21"/>
  <c r="AB28" i="21" s="1"/>
  <c r="AA41" i="33"/>
  <c r="S41" i="33"/>
  <c r="AC33" i="37"/>
  <c r="W33" i="37"/>
  <c r="C15" i="39"/>
  <c r="AA31" i="36"/>
  <c r="BL585" i="3"/>
  <c r="AA27" i="35"/>
  <c r="S27" i="35"/>
  <c r="H45" i="39"/>
  <c r="J45" i="39"/>
  <c r="AB9" i="40"/>
  <c r="U9" i="40"/>
  <c r="AC31" i="40"/>
  <c r="W31" i="40"/>
  <c r="AA38" i="40"/>
  <c r="S38" i="40"/>
  <c r="BL581" i="3"/>
  <c r="AZ581" i="3" s="1"/>
  <c r="BA579" i="3"/>
  <c r="AZ579" i="3" s="1"/>
  <c r="BL576" i="3"/>
  <c r="AZ576" i="3" s="1"/>
  <c r="BL575" i="3"/>
  <c r="AZ575" i="3" s="1"/>
  <c r="BA571" i="3"/>
  <c r="AZ571" i="3" s="1"/>
  <c r="G570" i="3"/>
  <c r="BL555" i="3"/>
  <c r="AZ555" i="3" s="1"/>
  <c r="BA551" i="3"/>
  <c r="AZ551" i="3" s="1"/>
  <c r="BL538" i="3"/>
  <c r="BA535" i="3"/>
  <c r="AZ535" i="3" s="1"/>
  <c r="BA534" i="3"/>
  <c r="AZ534" i="3" s="1"/>
  <c r="BL532" i="3"/>
  <c r="AZ532" i="3" s="1"/>
  <c r="BA527" i="3"/>
  <c r="AZ527" i="3" s="1"/>
  <c r="U23" i="34"/>
  <c r="AB23" i="34"/>
  <c r="J12" i="21"/>
  <c r="AC12" i="21" s="1"/>
  <c r="F12" i="21"/>
  <c r="AC36" i="35"/>
  <c r="W36" i="35"/>
  <c r="H34" i="36"/>
  <c r="J34" i="36"/>
  <c r="F34" i="36"/>
  <c r="S34" i="36" s="1"/>
  <c r="J43" i="39"/>
  <c r="H43" i="39"/>
  <c r="BA563" i="3"/>
  <c r="AZ563" i="3" s="1"/>
  <c r="BA558" i="3"/>
  <c r="AZ558" i="3" s="1"/>
  <c r="BL524" i="3"/>
  <c r="AZ524" i="3" s="1"/>
  <c r="BL520" i="3"/>
  <c r="AZ520" i="3" s="1"/>
  <c r="BL519" i="3"/>
  <c r="AZ519" i="3" s="1"/>
  <c r="BA517" i="3"/>
  <c r="AZ517" i="3" s="1"/>
  <c r="BA514" i="3"/>
  <c r="AZ514" i="3" s="1"/>
  <c r="BL511" i="3"/>
  <c r="AZ511" i="3" s="1"/>
  <c r="BL510" i="3"/>
  <c r="BL507" i="3"/>
  <c r="F28" i="6"/>
  <c r="H87" i="43"/>
  <c r="H48" i="43"/>
  <c r="H75" i="43"/>
  <c r="AC11" i="39"/>
  <c r="W35" i="40"/>
  <c r="AA25" i="21"/>
  <c r="AB13" i="34"/>
  <c r="AA41" i="34"/>
  <c r="AZ559" i="3"/>
  <c r="AZ510" i="3"/>
  <c r="AZ568" i="3"/>
  <c r="S45" i="33"/>
  <c r="W31" i="34"/>
  <c r="U46" i="33"/>
  <c r="AB31" i="34"/>
  <c r="U31" i="34"/>
  <c r="U11" i="35"/>
  <c r="AB11" i="35"/>
  <c r="F44" i="21"/>
  <c r="AA44" i="21" s="1"/>
  <c r="U23" i="40"/>
  <c r="U8" i="33"/>
  <c r="W8" i="34"/>
  <c r="AB33" i="36"/>
  <c r="AC12" i="34"/>
  <c r="S9" i="33"/>
  <c r="W31" i="37"/>
  <c r="BA585" i="3"/>
  <c r="AZ585" i="3" s="1"/>
  <c r="J9" i="33"/>
  <c r="AC9" i="33" s="1"/>
  <c r="F12" i="33"/>
  <c r="AB33" i="33"/>
  <c r="U33" i="33"/>
  <c r="AA38" i="33"/>
  <c r="S38" i="33"/>
  <c r="AC39" i="33"/>
  <c r="W39" i="33"/>
  <c r="AC28" i="36"/>
  <c r="W28" i="36"/>
  <c r="F23" i="36"/>
  <c r="AA23" i="36" s="1"/>
  <c r="H23" i="36"/>
  <c r="AB23" i="36" s="1"/>
  <c r="AA40" i="39"/>
  <c r="S40" i="39"/>
  <c r="U39" i="40"/>
  <c r="AB39" i="40"/>
  <c r="F12" i="40"/>
  <c r="J12" i="40"/>
  <c r="J39" i="40"/>
  <c r="F39" i="40"/>
  <c r="U41" i="21"/>
  <c r="AB41" i="21"/>
  <c r="W31" i="35"/>
  <c r="AC31" i="35"/>
  <c r="BA554" i="3"/>
  <c r="AZ554" i="3" s="1"/>
  <c r="BA553" i="3"/>
  <c r="AZ553" i="3" s="1"/>
  <c r="BA550" i="3"/>
  <c r="AZ550" i="3" s="1"/>
  <c r="BA548" i="3"/>
  <c r="AZ548" i="3" s="1"/>
  <c r="BL544" i="3"/>
  <c r="AZ544" i="3" s="1"/>
  <c r="BA543" i="3"/>
  <c r="AZ543" i="3" s="1"/>
  <c r="BA542" i="3"/>
  <c r="AZ542" i="3" s="1"/>
  <c r="BA538" i="3"/>
  <c r="AZ538" i="3" s="1"/>
  <c r="BA530" i="3"/>
  <c r="AZ530" i="3" s="1"/>
  <c r="AZ226" i="3"/>
  <c r="AZ409" i="3"/>
  <c r="AZ421" i="3"/>
  <c r="AZ423" i="3"/>
  <c r="AZ437" i="3"/>
  <c r="AZ453" i="3"/>
  <c r="AZ488" i="3"/>
  <c r="AZ212" i="3"/>
  <c r="AZ400" i="3"/>
  <c r="AZ412" i="3"/>
  <c r="AZ486" i="3"/>
  <c r="AZ385" i="3"/>
  <c r="AZ213" i="3"/>
  <c r="AZ231" i="3"/>
  <c r="S9" i="34"/>
  <c r="AA39" i="37"/>
  <c r="AB12" i="36"/>
  <c r="S34" i="35"/>
  <c r="W40" i="39"/>
  <c r="G566" i="3"/>
  <c r="AZ432" i="3"/>
  <c r="AZ445" i="3"/>
  <c r="AZ461" i="3"/>
  <c r="AZ480" i="3"/>
  <c r="C30" i="9"/>
  <c r="C24" i="9"/>
  <c r="BL14" i="3"/>
  <c r="BA249" i="3"/>
  <c r="AZ249" i="3" s="1"/>
  <c r="AZ250" i="3"/>
  <c r="AZ262" i="3"/>
  <c r="AZ267" i="3"/>
  <c r="AZ270" i="3"/>
  <c r="AZ301" i="3"/>
  <c r="AZ302" i="3"/>
  <c r="BA117" i="3"/>
  <c r="AZ117" i="3" s="1"/>
  <c r="AZ118" i="3"/>
  <c r="AZ125" i="3"/>
  <c r="AZ126" i="3"/>
  <c r="BA136" i="3"/>
  <c r="AZ136" i="3" s="1"/>
  <c r="BA14" i="3"/>
  <c r="AZ14" i="3" s="1"/>
  <c r="BA221" i="3"/>
  <c r="AZ221" i="3" s="1"/>
  <c r="BL226" i="3"/>
  <c r="BA228" i="3"/>
  <c r="AZ228" i="3" s="1"/>
  <c r="BA229" i="3"/>
  <c r="AZ229" i="3" s="1"/>
  <c r="BL235" i="3"/>
  <c r="AZ235" i="3" s="1"/>
  <c r="BA241" i="3"/>
  <c r="AZ241" i="3" s="1"/>
  <c r="AZ242" i="3"/>
  <c r="BA247" i="3"/>
  <c r="AZ247" i="3" s="1"/>
  <c r="AZ277" i="3"/>
  <c r="BA128" i="3"/>
  <c r="AZ128" i="3" s="1"/>
  <c r="AZ129" i="3"/>
  <c r="BL137" i="3"/>
  <c r="AZ137" i="3" s="1"/>
  <c r="BL220" i="3"/>
  <c r="AZ220" i="3" s="1"/>
  <c r="G224" i="3"/>
  <c r="BA225" i="3"/>
  <c r="AZ225" i="3" s="1"/>
  <c r="BL227" i="3"/>
  <c r="AZ227" i="3" s="1"/>
  <c r="BA233" i="3"/>
  <c r="AZ233" i="3" s="1"/>
  <c r="BA239" i="3"/>
  <c r="AZ239" i="3" s="1"/>
  <c r="BA244" i="3"/>
  <c r="AZ244" i="3" s="1"/>
  <c r="AZ246" i="3"/>
  <c r="AZ165" i="3"/>
  <c r="AZ181" i="3"/>
  <c r="AZ197" i="3"/>
  <c r="AZ149" i="3"/>
  <c r="G159" i="3"/>
  <c r="BA150" i="3"/>
  <c r="AZ150" i="3" s="1"/>
  <c r="AZ173" i="3"/>
  <c r="AZ189" i="3"/>
  <c r="AZ19" i="3"/>
  <c r="AZ48" i="3"/>
  <c r="AZ62" i="3"/>
  <c r="BL143" i="3"/>
  <c r="AZ143" i="3" s="1"/>
  <c r="BL146" i="3"/>
  <c r="AZ146" i="3" s="1"/>
  <c r="BA153" i="3"/>
  <c r="AZ153" i="3" s="1"/>
  <c r="BA158" i="3"/>
  <c r="AZ158" i="3" s="1"/>
  <c r="AZ201" i="3"/>
  <c r="AZ207" i="3"/>
  <c r="AZ22" i="3"/>
  <c r="BA27" i="3"/>
  <c r="AZ27" i="3" s="1"/>
  <c r="BA28" i="3"/>
  <c r="AZ28" i="3" s="1"/>
  <c r="BA29" i="3"/>
  <c r="AZ29" i="3" s="1"/>
  <c r="BL31" i="3"/>
  <c r="AZ31" i="3" s="1"/>
  <c r="BL35" i="3"/>
  <c r="BL49" i="3"/>
  <c r="BL54" i="3"/>
  <c r="AZ54" i="3" s="1"/>
  <c r="BA56" i="3"/>
  <c r="AZ56" i="3" s="1"/>
  <c r="BL58" i="3"/>
  <c r="AZ58" i="3" s="1"/>
  <c r="BA60" i="3"/>
  <c r="AZ60" i="3" s="1"/>
  <c r="BA61" i="3"/>
  <c r="AZ61" i="3" s="1"/>
  <c r="BL66" i="3"/>
  <c r="AZ66" i="3" s="1"/>
  <c r="BL71" i="3"/>
  <c r="AZ71" i="3" s="1"/>
  <c r="BL84" i="3"/>
  <c r="BL86" i="3"/>
  <c r="AZ86" i="3" s="1"/>
  <c r="BL95" i="3"/>
  <c r="BL101" i="3"/>
  <c r="AZ101" i="3" s="1"/>
  <c r="BA108" i="3"/>
  <c r="AZ108" i="3" s="1"/>
  <c r="AZ112" i="3"/>
  <c r="AZ35" i="3"/>
  <c r="AZ49" i="3"/>
  <c r="AZ23" i="3"/>
  <c r="AZ26" i="3"/>
  <c r="AZ41" i="3"/>
  <c r="AZ46" i="3"/>
  <c r="AZ68" i="3"/>
  <c r="AZ73" i="3"/>
  <c r="AZ88" i="3"/>
  <c r="AZ103" i="3"/>
  <c r="S12" i="1"/>
  <c r="AR12" i="1" s="1"/>
  <c r="R12" i="1"/>
  <c r="B12" i="1"/>
  <c r="E12" i="1" s="1"/>
  <c r="K12" i="1"/>
  <c r="M12" i="1" s="1"/>
  <c r="O12" i="1" s="1"/>
  <c r="P12" i="1" s="1"/>
  <c r="BL30" i="3"/>
  <c r="AZ30" i="3" s="1"/>
  <c r="BA36" i="3"/>
  <c r="AZ36" i="3" s="1"/>
  <c r="BA37" i="3"/>
  <c r="AZ37" i="3" s="1"/>
  <c r="BL39" i="3"/>
  <c r="AZ39" i="3" s="1"/>
  <c r="BL43" i="3"/>
  <c r="AZ43" i="3" s="1"/>
  <c r="BL57" i="3"/>
  <c r="AZ57" i="3" s="1"/>
  <c r="BL62" i="3"/>
  <c r="BL63" i="3"/>
  <c r="AZ63" i="3" s="1"/>
  <c r="BA79" i="3"/>
  <c r="AZ79" i="3" s="1"/>
  <c r="AZ80" i="3"/>
  <c r="BA82" i="3"/>
  <c r="AZ82" i="3" s="1"/>
  <c r="AZ84" i="3"/>
  <c r="BA90" i="3"/>
  <c r="AZ90" i="3" s="1"/>
  <c r="AZ91" i="3"/>
  <c r="BA93" i="3"/>
  <c r="AZ93" i="3" s="1"/>
  <c r="AZ95" i="3"/>
  <c r="BL98" i="3"/>
  <c r="AZ98" i="3" s="1"/>
  <c r="BL104" i="3"/>
  <c r="AZ104" i="3" s="1"/>
  <c r="BA110" i="3"/>
  <c r="AZ110" i="3" s="1"/>
  <c r="AZ111" i="3"/>
  <c r="D1" i="66"/>
  <c r="E10" i="66" s="1"/>
  <c r="I21" i="66"/>
  <c r="S11" i="1"/>
  <c r="AR11" i="1" s="1"/>
  <c r="R11" i="1"/>
  <c r="J51" i="67"/>
  <c r="C42" i="1"/>
  <c r="C77" i="9" s="1"/>
  <c r="C32" i="66"/>
  <c r="E26" i="66" s="1"/>
  <c r="S10" i="1"/>
  <c r="AQ10" i="1" s="1"/>
  <c r="R10" i="1"/>
  <c r="S13" i="1"/>
  <c r="AR13" i="1" s="1"/>
  <c r="R13" i="1"/>
  <c r="S9" i="1"/>
  <c r="T9" i="1" s="1"/>
  <c r="R9" i="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K20" i="6" s="1"/>
  <c r="S7" i="1" s="1"/>
  <c r="E10" i="6"/>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E30"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6" i="67"/>
  <c r="M28" i="15"/>
  <c r="M26" i="15"/>
  <c r="M24" i="67"/>
  <c r="M24" i="15"/>
  <c r="F43" i="67"/>
  <c r="F26" i="67"/>
  <c r="M9" i="67"/>
  <c r="F6" i="78"/>
  <c r="F40" i="15"/>
  <c r="F7" i="83"/>
  <c r="J15" i="78"/>
  <c r="M6" i="15"/>
  <c r="F13" i="67"/>
  <c r="F36" i="78"/>
  <c r="M9" i="15"/>
  <c r="G1" i="73"/>
  <c r="M28" i="78"/>
  <c r="M24" i="78"/>
  <c r="F6" i="15"/>
  <c r="M8" i="78"/>
  <c r="M23" i="67"/>
  <c r="F38" i="78"/>
  <c r="M28" i="67"/>
  <c r="F36" i="15"/>
  <c r="M22" i="78"/>
  <c r="F8" i="78"/>
  <c r="F9" i="15"/>
  <c r="M29" i="78"/>
  <c r="F36" i="67"/>
  <c r="F43" i="83"/>
  <c r="L48" i="78"/>
  <c r="M26" i="78"/>
  <c r="F13" i="15"/>
  <c r="M29" i="67"/>
  <c r="F7" i="15"/>
  <c r="F8" i="67"/>
  <c r="F37" i="78"/>
  <c r="F16" i="78"/>
  <c r="F8" i="15"/>
  <c r="F42" i="15"/>
  <c r="F26" i="78"/>
  <c r="M29" i="83"/>
  <c r="F38" i="67"/>
  <c r="M8" i="67"/>
  <c r="F9" i="78"/>
  <c r="F7" i="67"/>
  <c r="L48" i="67"/>
  <c r="L47" i="67"/>
  <c r="F37" i="67"/>
  <c r="M22" i="15"/>
  <c r="F37" i="15"/>
  <c r="L47" i="78"/>
  <c r="F43" i="15"/>
  <c r="F16" i="67"/>
  <c r="F7" i="78"/>
  <c r="F16" i="15"/>
  <c r="F6" i="67"/>
  <c r="F42" i="78"/>
  <c r="F42" i="67"/>
  <c r="L47" i="15"/>
  <c r="C76" i="15"/>
  <c r="J15" i="67"/>
  <c r="F43" i="78"/>
  <c r="M29" i="15"/>
  <c r="F40" i="67"/>
  <c r="L48" i="15"/>
  <c r="M6" i="78"/>
  <c r="C76" i="78"/>
  <c r="F40" i="78"/>
  <c r="M8" i="15"/>
  <c r="M23" i="15"/>
  <c r="J15" i="15"/>
  <c r="F13" i="78"/>
  <c r="M23" i="78"/>
  <c r="F26" i="15"/>
  <c r="M27" i="78"/>
  <c r="M22" i="67"/>
  <c r="M26" i="67"/>
  <c r="C76" i="67"/>
  <c r="F9" i="67"/>
  <c r="M9" i="78"/>
  <c r="F38" i="15"/>
  <c r="AA44" i="33" l="1"/>
  <c r="AQ13" i="1"/>
  <c r="Q74" i="83"/>
  <c r="Q61" i="83"/>
  <c r="F1" i="83"/>
  <c r="Q52" i="83"/>
  <c r="Q66" i="83"/>
  <c r="Q57" i="83"/>
  <c r="Q60" i="83"/>
  <c r="Q73" i="83"/>
  <c r="F50" i="83"/>
  <c r="C49" i="83" s="1"/>
  <c r="C48" i="83" s="1"/>
  <c r="M7" i="83"/>
  <c r="J6" i="83" s="1"/>
  <c r="J5" i="83" s="1"/>
  <c r="C6" i="83"/>
  <c r="C10" i="83"/>
  <c r="F71" i="83"/>
  <c r="T13" i="1"/>
  <c r="AZ13" i="3"/>
  <c r="W15" i="34"/>
  <c r="F53" i="9"/>
  <c r="F54" i="79"/>
  <c r="F53" i="79"/>
  <c r="F52" i="79"/>
  <c r="D68" i="79"/>
  <c r="F32" i="78"/>
  <c r="F60" i="78" s="1"/>
  <c r="F28" i="78"/>
  <c r="C28" i="78" s="1"/>
  <c r="M18" i="78"/>
  <c r="T12" i="1"/>
  <c r="AQ12" i="1"/>
  <c r="Q71" i="78"/>
  <c r="F64" i="78"/>
  <c r="F51" i="78"/>
  <c r="J53" i="78"/>
  <c r="J57" i="78"/>
  <c r="J55" i="78" s="1"/>
  <c r="J58" i="78" s="1"/>
  <c r="Q50" i="78" s="1"/>
  <c r="L56" i="78"/>
  <c r="K53" i="78"/>
  <c r="F65" i="78"/>
  <c r="F68" i="78"/>
  <c r="L59" i="78"/>
  <c r="L58" i="78"/>
  <c r="F66" i="78"/>
  <c r="C27" i="78"/>
  <c r="F71" i="78"/>
  <c r="C6" i="78"/>
  <c r="F50" i="78"/>
  <c r="M7" i="78"/>
  <c r="C10" i="78"/>
  <c r="AA11" i="34"/>
  <c r="C31" i="12"/>
  <c r="F28" i="15"/>
  <c r="T10" i="1"/>
  <c r="D117" i="43"/>
  <c r="E117" i="43" s="1"/>
  <c r="F117" i="43" s="1"/>
  <c r="G117" i="43" s="1"/>
  <c r="H117" i="43" s="1"/>
  <c r="AR10" i="1"/>
  <c r="AQ9" i="1"/>
  <c r="E56" i="40"/>
  <c r="AR9" i="1"/>
  <c r="E16" i="6"/>
  <c r="T11" i="1"/>
  <c r="D9" i="69"/>
  <c r="C9" i="69" s="1"/>
  <c r="AQ11" i="1"/>
  <c r="D19" i="12"/>
  <c r="C19" i="12" s="1"/>
  <c r="E59" i="40"/>
  <c r="C4" i="4"/>
  <c r="B4" i="62" s="1"/>
  <c r="E4" i="4"/>
  <c r="B5" i="62" s="1"/>
  <c r="P24" i="43"/>
  <c r="B66" i="40" s="1"/>
  <c r="C28" i="15"/>
  <c r="E69" i="3"/>
  <c r="E183" i="3"/>
  <c r="E172" i="3"/>
  <c r="E213" i="3"/>
  <c r="E260" i="3"/>
  <c r="E361" i="3"/>
  <c r="E445" i="3"/>
  <c r="E17" i="3"/>
  <c r="E550" i="3"/>
  <c r="E503" i="3"/>
  <c r="E535" i="3"/>
  <c r="E302" i="3"/>
  <c r="E237" i="3"/>
  <c r="E114" i="3"/>
  <c r="E261" i="3"/>
  <c r="E278" i="3"/>
  <c r="E304" i="3"/>
  <c r="E415" i="3"/>
  <c r="E528" i="3"/>
  <c r="E563" i="3"/>
  <c r="E565" i="3"/>
  <c r="E395" i="3"/>
  <c r="E268" i="3"/>
  <c r="E153" i="3"/>
  <c r="E282" i="3"/>
  <c r="E305" i="3"/>
  <c r="E322" i="3"/>
  <c r="E426" i="3"/>
  <c r="N6" i="3"/>
  <c r="E508" i="3"/>
  <c r="AJ6" i="3"/>
  <c r="E328" i="3"/>
  <c r="E53" i="3"/>
  <c r="E125" i="3"/>
  <c r="E175" i="3"/>
  <c r="E217" i="3"/>
  <c r="E319" i="3"/>
  <c r="E366" i="3"/>
  <c r="E530" i="3"/>
  <c r="E526" i="3"/>
  <c r="E501" i="3"/>
  <c r="E553" i="3"/>
  <c r="E343" i="3"/>
  <c r="C16" i="43"/>
  <c r="C48" i="69"/>
  <c r="C30" i="69"/>
  <c r="D9" i="68"/>
  <c r="C9" i="68" s="1"/>
  <c r="AA39" i="40"/>
  <c r="S39" i="40"/>
  <c r="AB34" i="36"/>
  <c r="U34" i="36"/>
  <c r="E58" i="40"/>
  <c r="E63" i="39"/>
  <c r="E66" i="39" s="1"/>
  <c r="W12" i="33"/>
  <c r="AC12" i="33"/>
  <c r="C74" i="9"/>
  <c r="C24" i="12"/>
  <c r="AC39" i="40"/>
  <c r="W39" i="40"/>
  <c r="AC43" i="39"/>
  <c r="W43" i="39"/>
  <c r="AC12" i="40"/>
  <c r="W12" i="40"/>
  <c r="S12" i="33"/>
  <c r="AA12" i="33"/>
  <c r="W45" i="39"/>
  <c r="AC45" i="39"/>
  <c r="AZ507" i="3"/>
  <c r="C30" i="68"/>
  <c r="C48" i="68"/>
  <c r="S12" i="40"/>
  <c r="AA12" i="40"/>
  <c r="W34" i="36"/>
  <c r="AC34" i="36"/>
  <c r="S12" i="21"/>
  <c r="AA12" i="21"/>
  <c r="AB45" i="39"/>
  <c r="U45" i="39"/>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K16" i="1"/>
  <c r="AB45" i="21"/>
  <c r="AC33" i="21"/>
  <c r="W33" i="21"/>
  <c r="S33" i="21"/>
  <c r="AA33" i="21"/>
  <c r="W32" i="21"/>
  <c r="AC32" i="21"/>
  <c r="AB9" i="21"/>
  <c r="U9" i="21"/>
  <c r="AA32" i="21"/>
  <c r="S32" i="21"/>
  <c r="W9" i="21"/>
  <c r="AC9" i="21"/>
  <c r="AB32" i="21"/>
  <c r="U32" i="21"/>
  <c r="AA10" i="21"/>
  <c r="S10" i="21"/>
  <c r="F31" i="67"/>
  <c r="F31" i="15"/>
  <c r="F59" i="15"/>
  <c r="M17" i="67"/>
  <c r="F59" i="67"/>
  <c r="M17" i="15"/>
  <c r="C16" i="67"/>
  <c r="C14" i="83"/>
  <c r="C16" i="15"/>
  <c r="C17" i="15"/>
  <c r="C17" i="83"/>
  <c r="C14" i="78"/>
  <c r="C16" i="78"/>
  <c r="C16" i="83"/>
  <c r="C17" i="78"/>
  <c r="K27" i="6" l="1"/>
  <c r="C18" i="83"/>
  <c r="C15" i="83"/>
  <c r="C5" i="83"/>
  <c r="C32" i="83" s="1"/>
  <c r="C66" i="83"/>
  <c r="C60" i="83"/>
  <c r="J18" i="83"/>
  <c r="J24" i="83"/>
  <c r="J26" i="83"/>
  <c r="F24" i="78"/>
  <c r="F24" i="83"/>
  <c r="B71" i="72"/>
  <c r="B73" i="72"/>
  <c r="C49" i="78"/>
  <c r="C48" i="78" s="1"/>
  <c r="C66" i="78" s="1"/>
  <c r="C5" i="78"/>
  <c r="C38" i="78" s="1"/>
  <c r="M21" i="6"/>
  <c r="I21" i="6" s="1"/>
  <c r="S21" i="6" s="1"/>
  <c r="S8" i="1"/>
  <c r="Q52" i="78"/>
  <c r="F1" i="78"/>
  <c r="Q73" i="78"/>
  <c r="Q60" i="78"/>
  <c r="Q74" i="78"/>
  <c r="Q61" i="78"/>
  <c r="E6" i="70"/>
  <c r="J6" i="78"/>
  <c r="J10" i="78"/>
  <c r="C18" i="78"/>
  <c r="C15" i="78"/>
  <c r="O7" i="1"/>
  <c r="C24" i="78"/>
  <c r="M19" i="6"/>
  <c r="AR6" i="1"/>
  <c r="K4" i="4"/>
  <c r="B46" i="48" s="1"/>
  <c r="B14" i="74"/>
  <c r="B1" i="74" s="1"/>
  <c r="D3" i="21"/>
  <c r="D3" i="34"/>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79" s="1"/>
  <c r="M27" i="6"/>
  <c r="H10" i="39"/>
  <c r="J10" i="39"/>
  <c r="Q61" i="15"/>
  <c r="C49" i="15"/>
  <c r="Q60" i="15"/>
  <c r="M16" i="1"/>
  <c r="N16" i="1" s="1"/>
  <c r="Q60" i="67"/>
  <c r="Q73" i="67"/>
  <c r="F27" i="11"/>
  <c r="Q61" i="67"/>
  <c r="Q74" i="67"/>
  <c r="C49" i="67"/>
  <c r="F1" i="67"/>
  <c r="Q52" i="67"/>
  <c r="C38" i="83" l="1"/>
  <c r="C19" i="83"/>
  <c r="C20" i="83" s="1"/>
  <c r="C26" i="83" s="1"/>
  <c r="C24" i="83"/>
  <c r="C23" i="83"/>
  <c r="B4" i="72"/>
  <c r="C32" i="78"/>
  <c r="C19" i="78"/>
  <c r="C20" i="78" s="1"/>
  <c r="C26" i="78" s="1"/>
  <c r="C60" i="78"/>
  <c r="T8" i="1"/>
  <c r="AR8" i="1"/>
  <c r="AQ8" i="1"/>
  <c r="J5"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D19" i="6"/>
  <c r="M19" i="79" s="1"/>
  <c r="C118" i="79" s="1"/>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M19" i="9" l="1"/>
  <c r="C118" i="9" s="1"/>
  <c r="C29" i="83"/>
  <c r="V49" i="34"/>
  <c r="I49" i="34" s="1"/>
  <c r="I53" i="34" s="1"/>
  <c r="J53" i="34" s="1"/>
  <c r="C23" i="78"/>
  <c r="C29" i="78" s="1"/>
  <c r="J59" i="78" s="1"/>
  <c r="J60" i="78" s="1"/>
  <c r="Q48" i="78" s="1"/>
  <c r="C36" i="11"/>
  <c r="R7" i="1"/>
  <c r="J26" i="78"/>
  <c r="J24" i="78"/>
  <c r="J18" i="78"/>
  <c r="AA7" i="34"/>
  <c r="R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C57" i="83" l="1"/>
  <c r="C33" i="83"/>
  <c r="Q49" i="83"/>
  <c r="C36" i="83"/>
  <c r="J19" i="83"/>
  <c r="J14" i="83"/>
  <c r="C13" i="83"/>
  <c r="C33" i="78"/>
  <c r="J19" i="78"/>
  <c r="C13" i="78"/>
  <c r="C37" i="78" s="1"/>
  <c r="J14" i="78"/>
  <c r="J13" i="78" s="1"/>
  <c r="J23" i="78" s="1"/>
  <c r="C36" i="78"/>
  <c r="C57" i="78"/>
  <c r="Q49" i="78"/>
  <c r="R50" i="34"/>
  <c r="C50"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F35" i="83"/>
  <c r="M21" i="67"/>
  <c r="F35" i="15"/>
  <c r="M21" i="15"/>
  <c r="F35" i="78"/>
  <c r="M21" i="78"/>
  <c r="M21" i="83"/>
  <c r="F35" i="67"/>
  <c r="F63" i="83" l="1"/>
  <c r="C62" i="83" s="1"/>
  <c r="C34" i="83"/>
  <c r="J20" i="83"/>
  <c r="J17" i="83" s="1"/>
  <c r="J22" i="83"/>
  <c r="J13" i="83"/>
  <c r="J23" i="83" s="1"/>
  <c r="C31" i="83"/>
  <c r="C75" i="83"/>
  <c r="Q70" i="83"/>
  <c r="C56" i="83"/>
  <c r="C65" i="83" s="1"/>
  <c r="C37" i="83"/>
  <c r="C61" i="83"/>
  <c r="C64" i="83"/>
  <c r="C49" i="34"/>
  <c r="Q70" i="78"/>
  <c r="J22" i="78"/>
  <c r="C75" i="78"/>
  <c r="C61" i="78"/>
  <c r="C64" i="78"/>
  <c r="C56" i="78"/>
  <c r="C65" i="78" s="1"/>
  <c r="I5" i="6"/>
  <c r="J20" i="78"/>
  <c r="J17" i="78" s="1"/>
  <c r="F63" i="78"/>
  <c r="C62" i="78" s="1"/>
  <c r="C34" i="78"/>
  <c r="C31" i="78" s="1"/>
  <c r="C30" i="78" s="1"/>
  <c r="C39" i="78"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9" i="83" l="1"/>
  <c r="C58" i="83" s="1"/>
  <c r="C67" i="83" s="1"/>
  <c r="J16" i="83"/>
  <c r="J25" i="83" s="1"/>
  <c r="C30" i="83"/>
  <c r="C39" i="83" s="1"/>
  <c r="C80" i="83" s="1"/>
  <c r="C79" i="83" s="1"/>
  <c r="C59" i="78"/>
  <c r="C58" i="78" s="1"/>
  <c r="C67" i="78" s="1"/>
  <c r="J16" i="78"/>
  <c r="J25" i="78" s="1"/>
  <c r="Q69" i="78"/>
  <c r="Q68" i="78" s="1"/>
  <c r="C80" i="78"/>
  <c r="C79" i="78"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Q69" i="83" l="1"/>
  <c r="Q68" i="83" s="1"/>
  <c r="Q67" i="78"/>
  <c r="L57" i="78"/>
  <c r="L60" i="78" s="1"/>
  <c r="C41" i="68"/>
  <c r="C46" i="68"/>
  <c r="C45" i="68" s="1"/>
  <c r="K63" i="40"/>
  <c r="J65" i="40"/>
  <c r="K70" i="39"/>
  <c r="C56" i="11"/>
  <c r="C57" i="11" s="1"/>
  <c r="L51" i="83"/>
  <c r="Q67" i="83" l="1"/>
  <c r="Q66" i="78"/>
  <c r="Q57" i="78"/>
  <c r="L46" i="78"/>
  <c r="C49" i="68"/>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83"/>
  <c r="F41" i="15"/>
  <c r="F41" i="78"/>
  <c r="M27" i="15"/>
  <c r="L51" i="15"/>
  <c r="M27" i="67"/>
  <c r="J29" i="83" l="1"/>
  <c r="F69" i="83"/>
  <c r="C68" i="83" s="1"/>
  <c r="C40" i="83"/>
  <c r="Q47" i="83" s="1"/>
  <c r="Q53" i="83" s="1"/>
  <c r="C71" i="83"/>
  <c r="Q67" i="15"/>
  <c r="F69" i="78"/>
  <c r="C68" i="78" s="1"/>
  <c r="C71" i="78" s="1"/>
  <c r="J29" i="78"/>
  <c r="C40" i="78"/>
  <c r="J26" i="15"/>
  <c r="J29" i="15" s="1"/>
  <c r="J26" i="67"/>
  <c r="J29" i="67" s="1"/>
  <c r="C58" i="15"/>
  <c r="C67" i="15" s="1"/>
  <c r="F69" i="15"/>
  <c r="C40" i="15"/>
  <c r="C43" i="15" s="1"/>
  <c r="L46" i="15"/>
  <c r="Q57" i="15"/>
  <c r="Q66" i="15"/>
  <c r="F69" i="67"/>
  <c r="C68" i="67" s="1"/>
  <c r="C71" i="67" s="1"/>
  <c r="C40" i="67"/>
  <c r="C83" i="67" s="1"/>
  <c r="C82" i="67" s="1"/>
  <c r="C45" i="83" l="1"/>
  <c r="C46" i="83" s="1"/>
  <c r="C83" i="83"/>
  <c r="C82" i="83" s="1"/>
  <c r="Q56" i="83"/>
  <c r="Q62" i="83" s="1"/>
  <c r="C43" i="83"/>
  <c r="D2" i="83"/>
  <c r="B2" i="83" s="1"/>
  <c r="Q65" i="83"/>
  <c r="Q75" i="83" s="1"/>
  <c r="Q47" i="78"/>
  <c r="Q53" i="78" s="1"/>
  <c r="C43" i="78"/>
  <c r="Q65" i="78"/>
  <c r="Q75" i="78" s="1"/>
  <c r="C46" i="78"/>
  <c r="B2" i="78"/>
  <c r="B3" i="78" s="1"/>
  <c r="Q56" i="78"/>
  <c r="Q62" i="78" s="1"/>
  <c r="C83" i="78"/>
  <c r="C82" i="78"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8" i="1"/>
  <c r="D19" i="79"/>
  <c r="AO6" i="1"/>
  <c r="B3" i="83" l="1"/>
  <c r="D21" i="79"/>
  <c r="D102" i="79"/>
  <c r="B3" i="15"/>
  <c r="C46" i="15"/>
  <c r="B2" i="69"/>
  <c r="B3" i="69" s="1"/>
  <c r="B8" i="70"/>
  <c r="B6" i="70"/>
  <c r="B2" i="68"/>
  <c r="B3" i="67"/>
  <c r="B7" i="70"/>
  <c r="D2" i="21"/>
  <c r="D2" i="37"/>
  <c r="E2" i="68"/>
  <c r="D2" i="36"/>
  <c r="D2" i="34"/>
  <c r="D2" i="35"/>
  <c r="D2" i="33"/>
  <c r="D20" i="79"/>
  <c r="D103" i="79" l="1"/>
  <c r="B2" i="36"/>
  <c r="B3" i="36" s="1"/>
  <c r="B2" i="35"/>
  <c r="B3" i="35" s="1"/>
  <c r="B2" i="37"/>
  <c r="B3" i="37" s="1"/>
  <c r="B2" i="34"/>
  <c r="B2" i="21"/>
  <c r="B3" i="21" s="1"/>
  <c r="B2" i="70"/>
  <c r="B3" i="70" s="1"/>
  <c r="B3" i="68"/>
  <c r="D20" i="9"/>
  <c r="C19" i="9"/>
  <c r="D19" i="9"/>
  <c r="C21" i="9" l="1"/>
  <c r="C102" i="9"/>
  <c r="B3" i="34"/>
  <c r="G19" i="9"/>
  <c r="D102" i="9"/>
  <c r="D22" i="9"/>
  <c r="D21" i="9"/>
  <c r="D103" i="9"/>
  <c r="C20" i="9"/>
  <c r="G20" i="9" l="1"/>
  <c r="C103" i="9"/>
  <c r="C32" i="9"/>
  <c r="G21" i="9"/>
  <c r="D34" i="9"/>
  <c r="R28" i="31" l="1"/>
  <c r="S28" i="31" s="1"/>
  <c r="R24" i="31"/>
  <c r="R27" i="31"/>
  <c r="S27" i="31" s="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79"/>
  <c r="C102" i="79" l="1"/>
  <c r="C21" i="79"/>
  <c r="D22" i="79"/>
  <c r="G19" i="79"/>
  <c r="B3" i="33"/>
  <c r="G52" i="39"/>
  <c r="H52" i="39" s="1"/>
  <c r="G51" i="39"/>
  <c r="H51" i="39" s="1"/>
  <c r="I51" i="39"/>
  <c r="J51" i="39" s="1"/>
  <c r="W7" i="39"/>
  <c r="U7" i="39"/>
  <c r="AA7" i="39"/>
  <c r="R47" i="39" s="1"/>
  <c r="C20" i="79"/>
  <c r="C103" i="79" l="1"/>
  <c r="G20" i="79"/>
  <c r="G21" i="79"/>
  <c r="C32" i="79"/>
  <c r="R48" i="39"/>
  <c r="E47" i="39"/>
  <c r="C35" i="79" l="1"/>
  <c r="F118" i="79" s="1"/>
  <c r="H118" i="79"/>
  <c r="C48" i="39"/>
  <c r="C47" i="39"/>
  <c r="E51" i="39"/>
  <c r="F51" i="39" s="1"/>
  <c r="E52" i="39"/>
  <c r="F52" i="39" s="1"/>
  <c r="I52" i="39"/>
  <c r="J52" i="39" s="1"/>
  <c r="C34" i="79" l="1"/>
  <c r="D118" i="79" s="1"/>
  <c r="D119" i="79" s="1"/>
  <c r="F119" i="79"/>
  <c r="G118" i="79"/>
  <c r="I118" i="79"/>
  <c r="H101" i="79"/>
  <c r="C104" i="79"/>
  <c r="H119" i="79"/>
  <c r="B61" i="39"/>
  <c r="F61" i="39" s="1"/>
  <c r="B60" i="39"/>
  <c r="F60" i="39" s="1"/>
  <c r="B56" i="39"/>
  <c r="F56" i="39" s="1"/>
  <c r="B58" i="39"/>
  <c r="F58" i="39" s="1"/>
  <c r="B59" i="39"/>
  <c r="F59" i="39" s="1"/>
  <c r="B64" i="39"/>
  <c r="F64" i="39" s="1"/>
  <c r="B65" i="39"/>
  <c r="F65" i="39" s="1"/>
  <c r="B57" i="39"/>
  <c r="F57" i="39" s="1"/>
  <c r="B63" i="39"/>
  <c r="F63" i="39" s="1"/>
  <c r="B62" i="39"/>
  <c r="F62" i="39" s="1"/>
  <c r="H107" i="79" l="1"/>
  <c r="M48" i="79"/>
  <c r="D45" i="79"/>
  <c r="E118" i="79"/>
  <c r="C105" i="79"/>
  <c r="H102" i="79"/>
  <c r="F66" i="39"/>
  <c r="B2" i="39" s="1"/>
  <c r="B3" i="39" s="1"/>
  <c r="D35" i="9"/>
  <c r="D53" i="79" l="1"/>
  <c r="C78" i="79"/>
  <c r="C73" i="79" s="1"/>
  <c r="C72" i="79"/>
  <c r="C85" i="79"/>
  <c r="C64" i="79"/>
  <c r="C63" i="79" s="1"/>
  <c r="C67" i="79" s="1"/>
  <c r="C68" i="79" s="1"/>
  <c r="D54" i="79" s="1"/>
  <c r="D55" i="79"/>
  <c r="M53" i="79" s="1"/>
  <c r="C93" i="79"/>
  <c r="C86" i="79" s="1"/>
  <c r="D52" i="79"/>
  <c r="H108" i="79"/>
  <c r="M49" i="79"/>
  <c r="D122" i="79"/>
  <c r="D123" i="79" s="1"/>
  <c r="C35" i="9"/>
  <c r="C79" i="79" l="1"/>
  <c r="C80" i="79" s="1"/>
  <c r="E80" i="79" s="1"/>
  <c r="E81" i="79" s="1"/>
  <c r="C95" i="79"/>
  <c r="L68" i="79"/>
  <c r="M68" i="79" s="1"/>
  <c r="L67" i="79"/>
  <c r="M67" i="79" s="1"/>
  <c r="L65" i="79"/>
  <c r="M65" i="79" s="1"/>
  <c r="L66" i="79"/>
  <c r="M66" i="79" s="1"/>
  <c r="L63" i="79"/>
  <c r="M63" i="79" s="1"/>
  <c r="L64" i="79"/>
  <c r="M64" i="79" s="1"/>
  <c r="C34" i="9"/>
  <c r="C81" i="79" l="1"/>
  <c r="C96" i="79"/>
  <c r="E96" i="79" s="1"/>
  <c r="E97" i="79" s="1"/>
  <c r="M69" i="79"/>
  <c r="N69" i="79" s="1"/>
  <c r="H112" i="9"/>
  <c r="D21" i="53" s="1"/>
  <c r="B39" i="72" s="1"/>
  <c r="H111" i="9"/>
  <c r="D126" i="9" s="1"/>
  <c r="D59" i="9"/>
  <c r="M55" i="9" s="1"/>
  <c r="C97" i="79" l="1"/>
  <c r="D58" i="79" s="1"/>
  <c r="D56" i="79" s="1"/>
  <c r="M54" i="79" s="1"/>
  <c r="N57" i="79" s="1"/>
  <c r="I14" i="74"/>
  <c r="B8" i="74" s="1"/>
  <c r="D127" i="9"/>
  <c r="D13" i="52" s="1"/>
  <c r="D12" i="52"/>
  <c r="D19" i="53"/>
  <c r="F118" i="9"/>
  <c r="G118" i="9" s="1"/>
  <c r="G4" i="52" s="1"/>
  <c r="D118" i="9"/>
  <c r="D119" i="9" s="1"/>
  <c r="D5" i="52" s="1"/>
  <c r="H118" i="9"/>
  <c r="C104" i="9" s="1"/>
  <c r="B49" i="72" l="1"/>
  <c r="B52" i="72"/>
  <c r="P57" i="79"/>
  <c r="N58" i="79"/>
  <c r="N59" i="79"/>
  <c r="D20" i="53"/>
  <c r="B40" i="72" s="1"/>
  <c r="B38" i="72"/>
  <c r="D8" i="74"/>
  <c r="C8" i="74"/>
  <c r="H101" i="9"/>
  <c r="M48" i="9" s="1"/>
  <c r="I118" i="9"/>
  <c r="C105" i="9" s="1"/>
  <c r="H119" i="9"/>
  <c r="H5" i="52" s="1"/>
  <c r="F4" i="52"/>
  <c r="F119" i="9"/>
  <c r="F5" i="52" s="1"/>
  <c r="D14" i="74"/>
  <c r="H4" i="52"/>
  <c r="D4" i="52"/>
  <c r="R26" i="31" l="1"/>
  <c r="S26" i="31" s="1"/>
  <c r="R25" i="31"/>
  <c r="S25" i="31" s="1"/>
  <c r="S24" i="31"/>
  <c r="B53" i="72"/>
  <c r="B47" i="72"/>
  <c r="B51" i="72"/>
  <c r="H107" i="9"/>
  <c r="M49" i="9" s="1"/>
  <c r="L63" i="9" s="1"/>
  <c r="M63" i="9" s="1"/>
  <c r="N60" i="79"/>
  <c r="N61" i="79"/>
  <c r="D45" i="9"/>
  <c r="D53" i="9" s="1"/>
  <c r="I4" i="52"/>
  <c r="D5" i="53"/>
  <c r="H102" i="9"/>
  <c r="D7" i="53" s="1"/>
  <c r="E118" i="9"/>
  <c r="E4" i="52" s="1"/>
  <c r="E14" i="74"/>
  <c r="B5" i="74"/>
  <c r="F14" i="74"/>
  <c r="S22" i="31" l="1"/>
  <c r="R22" i="31" s="1"/>
  <c r="B21" i="31" s="1"/>
  <c r="B20" i="72"/>
  <c r="B48" i="72"/>
  <c r="B21" i="72"/>
  <c r="H108" i="9"/>
  <c r="D15" i="53" s="1"/>
  <c r="D13" i="53"/>
  <c r="L67" i="9"/>
  <c r="M67" i="9" s="1"/>
  <c r="L64" i="9"/>
  <c r="M64" i="9" s="1"/>
  <c r="L65" i="9"/>
  <c r="M65" i="9" s="1"/>
  <c r="L66" i="9"/>
  <c r="M66" i="9" s="1"/>
  <c r="L68" i="9"/>
  <c r="M68" i="9" s="1"/>
  <c r="D122" i="9"/>
  <c r="G14" i="74" s="1"/>
  <c r="B6" i="74" s="1"/>
  <c r="C93" i="9"/>
  <c r="C86" i="9" s="1"/>
  <c r="D52" i="9"/>
  <c r="C78" i="9"/>
  <c r="C73" i="9" s="1"/>
  <c r="C85" i="9"/>
  <c r="C72" i="9"/>
  <c r="D55" i="9"/>
  <c r="M53" i="9" s="1"/>
  <c r="C64" i="9"/>
  <c r="C63" i="9" s="1"/>
  <c r="D6" i="53"/>
  <c r="D5" i="74"/>
  <c r="C5" i="74"/>
  <c r="B20" i="31" l="1"/>
  <c r="B22" i="72"/>
  <c r="D14" i="53"/>
  <c r="B31" i="72"/>
  <c r="B30" i="72"/>
  <c r="D123" i="9"/>
  <c r="D9" i="52" s="1"/>
  <c r="D8" i="52"/>
  <c r="M69" i="9"/>
  <c r="N69" i="9" s="1"/>
  <c r="C95" i="9"/>
  <c r="C67" i="9"/>
  <c r="C68" i="9" s="1"/>
  <c r="D54" i="9" s="1"/>
  <c r="C79" i="9"/>
  <c r="D6" i="74"/>
  <c r="C6" i="74"/>
  <c r="B32" i="72" l="1"/>
  <c r="C96" i="9"/>
  <c r="E96" i="9" s="1"/>
  <c r="E97" i="9" s="1"/>
  <c r="C80" i="9"/>
  <c r="E80" i="9" s="1"/>
  <c r="E81" i="9" s="1"/>
  <c r="C97" i="9" l="1"/>
  <c r="D58" i="9" s="1"/>
  <c r="D56" i="9" s="1"/>
  <c r="M54" i="9" s="1"/>
  <c r="N57" i="9" s="1"/>
  <c r="P57" i="9" s="1"/>
  <c r="C81" i="9"/>
  <c r="N58"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<sst xmlns="http://schemas.openxmlformats.org/spreadsheetml/2006/main" count="9443" uniqueCount="3222">
  <si>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</si>
  <si>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</si>
  <si>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</si>
  <si>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</si>
  <si>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</si>
  <si>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</si>
  <si>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</si>
  <si>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</si>
  <si>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</si>
  <si>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</si>
  <si>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</si>
  <si>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</si>
  <si>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</si>
  <si>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</si>
  <si>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</si>
  <si>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</si>
  <si>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</si>
  <si>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</si>
  <si>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</si>
  <si>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</si>
  <si>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</si>
  <si>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</si>
  <si>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</si>
  <si>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</si>
  <si>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</si>
  <si>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</si>
  <si>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</si>
  <si>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</si>
  <si>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</si>
  <si>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</si>
  <si>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</si>
  <si>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</si>
  <si>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</si>
  <si>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</si>
  <si>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</si>
  <si>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</si>
  <si>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</si>
  <si>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</si>
  <si>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</si>
  <si>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</si>
  <si>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</si>
  <si>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</si>
  <si>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</si>
  <si>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</si>
  <si>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</si>
  <si>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</si>
  <si>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</si>
  <si>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</si>
  <si>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</si>
  <si>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</si>
  <si>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</si>
  <si>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</si>
  <si>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</si>
  <si>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</si>
  <si>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</si>
  <si>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</si>
  <si>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</si>
  <si>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</si>
  <si>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</si>
  <si>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</si>
  <si>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</si>
  <si>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</si>
  <si>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</si>
  <si>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</si>
  <si>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</si>
  <si>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</si>
  <si>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</si>
  <si>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</si>
  <si>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</si>
  <si>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</si>
  <si>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</si>
  <si>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</si>
  <si>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</si>
  <si>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</si>
  <si>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</si>
  <si>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</si>
  <si>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</si>
  <si>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</si>
  <si>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</si>
  <si>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</si>
  <si>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</si>
  <si>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</si>
  <si>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</si>
  <si>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</si>
  <si>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</si>
  <si>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</si>
  <si>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</si>
  <si>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</si>
  <si>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</si>
  <si>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</si>
  <si>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</si>
  <si>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</si>
  <si>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</si>
  <si>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</si>
  <si>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</si>
  <si>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</si>
  <si>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</si>
  <si>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</si>
  <si>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</si>
  <si>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</si>
  <si>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</si>
  <si>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</si>
  <si>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</si>
  <si>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</si>
  <si>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</si>
  <si>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</si>
  <si>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</si>
  <si>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</si>
  <si>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</si>
  <si>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</si>
  <si>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</si>
  <si>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</si>
  <si>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</si>
  <si>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</si>
  <si>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</si>
  <si>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</si>
  <si>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</si>
  <si>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</si>
  <si>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</si>
  <si>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</si>
  <si>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</si>
  <si>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</si>
  <si>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</si>
  <si>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</si>
  <si>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</si>
  <si>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</si>
  <si>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</si>
  <si>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</si>
  <si>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</si>
  <si>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</si>
  <si>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</si>
  <si>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</si>
  <si>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</si>
  <si>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</si>
  <si>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</si>
  <si>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</si>
  <si>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</si>
  <si>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</si>
  <si>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</si>
  <si>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</si>
  <si>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</si>
  <si>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</si>
  <si>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</si>
  <si>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</si>
  <si>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</si>
  <si>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</si>
  <si>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</si>
  <si>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</si>
  <si>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</si>
  <si>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</si>
  <si>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</si>
  <si>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</si>
  <si>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</si>
  <si>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</si>
  <si>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</si>
  <si>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</si>
  <si>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</si>
  <si>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</si>
  <si>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</si>
  <si>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</si>
  <si>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</si>
  <si>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</si>
  <si>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</si>
  <si>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</si>
  <si>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</si>
  <si>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</si>
  <si>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</si>
  <si>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</si>
  <si>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</si>
  <si>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</si>
  <si>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</si>
  <si>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</si>
  <si>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</si>
  <si>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</si>
  <si>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</si>
  <si>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</si>
  <si>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</si>
  <si>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</si>
  <si>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</si>
  <si>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</si>
  <si>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</si>
  <si>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</si>
  <si>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</si>
  <si>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</si>
  <si>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</si>
  <si>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</si>
  <si>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</si>
  <si>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</si>
  <si>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</si>
  <si>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</si>
  <si>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</si>
  <si>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</si>
  <si>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</si>
  <si>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</si>
  <si>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</si>
  <si>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</si>
  <si>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</si>
  <si>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</si>
  <si>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</si>
  <si>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</si>
  <si>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</si>
  <si>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</si>
  <si>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</si>
  <si>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</si>
  <si>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</si>
  <si>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</si>
  <si>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</si>
  <si>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</si>
  <si>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</si>
  <si>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</si>
  <si>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</si>
  <si>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</si>
  <si>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</si>
  <si>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</si>
  <si>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</si>
  <si>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</si>
  <si>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</si>
  <si>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</si>
  <si>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</si>
  <si>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</si>
  <si>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</si>
  <si>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</si>
  <si>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</si>
  <si>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</si>
  <si>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</si>
  <si>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</si>
  <si>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</si>
  <si>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</si>
  <si>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</si>
  <si>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</si>
  <si>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</si>
  <si>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</si>
  <si>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</si>
  <si>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</si>
  <si>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</si>
  <si>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</si>
  <si>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</si>
  <si>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</si>
  <si>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</si>
  <si>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</si>
  <si>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</si>
  <si>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</si>
  <si>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</si>
  <si>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</si>
  <si>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</si>
  <si>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</si>
  <si>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</si>
  <si>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</si>
  <si>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</si>
  <si>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</si>
  <si>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</si>
  <si>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</si>
  <si>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</si>
  <si>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</si>
  <si>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</si>
  <si>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</si>
  <si>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</si>
  <si>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</si>
  <si>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</si>
  <si>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</si>
  <si>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</si>
  <si>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</si>
  <si>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</si>
  <si>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</si>
  <si>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</si>
  <si>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</si>
  <si>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</si>
  <si>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</si>
  <si>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</si>
  <si>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</si>
  <si>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</si>
  <si>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</si>
  <si>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</si>
  <si>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</si>
  <si>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</si>
  <si>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</si>
  <si>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</si>
  <si>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</si>
  <si>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</si>
  <si>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</si>
  <si>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</si>
  <si>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</si>
  <si>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</si>
  <si>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</si>
  <si>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</si>
  <si>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</si>
  <si>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</si>
  <si>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</si>
  <si>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</si>
  <si>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</si>
  <si>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</si>
  <si>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</si>
  <si>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</si>
  <si>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</si>
  <si>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</si>
  <si>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</si>
  <si>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</si>
  <si>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</si>
  <si>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</si>
  <si>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</si>
  <si>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</si>
  <si>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</si>
  <si>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</si>
  <si>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</si>
  <si>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</si>
  <si>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</si>
  <si>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</si>
  <si>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</si>
  <si>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</si>
  <si>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</si>
  <si>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</si>
  <si>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</si>
  <si>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</si>
  <si>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</si>
  <si>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</si>
  <si>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</si>
  <si>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</si>
  <si>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</si>
  <si>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</si>
  <si>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</si>
  <si>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</si>
  <si>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</si>
  <si>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</si>
  <si>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</si>
  <si>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</si>
  <si>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</si>
  <si>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</si>
  <si>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</si>
  <si>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</si>
  <si>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</si>
  <si>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</si>
  <si>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</si>
  <si>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</si>
  <si>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</si>
  <si>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</si>
  <si>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</si>
  <si>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</si>
  <si>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</si>
  <si>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</si>
  <si>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</si>
  <si>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</si>
  <si>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</si>
  <si>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</si>
  <si>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</si>
  <si>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</si>
  <si>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</si>
  <si>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</si>
  <si>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</si>
  <si>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</si>
  <si>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</si>
  <si>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</si>
  <si>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</si>
  <si>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</si>
  <si>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</si>
  <si>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</si>
  <si>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</si>
  <si>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</si>
  <si>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</si>
  <si>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</si>
  <si>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</si>
  <si>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</si>
  <si>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</si>
  <si>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</si>
  <si>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</si>
  <si>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</si>
  <si>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</si>
  <si>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</si>
  <si>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</si>
  <si>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</si>
  <si>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</si>
  <si>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</si>
  <si>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</si>
  <si>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</si>
  <si>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</si>
  <si>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</si>
  <si>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</si>
  <si>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</si>
  <si>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</si>
  <si>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</si>
  <si>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</si>
  <si>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</si>
  <si>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</si>
  <si>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</si>
  <si>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</si>
  <si>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</si>
  <si>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</si>
  <si>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</si>
  <si>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</si>
  <si>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</si>
  <si>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</si>
  <si>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</si>
  <si>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</si>
  <si>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</si>
  <si>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</si>
  <si>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</si>
  <si>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</si>
  <si>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</si>
  <si>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</si>
  <si>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</si>
  <si>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</si>
  <si>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</si>
  <si>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</si>
  <si>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</si>
  <si>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</si>
  <si>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</si>
  <si>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</si>
  <si>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</si>
  <si>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</si>
  <si>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</si>
  <si>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</si>
  <si>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</si>
  <si>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</si>
  <si>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</si>
  <si>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</si>
  <si>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</si>
  <si>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</si>
  <si>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</si>
  <si>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</si>
  <si>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</si>
  <si>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</si>
  <si>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</si>
  <si>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</si>
  <si>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</si>
  <si>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</si>
  <si>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</si>
  <si>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</si>
  <si>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</si>
  <si>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</si>
  <si>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</si>
  <si>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</si>
  <si>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</si>
  <si>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</si>
  <si>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</si>
  <si>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</si>
  <si>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</si>
  <si>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</si>
  <si>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</si>
  <si>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</si>
  <si>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</si>
  <si>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</si>
  <si>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</si>
  <si>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</si>
  <si>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</si>
  <si>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</si>
  <si>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</si>
  <si>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</si>
  <si>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</si>
  <si>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</si>
  <si>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</si>
  <si>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</si>
  <si>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</si>
  <si>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</si>
  <si>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</si>
  <si>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</si>
  <si>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</si>
  <si>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</si>
  <si>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</si>
  <si>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</si>
  <si>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</si>
  <si>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</si>
  <si>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</si>
  <si>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</si>
  <si>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</si>
  <si>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</si>
  <si>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</si>
  <si>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</si>
  <si>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</si>
  <si>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</si>
  <si>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</si>
  <si>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</si>
  <si>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</si>
  <si>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</si>
  <si>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</si>
  <si>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</si>
  <si>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</si>
  <si>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</si>
  <si>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</si>
  <si>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</si>
  <si>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</si>
  <si>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</si>
  <si>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</si>
  <si>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</si>
  <si>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</si>
  <si>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</si>
  <si>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</si>
  <si>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</si>
  <si>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</si>
  <si>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</si>
  <si>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</si>
  <si>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</si>
  <si>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</si>
  <si>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</si>
  <si>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</si>
  <si>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</si>
  <si>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</si>
  <si>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</si>
  <si>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</si>
  <si>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</si>
  <si>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</si>
  <si>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</si>
  <si>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</si>
  <si>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</si>
  <si>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</si>
  <si>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</si>
  <si>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</si>
  <si>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</si>
  <si>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</si>
  <si>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</si>
  <si>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</si>
  <si>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</si>
  <si>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</si>
  <si>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</si>
  <si>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</si>
  <si>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</si>
  <si>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</si>
  <si>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</si>
  <si>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</si>
  <si>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</si>
  <si>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</si>
  <si>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</si>
  <si>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</si>
  <si>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</si>
  <si>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</si>
  <si>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</si>
  <si>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</si>
  <si>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</si>
  <si>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</si>
  <si>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</si>
  <si>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</si>
  <si>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</si>
  <si>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</si>
  <si>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</si>
  <si>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</si>
  <si>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</si>
  <si>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</si>
  <si>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</si>
  <si>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</si>
  <si>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</si>
  <si>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</si>
  <si>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</si>
  <si>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</si>
  <si>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</si>
  <si>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</si>
  <si>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</si>
  <si>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</si>
  <si>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</si>
  <si>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</si>
  <si>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</si>
  <si>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</si>
  <si>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</si>
  <si>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</si>
  <si>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</si>
  <si>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</si>
  <si>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</si>
  <si>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</si>
  <si>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</si>
  <si>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</si>
  <si>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</si>
  <si>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</si>
  <si>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</si>
  <si>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</si>
  <si>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</si>
  <si>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</si>
  <si>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</si>
  <si>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</si>
  <si>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</si>
  <si>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</si>
  <si>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</si>
  <si>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</si>
  <si>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</si>
  <si>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</si>
  <si>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</si>
  <si>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</si>
  <si>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</si>
  <si>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</si>
  <si>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</si>
  <si>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</si>
  <si>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</si>
  <si>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</si>
  <si>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</si>
  <si>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</si>
  <si>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</si>
  <si>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</si>
  <si>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</si>
  <si>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</si>
  <si>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</si>
  <si>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</si>
  <si>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</si>
  <si>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</si>
  <si>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</si>
  <si>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</si>
  <si>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</si>
  <si>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</si>
  <si>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</si>
  <si>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</si>
  <si>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</si>
  <si>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</si>
  <si>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</si>
  <si>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</si>
  <si>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</si>
  <si>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</si>
  <si>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</si>
  <si>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</si>
  <si>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</si>
  <si>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</si>
  <si>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</si>
  <si>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</si>
  <si>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</si>
  <si>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</si>
  <si>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</si>
  <si>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</si>
  <si>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</si>
  <si>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</si>
  <si>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</si>
  <si>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</si>
  <si>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</si>
  <si>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</si>
  <si>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</si>
  <si>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</si>
  <si>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</si>
  <si>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</si>
  <si>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</si>
  <si>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</si>
  <si>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</si>
  <si>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</si>
  <si>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</si>
  <si>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</si>
  <si>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</si>
  <si>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</si>
  <si>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</si>
  <si>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</si>
  <si>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</si>
  <si>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</si>
  <si>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</si>
  <si>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</si>
  <si>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</si>
  <si>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</si>
  <si>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</si>
  <si>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</si>
  <si>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</si>
  <si>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</si>
  <si>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</si>
  <si>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</si>
  <si>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</si>
  <si>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</si>
  <si>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</si>
  <si>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</si>
  <si>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</si>
  <si>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</si>
  <si>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</si>
  <si>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</si>
  <si>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</si>
  <si>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</si>
  <si>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</si>
  <si>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</si>
  <si>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</si>
  <si>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</si>
  <si>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</si>
  <si>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</si>
  <si>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</si>
  <si>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</si>
  <si>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</si>
  <si>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</si>
  <si>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</si>
  <si>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</si>
  <si>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</si>
  <si>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</si>
  <si>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</si>
  <si>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</si>
  <si>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</si>
  <si>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</si>
  <si>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</si>
  <si>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</si>
  <si>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</si>
  <si>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</si>
  <si>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</si>
  <si>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</si>
  <si>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</si>
  <si>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</si>
  <si>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</si>
  <si>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</si>
  <si>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</si>
  <si>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</si>
  <si>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</si>
  <si>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</si>
  <si>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</si>
  <si>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</si>
  <si>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</si>
  <si>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</si>
  <si>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</si>
  <si>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</si>
  <si>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</si>
  <si>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</si>
  <si>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</si>
  <si>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</si>
  <si>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</si>
  <si>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</si>
  <si>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</si>
  <si>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</si>
  <si>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</si>
  <si>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</si>
  <si>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</si>
  <si>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</si>
  <si>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</si>
  <si>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</si>
  <si>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</si>
  <si>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</si>
  <si>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</si>
  <si>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</si>
  <si>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</si>
  <si>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</si>
  <si>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</si>
  <si>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</si>
  <si>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</si>
  <si>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</si>
  <si>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</si>
  <si>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</si>
  <si>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</si>
  <si>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</si>
  <si>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</si>
  <si>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</si>
  <si>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</si>
  <si>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</si>
  <si>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</si>
  <si>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</si>
  <si>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</si>
  <si>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</si>
  <si>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</si>
  <si>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</si>
  <si>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</si>
  <si>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</si>
  <si>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</si>
  <si>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</si>
  <si>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</si>
  <si>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</si>
  <si>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</si>
  <si>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</si>
  <si>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</si>
  <si>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</si>
  <si>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</si>
  <si>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</si>
  <si>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</si>
  <si>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</si>
  <si>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</si>
  <si>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</si>
  <si>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</si>
  <si>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</si>
  <si>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</si>
  <si>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</si>
  <si>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</si>
  <si>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</si>
  <si>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</si>
  <si>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</si>
  <si>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</si>
  <si>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</si>
  <si>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</si>
  <si>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</si>
  <si>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</si>
  <si>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</si>
  <si>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</si>
  <si>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</si>
  <si>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</si>
  <si>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</si>
  <si>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</si>
  <si>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</si>
  <si>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</si>
  <si>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</si>
  <si>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</si>
  <si>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</si>
  <si>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</si>
  <si>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</si>
  <si>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</si>
  <si>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</si>
  <si>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</si>
  <si>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</si>
  <si>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</si>
  <si>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</si>
  <si>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</si>
  <si>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</si>
  <si>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</si>
  <si>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</si>
  <si>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</si>
  <si>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</si>
  <si>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</si>
  <si>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</si>
  <si>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</si>
  <si>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</si>
  <si>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</si>
  <si>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</si>
  <si>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</si>
  <si>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</si>
  <si>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</si>
  <si>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</si>
  <si>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</si>
  <si>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</si>
  <si>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</si>
  <si>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</si>
  <si>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</si>
  <si>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</si>
  <si>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</si>
  <si>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</si>
  <si>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</si>
  <si>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</si>
  <si>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</si>
  <si>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</si>
  <si>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</si>
  <si>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</si>
  <si>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</si>
  <si>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</si>
  <si>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</si>
  <si>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</si>
  <si>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</si>
  <si>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</si>
  <si>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</si>
  <si>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</si>
  <si>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</si>
  <si>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</si>
  <si>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</si>
  <si>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</si>
  <si>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</si>
  <si>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</si>
  <si>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</si>
  <si>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</si>
  <si>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</si>
  <si>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</si>
  <si>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</si>
  <si>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</si>
  <si>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</si>
  <si>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</si>
  <si>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</si>
  <si>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</si>
  <si>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</si>
  <si>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</si>
  <si>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</si>
  <si>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</si>
  <si>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</si>
  <si>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</si>
  <si>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</si>
  <si>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</si>
  <si>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</si>
  <si>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</si>
  <si>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</si>
  <si>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</si>
  <si>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</si>
  <si>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</si>
  <si>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</si>
  <si>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</si>
  <si>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</si>
  <si>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</si>
  <si>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</si>
  <si>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</si>
  <si>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</si>
  <si>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</si>
  <si>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</si>
  <si>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</si>
  <si>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</si>
  <si>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</si>
  <si>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</si>
  <si>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</si>
  <si>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</si>
  <si>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</si>
  <si>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</si>
  <si>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</si>
  <si>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</si>
  <si>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</si>
  <si>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</si>
  <si>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</si>
  <si>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</si>
  <si>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</si>
  <si>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</si>
  <si>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</si>
  <si>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</si>
  <si>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</si>
  <si>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</si>
  <si>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</si>
  <si>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</si>
  <si>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</si>
  <si>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</si>
  <si>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</si>
  <si>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</si>
  <si>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</si>
  <si>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</si>
  <si>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</si>
  <si>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</si>
  <si>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</si>
  <si>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</si>
  <si>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</si>
  <si>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</si>
  <si>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</si>
  <si>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</si>
  <si>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</si>
  <si>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</si>
  <si>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</si>
  <si>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</si>
  <si>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</si>
  <si>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</si>
  <si>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</si>
  <si>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</si>
  <si>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</si>
  <si>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</si>
  <si>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</si>
  <si>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</si>
  <si>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</si>
  <si>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</si>
  <si>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</si>
  <si>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</si>
  <si>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</si>
  <si>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</si>
  <si>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</si>
  <si>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</si>
  <si>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</si>
  <si>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</si>
  <si>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</si>
  <si>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</si>
  <si>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</si>
  <si>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</si>
  <si>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</si>
  <si>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</si>
  <si>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</si>
  <si>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</si>
  <si>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</si>
  <si>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</si>
  <si>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</si>
  <si>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</si>
  <si>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</si>
  <si>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</si>
  <si>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</si>
  <si>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</si>
  <si>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</si>
  <si>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</si>
  <si>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</si>
  <si>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</si>
  <si>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</si>
  <si>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</si>
  <si>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</si>
  <si>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</si>
  <si>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</si>
  <si>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</si>
  <si>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</si>
  <si>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</si>
  <si>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</si>
  <si>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</si>
  <si>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</si>
  <si>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</si>
  <si>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</si>
  <si>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</si>
  <si>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</si>
  <si>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</si>
  <si>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</si>
  <si>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</si>
  <si>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</si>
  <si>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</si>
  <si>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</si>
  <si>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</si>
  <si>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</si>
  <si>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</si>
  <si>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</si>
  <si>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</si>
  <si>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</si>
  <si>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</si>
  <si>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</si>
  <si>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</si>
  <si>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</si>
  <si>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</si>
  <si>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</si>
  <si>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</si>
  <si>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</si>
  <si>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</si>
  <si>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</si>
  <si>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</si>
  <si>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</si>
  <si>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</si>
  <si>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</si>
  <si>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</si>
  <si>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</si>
  <si>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</si>
  <si>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</si>
  <si>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</si>
  <si>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</si>
  <si>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</si>
  <si>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</si>
  <si>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</si>
  <si>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</si>
  <si>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</si>
  <si>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</si>
  <si>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</si>
  <si>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</si>
  <si>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</si>
  <si>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</si>
  <si>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</si>
  <si>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</si>
  <si>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</si>
  <si>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</si>
  <si>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</si>
  <si>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</si>
  <si>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</si>
  <si>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</si>
  <si>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</si>
  <si>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</si>
  <si>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</si>
  <si>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</si>
  <si>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</si>
  <si>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</si>
  <si>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</si>
  <si>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</si>
  <si>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</si>
  <si>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</si>
  <si>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</si>
  <si>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</si>
  <si>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</si>
  <si>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</si>
  <si>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</si>
  <si>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</si>
  <si>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</si>
  <si>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</si>
  <si>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</si>
  <si>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</si>
  <si>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</si>
  <si>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</si>
  <si>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</si>
  <si>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</si>
  <si>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</si>
  <si>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</si>
  <si>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</si>
  <si>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</si>
  <si>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</si>
  <si>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</si>
  <si>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</si>
  <si>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</si>
  <si>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</si>
  <si>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</si>
  <si>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</si>
  <si>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</si>
  <si>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</si>
  <si>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</si>
  <si>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</si>
  <si>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</si>
  <si>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</si>
  <si>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</si>
  <si>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</si>
  <si>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</si>
  <si>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</si>
  <si>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</si>
  <si>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</si>
  <si>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</si>
  <si>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</si>
  <si>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</si>
  <si>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</si>
  <si>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</si>
  <si>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</si>
  <si>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</si>
  <si>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</si>
  <si>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</si>
  <si>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</si>
  <si>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</si>
  <si>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</si>
  <si>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</si>
  <si>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</si>
  <si>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</si>
  <si>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</si>
  <si>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</si>
  <si>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</si>
  <si>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</si>
  <si>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</si>
  <si>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</si>
  <si>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</si>
  <si>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</si>
  <si>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</si>
  <si>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</si>
  <si>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</si>
  <si>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</si>
  <si>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</si>
  <si>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</si>
  <si>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</si>
  <si>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</si>
  <si>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</si>
  <si>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</si>
  <si>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</si>
  <si>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</si>
  <si>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</si>
  <si>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</si>
  <si>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</si>
  <si>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</si>
  <si>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</si>
  <si>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</si>
  <si>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</si>
  <si>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</si>
  <si>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</si>
  <si>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</si>
  <si>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</si>
  <si>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</si>
  <si>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</si>
  <si>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</si>
  <si>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</si>
  <si>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</si>
  <si>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</si>
  <si>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</si>
  <si>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</si>
  <si>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</si>
  <si>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</si>
  <si>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</si>
  <si>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</si>
  <si>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</si>
  <si>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</si>
  <si>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</si>
  <si>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</si>
  <si>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</si>
  <si>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</si>
  <si>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</si>
  <si>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</si>
  <si>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</si>
  <si>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</si>
  <si>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</si>
  <si>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</si>
  <si>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</si>
  <si>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</si>
  <si>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</si>
  <si>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</si>
  <si>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</si>
  <si>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</si>
  <si>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</si>
  <si>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</si>
  <si>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</si>
  <si>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</si>
  <si>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</si>
  <si>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</si>
  <si>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</si>
  <si>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</si>
  <si>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</si>
  <si>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</si>
  <si>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</si>
  <si>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</si>
  <si>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</si>
  <si>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</si>
  <si>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</si>
  <si>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</si>
  <si>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</si>
  <si>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</si>
  <si>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</si>
  <si>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</si>
  <si>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</si>
  <si>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</si>
  <si>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</si>
  <si>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</si>
  <si>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</si>
  <si>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</si>
  <si>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</si>
  <si>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</si>
  <si>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</si>
  <si>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</si>
  <si>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</si>
  <si>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</si>
  <si>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</si>
  <si>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</si>
  <si>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</si>
  <si>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</si>
  <si>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</si>
  <si>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</si>
  <si>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</si>
  <si>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</si>
  <si>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</si>
  <si>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</si>
  <si>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</si>
  <si>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</si>
  <si>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</si>
  <si>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</si>
  <si>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</si>
  <si>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</si>
  <si>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</si>
  <si>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</si>
  <si>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</si>
  <si>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</si>
  <si>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</si>
  <si>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</si>
  <si>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</si>
  <si>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</si>
  <si>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</si>
  <si>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</si>
  <si>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</si>
  <si>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</si>
  <si>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</si>
  <si>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</si>
  <si>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</si>
  <si>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</si>
  <si>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</si>
  <si>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</si>
  <si>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</si>
  <si>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</si>
  <si>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</si>
  <si>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</si>
  <si>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</si>
  <si>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</si>
  <si>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</si>
  <si>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</si>
  <si>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</si>
  <si>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</si>
  <si>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</si>
  <si>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</si>
  <si>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</si>
  <si>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</si>
  <si>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</si>
  <si>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</si>
  <si>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</si>
  <si>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</si>
  <si>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</si>
  <si>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</si>
  <si>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</si>
  <si>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</si>
  <si>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</si>
  <si>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</si>
  <si>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</si>
  <si>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</si>
  <si>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</si>
  <si>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</si>
  <si>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</si>
  <si>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</si>
  <si>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</si>
  <si>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</si>
  <si>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</si>
  <si>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</si>
  <si>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</si>
  <si>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</si>
  <si>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</si>
  <si>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</si>
  <si>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</si>
  <si>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</si>
  <si>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</si>
  <si>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</si>
  <si>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</si>
  <si>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</si>
  <si>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</si>
  <si>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</si>
  <si>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</si>
  <si>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</si>
  <si>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</si>
  <si>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</si>
  <si>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</si>
  <si>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</si>
  <si>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</si>
  <si>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</si>
  <si>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</si>
  <si>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</si>
  <si>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</si>
  <si>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</si>
  <si>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</si>
  <si>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</si>
  <si>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</si>
  <si>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</si>
  <si>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</si>
  <si>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</si>
  <si>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</si>
  <si>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</si>
  <si>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</si>
  <si>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</si>
  <si>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</si>
  <si>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</si>
  <si>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</si>
  <si>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</si>
  <si>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</si>
  <si>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</si>
  <si>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</si>
  <si>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</si>
  <si>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</si>
  <si>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</si>
  <si>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</si>
  <si>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</si>
  <si>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</si>
  <si>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</si>
  <si>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</si>
  <si>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</si>
  <si>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</si>
  <si>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</si>
  <si>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</si>
  <si>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</si>
  <si>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</si>
  <si>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</si>
  <si>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</si>
  <si>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</si>
  <si>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</si>
  <si>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</si>
  <si>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</si>
  <si>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</si>
  <si>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</si>
  <si>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</si>
  <si>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</si>
  <si>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</si>
  <si>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</si>
  <si>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</si>
  <si>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</si>
  <si>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</si>
  <si>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</si>
  <si>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</si>
  <si>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</si>
  <si>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</si>
  <si>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</si>
  <si>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</si>
  <si>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</si>
  <si>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</si>
  <si>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</si>
  <si>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</si>
  <si>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</si>
  <si>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</si>
  <si>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</si>
  <si>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</si>
  <si>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</si>
  <si>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</si>
  <si>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</si>
  <si>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</si>
  <si>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</si>
  <si>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</si>
  <si>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</si>
  <si>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</si>
  <si>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</si>
  <si>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</si>
  <si>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</si>
  <si>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</si>
  <si>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</si>
  <si>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</si>
  <si>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</si>
  <si>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</si>
  <si>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</si>
  <si>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</si>
  <si>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</si>
  <si>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</si>
  <si>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</si>
  <si>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</si>
  <si>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</si>
  <si>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</si>
  <si>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</si>
  <si>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</si>
  <si>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</si>
  <si>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</si>
  <si>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</si>
  <si>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</si>
  <si>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</si>
  <si>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</si>
  <si>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</si>
  <si>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</si>
  <si>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</si>
  <si>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</si>
  <si>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</si>
  <si>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</si>
  <si>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</si>
  <si>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</si>
  <si>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</si>
  <si>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</si>
  <si>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</si>
  <si>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</si>
  <si>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</si>
  <si>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</si>
  <si>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</si>
  <si>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</si>
  <si>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</si>
  <si>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</si>
  <si>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</si>
  <si>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</si>
  <si>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</si>
  <si>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</si>
  <si>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</si>
  <si>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</si>
  <si>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</si>
  <si>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</si>
  <si>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</si>
  <si>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</si>
  <si>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</si>
  <si>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</si>
  <si>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</si>
  <si>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</si>
  <si>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</si>
  <si>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</si>
  <si>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</si>
  <si>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</si>
  <si>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</si>
  <si>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</si>
  <si>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</si>
  <si>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</si>
  <si>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</si>
  <si>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</si>
  <si>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</si>
  <si>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</si>
  <si>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</si>
  <si>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</si>
  <si>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</si>
  <si>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</si>
  <si>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</si>
  <si>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</si>
  <si>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</si>
  <si>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</si>
  <si>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</si>
  <si>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</si>
  <si>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</si>
  <si>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</si>
  <si>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</si>
  <si>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</si>
  <si>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</si>
  <si>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</si>
  <si>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</si>
  <si>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</si>
  <si>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</si>
  <si>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</si>
  <si>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</si>
  <si>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</si>
  <si>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</si>
  <si>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</si>
  <si>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</si>
  <si>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</si>
  <si>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</si>
  <si>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</si>
  <si>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</si>
  <si>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</si>
  <si>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</si>
  <si>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</si>
  <si>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</si>
  <si>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</si>
  <si>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</si>
  <si>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</si>
  <si>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</si>
  <si>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</si>
  <si>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</si>
  <si>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</si>
  <si>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</si>
  <si>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</si>
  <si>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</si>
  <si>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</si>
  <si>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</si>
  <si>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</si>
  <si>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</si>
  <si>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</si>
  <si>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</si>
  <si>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</si>
  <si>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</si>
  <si>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</si>
  <si>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</si>
  <si>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</si>
  <si>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</si>
  <si>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</si>
  <si>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</si>
  <si>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</si>
  <si>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</si>
  <si>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</si>
  <si>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</si>
  <si>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</si>
  <si>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</si>
  <si>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</si>
  <si>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</si>
  <si>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</si>
  <si>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</si>
  <si>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</si>
  <si>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</si>
  <si>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</si>
  <si>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</si>
  <si>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</si>
  <si>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</si>
  <si>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</si>
  <si>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</si>
  <si>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</si>
  <si>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</si>
  <si>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</si>
  <si>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</si>
  <si>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</si>
  <si>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</si>
  <si>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</si>
  <si>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</si>
  <si>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</si>
  <si>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</si>
  <si>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</si>
  <si>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</si>
  <si>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</si>
  <si>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</si>
  <si>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</si>
  <si>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</si>
  <si>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</si>
  <si>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</si>
  <si>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</si>
  <si>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</si>
  <si>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</si>
  <si>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</si>
  <si>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</si>
  <si>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</si>
  <si>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</si>
  <si>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</si>
  <si>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</si>
  <si>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</si>
  <si>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</si>
  <si>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</si>
  <si>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</si>
  <si>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</si>
  <si>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</si>
  <si>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</si>
  <si>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</si>
  <si>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</si>
  <si>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</si>
  <si>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</si>
  <si>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</si>
  <si>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</si>
  <si>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</si>
  <si>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</si>
  <si>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</si>
  <si>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</si>
  <si>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</si>
  <si>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</si>
  <si>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</si>
  <si>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</si>
  <si>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</si>
  <si>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</si>
  <si>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</si>
  <si>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</si>
  <si>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</si>
  <si>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</si>
  <si>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</si>
  <si>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</si>
  <si>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</si>
  <si>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</si>
  <si>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</si>
  <si>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</si>
  <si>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</si>
  <si>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</si>
  <si>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</si>
  <si>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</si>
  <si>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</si>
  <si>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</si>
  <si>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</si>
  <si>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</si>
  <si>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</si>
  <si>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</si>
  <si>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</si>
  <si>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</si>
  <si>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</si>
  <si>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</si>
  <si>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</si>
  <si>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</si>
  <si>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</si>
  <si>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</si>
  <si>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</si>
  <si>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</si>
  <si>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</si>
  <si>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</si>
  <si>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</si>
  <si>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</si>
  <si>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</si>
  <si>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</si>
  <si>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</si>
  <si>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</si>
  <si>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</si>
  <si>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</si>
  <si>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</si>
  <si>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</si>
  <si>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</si>
  <si>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</si>
  <si>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</si>
  <si>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</si>
  <si>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</si>
  <si>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</si>
  <si>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</si>
  <si>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</si>
  <si>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</si>
  <si>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</si>
  <si>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</si>
  <si>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</si>
  <si>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</si>
  <si>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</si>
  <si>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</si>
  <si>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</si>
  <si>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</si>
  <si>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</si>
  <si>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</si>
  <si>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</si>
  <si>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</si>
  <si>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</si>
  <si>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</si>
  <si>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</si>
  <si>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</si>
  <si>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</si>
  <si>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</si>
  <si>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</si>
  <si>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</si>
  <si>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</si>
  <si>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</si>
  <si>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</si>
  <si>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</si>
  <si>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</si>
  <si>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</si>
  <si>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</si>
  <si>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</si>
  <si>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</si>
  <si>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</si>
  <si>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</si>
  <si>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</si>
  <si>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</si>
  <si>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</si>
  <si>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</si>
  <si>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</si>
  <si>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</si>
  <si>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</si>
  <si>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</si>
  <si>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</si>
  <si>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</si>
  <si>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</si>
  <si>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</si>
  <si>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</si>
  <si>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</si>
  <si>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</si>
  <si>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</si>
  <si>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</si>
  <si>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</si>
  <si>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</si>
  <si>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</si>
  <si>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</si>
  <si>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</si>
  <si>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</si>
  <si>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</si>
  <si>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</si>
  <si>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</si>
  <si>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</si>
  <si>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</si>
  <si>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</si>
  <si>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</si>
  <si>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</si>
  <si>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</si>
  <si>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</si>
  <si>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</si>
  <si>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</si>
  <si>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</si>
  <si>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</si>
  <si>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</si>
  <si>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</si>
  <si>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</si>
  <si>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</si>
  <si>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</si>
  <si>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</si>
  <si>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</si>
  <si>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</si>
  <si>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</si>
  <si>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</si>
  <si>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</si>
  <si>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</si>
  <si>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</si>
  <si>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</si>
  <si>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</si>
  <si>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</si>
  <si>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</si>
  <si>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</si>
  <si>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</si>
  <si>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</si>
  <si>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</si>
  <si>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</si>
  <si>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</si>
  <si>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</si>
  <si>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</si>
  <si>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</si>
  <si>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</si>
  <si>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</si>
  <si>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</si>
  <si>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</si>
  <si>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</si>
  <si>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</si>
  <si>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</si>
  <si>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</si>
  <si>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</si>
  <si>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</si>
  <si>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</si>
  <si>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</si>
  <si>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</si>
  <si>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</si>
  <si>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</si>
  <si>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</si>
  <si>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</si>
  <si>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</si>
  <si>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</si>
  <si>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</si>
  <si>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</si>
  <si>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</si>
  <si>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</si>
  <si>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</si>
  <si>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</si>
  <si>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</si>
  <si>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</si>
  <si>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</si>
  <si>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</si>
  <si>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</si>
  <si>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</si>
  <si>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</si>
  <si>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</si>
  <si>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</si>
  <si>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</si>
  <si>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</si>
  <si>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</si>
  <si>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</si>
  <si>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</si>
  <si>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</si>
  <si>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</si>
  <si>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</si>
  <si>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</si>
  <si>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</si>
  <si>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</si>
  <si>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</si>
  <si>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</si>
  <si>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</si>
  <si>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</si>
  <si>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</si>
  <si>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</si>
  <si>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</si>
  <si>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</si>
  <si>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</si>
  <si>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</si>
  <si>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</si>
  <si>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</si>
  <si>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</si>
  <si>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</si>
  <si>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</si>
  <si>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</si>
  <si>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</si>
  <si>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</si>
  <si>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</si>
  <si>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</si>
  <si>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</si>
  <si>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</si>
  <si>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</si>
  <si>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</si>
  <si>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</si>
  <si>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</si>
  <si>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</si>
  <si>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</si>
  <si>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</si>
  <si>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</si>
  <si>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</si>
  <si>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</si>
  <si>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</si>
  <si>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</si>
  <si>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</si>
  <si>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</si>
  <si>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</si>
  <si>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</si>
  <si>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</si>
  <si>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</si>
  <si>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</si>
  <si>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</si>
  <si>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</si>
  <si>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</si>
  <si>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</si>
  <si>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</si>
  <si>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</si>
  <si>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</si>
  <si>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</si>
  <si>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</si>
  <si>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</si>
  <si>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</si>
  <si>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</si>
  <si>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</si>
  <si>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</si>
  <si>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</si>
  <si>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</si>
  <si>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</si>
  <si>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</si>
  <si>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</si>
  <si>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</si>
  <si>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</si>
  <si>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</si>
  <si>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</si>
  <si>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</si>
  <si>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</si>
  <si>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</si>
  <si>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</si>
  <si>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</si>
  <si>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</si>
  <si>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</si>
  <si>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</si>
  <si>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</si>
  <si>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</si>
  <si>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</si>
  <si>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</si>
  <si>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</si>
  <si>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</si>
  <si>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</si>
  <si>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</si>
  <si>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</si>
  <si>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</si>
  <si>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</si>
  <si>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</si>
  <si>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</si>
  <si>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</si>
  <si>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</si>
  <si>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</si>
  <si>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</si>
  <si>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</si>
  <si>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</si>
  <si>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</si>
  <si>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</si>
  <si>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</si>
  <si>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</si>
  <si>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</si>
  <si>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</si>
  <si>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</si>
  <si>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</si>
  <si>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</si>
  <si>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</si>
  <si>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</si>
  <si>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</si>
  <si>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</si>
  <si>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</si>
  <si>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</si>
  <si>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</si>
  <si>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</si>
  <si>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</si>
  <si>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</si>
  <si>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</si>
  <si>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</si>
  <si>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</si>
  <si>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</si>
  <si>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</si>
  <si>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</si>
  <si>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</si>
  <si>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</si>
  <si>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</si>
  <si>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</si>
  <si>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</si>
  <si>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</si>
  <si>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</si>
  <si>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</si>
  <si>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</si>
  <si>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</si>
  <si>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</si>
  <si>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</si>
  <si>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</si>
  <si>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</si>
  <si>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</si>
  <si>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</si>
  <si>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</si>
  <si>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</si>
  <si>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</si>
  <si>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</si>
  <si>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</si>
  <si>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</si>
  <si>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</si>
  <si>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</si>
  <si>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</si>
  <si>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</si>
  <si>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</si>
  <si>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</si>
  <si>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</si>
  <si>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</si>
  <si>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</si>
  <si>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</si>
  <si>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</si>
  <si>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</si>
  <si>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</si>
  <si>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</si>
  <si>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</si>
  <si>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</si>
  <si>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</si>
  <si>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</si>
  <si>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</si>
  <si>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</si>
  <si>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</si>
  <si>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</si>
  <si>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</si>
  <si>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</si>
  <si>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</si>
  <si>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</si>
  <si>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</si>
  <si>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</si>
  <si>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</si>
  <si>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</si>
  <si>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</si>
  <si>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</si>
  <si>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</si>
  <si>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</si>
  <si>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</si>
  <si>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</si>
  <si>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</si>
  <si>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</si>
  <si>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</si>
  <si>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</si>
  <si>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</si>
  <si>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</si>
  <si>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</si>
  <si>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</si>
  <si>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</si>
  <si>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</si>
  <si>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</si>
  <si>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</si>
  <si>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</si>
  <si>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</si>
  <si>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</si>
  <si>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</si>
  <si>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</si>
  <si>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</si>
  <si>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</si>
  <si>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</si>
  <si>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</si>
  <si>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</si>
  <si>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</si>
  <si>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</si>
  <si>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</si>
  <si>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</si>
  <si>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</si>
  <si>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</si>
  <si>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</si>
  <si>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</si>
  <si>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</si>
  <si>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</si>
  <si>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</si>
  <si>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</si>
  <si>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</si>
  <si>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</si>
  <si>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</si>
  <si>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</si>
  <si>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</si>
  <si>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</si>
  <si>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</si>
  <si>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</si>
  <si>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</si>
  <si>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</si>
  <si>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</si>
  <si>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</si>
  <si>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</si>
  <si>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</si>
  <si>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</si>
  <si>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</si>
  <si>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</si>
  <si>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</si>
  <si>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</si>
  <si>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</si>
  <si>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</si>
  <si>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</si>
  <si>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</si>
  <si>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</si>
  <si>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</si>
  <si>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</si>
  <si>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</si>
  <si>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</si>
  <si>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</si>
  <si>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</si>
  <si>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</si>
  <si>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</si>
  <si>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</si>
  <si>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</si>
  <si>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</si>
  <si>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</si>
  <si>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</si>
  <si>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</si>
  <si>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</si>
  <si>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</si>
  <si>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</si>
  <si>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</si>
  <si>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</si>
  <si>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</si>
  <si>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</si>
  <si>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</si>
  <si>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</si>
  <si>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</si>
  <si>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</si>
  <si>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</si>
  <si>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</si>
  <si>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</si>
  <si>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</si>
  <si>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</si>
  <si>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</si>
  <si>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</si>
  <si>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</si>
  <si>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</si>
  <si>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</si>
  <si>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</si>
  <si>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</si>
  <si>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</si>
  <si>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</si>
  <si>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</si>
  <si>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</si>
  <si>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</si>
  <si>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</si>
  <si>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</si>
  <si>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</si>
  <si>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</si>
  <si>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</si>
  <si>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</si>
  <si>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</si>
  <si>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</si>
  <si>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</si>
  <si>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</si>
  <si>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</si>
  <si>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</si>
  <si>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</si>
  <si>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</si>
  <si>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</si>
  <si>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</si>
  <si>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</si>
  <si>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</si>
  <si>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</si>
  <si>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</si>
  <si>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</si>
  <si>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</si>
  <si>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</si>
  <si>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</si>
  <si>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</si>
  <si>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</si>
  <si>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</si>
  <si>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</si>
  <si>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</si>
  <si>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</si>
  <si>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</si>
  <si>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</si>
  <si>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</si>
  <si>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</si>
  <si>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</si>
  <si>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</si>
  <si>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</si>
  <si>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</si>
  <si>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</si>
  <si>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</si>
  <si>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</si>
  <si>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</si>
  <si>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</si>
  <si>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</si>
  <si>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</si>
  <si>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</si>
  <si>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</si>
  <si>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</si>
  <si>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</si>
  <si>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</si>
  <si>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</si>
  <si>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</si>
  <si>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</si>
  <si>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</si>
  <si>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</si>
  <si>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</si>
  <si>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</si>
  <si>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</si>
  <si>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</si>
  <si>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</si>
  <si>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</si>
  <si>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</si>
  <si>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</si>
  <si>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</si>
  <si>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</si>
  <si>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</si>
  <si>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</si>
  <si>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</si>
  <si>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</si>
  <si>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</si>
  <si>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</si>
  <si>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</si>
  <si>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</si>
  <si>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</si>
  <si>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</si>
  <si>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</si>
  <si>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</si>
  <si>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</si>
  <si>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</si>
  <si>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</si>
  <si>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</si>
  <si>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</si>
  <si>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</si>
  <si>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</si>
  <si>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</si>
  <si>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</si>
  <si>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</si>
  <si>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</si>
  <si>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</si>
  <si>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</si>
  <si>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</si>
  <si>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</si>
  <si>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</si>
  <si>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</si>
  <si>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</si>
  <si>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</si>
  <si>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</si>
  <si>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</si>
  <si>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</si>
  <si>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</si>
  <si>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</si>
  <si>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</si>
  <si>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</si>
  <si>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</si>
  <si>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</si>
  <si>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</si>
  <si>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</si>
  <si>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</si>
  <si>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</si>
  <si>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</si>
  <si>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</si>
  <si>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</si>
  <si>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</si>
  <si>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</si>
  <si>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</si>
  <si>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</si>
  <si>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</si>
  <si>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</si>
  <si>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</si>
  <si>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</si>
  <si>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</si>
  <si>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</si>
  <si>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</si>
  <si>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</si>
  <si>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</si>
  <si>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</si>
  <si>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</si>
  <si>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</si>
  <si>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</si>
  <si>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</si>
  <si>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</si>
  <si>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</si>
  <si>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</si>
  <si>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</si>
  <si>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</si>
  <si>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</si>
  <si>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</si>
  <si>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</si>
  <si>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</si>
  <si>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</si>
  <si>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</si>
  <si>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</si>
  <si>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</si>
  <si>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</si>
  <si>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</si>
  <si>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</si>
  <si>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</si>
  <si>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</si>
  <si>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</si>
  <si>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</si>
  <si>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</si>
  <si>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</si>
  <si>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</si>
  <si>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</si>
  <si>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</si>
  <si>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</si>
  <si>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</si>
  <si>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</si>
  <si>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</si>
  <si>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</si>
  <si>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</si>
  <si>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</si>
  <si>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</si>
  <si>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</si>
  <si>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</si>
  <si>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</si>
  <si>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</si>
  <si>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</si>
  <si>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</si>
  <si>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</si>
  <si>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</si>
  <si>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</si>
  <si>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</si>
  <si>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</si>
  <si>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</si>
  <si>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</si>
  <si>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</si>
  <si>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</si>
  <si>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</si>
  <si>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</si>
  <si>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</si>
  <si>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</si>
  <si>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</si>
  <si>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</si>
  <si>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</si>
  <si>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</si>
  <si>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</si>
  <si>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</si>
  <si>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</si>
  <si>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</si>
  <si>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</si>
  <si>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</si>
  <si>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</si>
  <si>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</si>
  <si>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</si>
  <si>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</si>
  <si>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</si>
  <si>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</si>
  <si>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</si>
  <si>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</si>
  <si>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</si>
  <si>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</si>
  <si>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</si>
  <si>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</si>
  <si>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</si>
  <si>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</si>
  <si>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</si>
  <si>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</si>
  <si>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</si>
  <si>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</si>
  <si>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</si>
  <si>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</si>
  <si>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</si>
  <si>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</si>
  <si>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</si>
  <si>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</si>
  <si>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</si>
  <si>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</si>
  <si>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</si>
  <si>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</si>
  <si>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</si>
  <si>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</si>
  <si>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</si>
  <si>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</si>
  <si>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</si>
  <si>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</si>
  <si>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</si>
  <si>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</si>
  <si>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</si>
  <si>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</si>
  <si>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</si>
  <si>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</si>
  <si>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</si>
  <si>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</si>
  <si>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</si>
  <si>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</si>
  <si>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</si>
  <si>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</si>
  <si>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</si>
  <si>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</si>
  <si>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</si>
  <si>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</si>
  <si>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</si>
  <si>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</si>
  <si>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</si>
  <si>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</si>
  <si>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</si>
  <si>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</si>
  <si>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</si>
  <si>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</si>
  <si>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</si>
  <si>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</si>
  <si>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</si>
  <si>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</si>
  <si>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</si>
  <si>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</si>
  <si>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</si>
  <si>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</si>
  <si>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</si>
  <si>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</si>
  <si>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</si>
  <si>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</si>
  <si>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</si>
  <si>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</si>
  <si>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</si>
  <si>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</si>
  <si>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</si>
  <si>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</si>
  <si>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</si>
  <si>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</si>
  <si>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</si>
  <si>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</si>
  <si>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</si>
  <si>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</si>
  <si>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</si>
  <si>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</si>
  <si>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</si>
  <si>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</si>
  <si>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</si>
  <si>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</si>
  <si>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</si>
  <si>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</si>
  <si>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</si>
  <si>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</si>
  <si>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</si>
  <si>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</si>
  <si>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</si>
  <si>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</si>
  <si>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</si>
  <si>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</si>
  <si>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</si>
  <si>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</si>
  <si>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</si>
  <si>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</si>
  <si>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</si>
  <si>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</si>
  <si>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</si>
  <si>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</si>
  <si>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</si>
  <si>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</si>
  <si>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</si>
  <si>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</si>
  <si>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</si>
  <si>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</si>
  <si>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</si>
  <si>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</si>
  <si>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</si>
  <si>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</si>
  <si>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</si>
  <si>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</si>
  <si>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</si>
  <si>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</si>
  <si>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</si>
  <si>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</si>
  <si>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</si>
  <si>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</si>
  <si>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</si>
  <si>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</si>
  <si>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</si>
  <si>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</si>
  <si>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</si>
  <si>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</si>
  <si>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</si>
  <si>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</si>
  <si>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</si>
  <si>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</si>
  <si>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</si>
  <si>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</si>
  <si>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</si>
  <si>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</si>
  <si>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</si>
  <si>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</si>
  <si>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</si>
  <si>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</si>
  <si>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</si>
  <si>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</si>
  <si>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</si>
  <si>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</si>
  <si>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</si>
  <si>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</si>
  <si>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</si>
  <si>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</si>
  <si>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</si>
  <si>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</si>
  <si>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</si>
  <si>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</si>
  <si>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</si>
  <si>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</si>
  <si>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</si>
  <si>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</si>
  <si>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</si>
  <si>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</si>
  <si>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</si>
  <si>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</si>
  <si>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</si>
  <si>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</si>
  <si>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</si>
  <si>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</si>
  <si>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</si>
  <si>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</si>
  <si>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</si>
  <si>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</si>
  <si>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</si>
  <si>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</si>
  <si>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</si>
  <si>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</si>
  <si>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</si>
  <si>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</si>
  <si>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</si>
  <si>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</si>
  <si>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</si>
  <si>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</si>
  <si>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</si>
  <si>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</si>
  <si>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</si>
  <si>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</si>
  <si>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</si>
  <si>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</si>
  <si>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</si>
  <si>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</si>
  <si>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</si>
  <si>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</si>
  <si>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</si>
  <si>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</si>
  <si>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</si>
  <si>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</si>
  <si>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</si>
  <si>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</si>
  <si>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</si>
  <si>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</si>
  <si>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</si>
  <si>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</si>
  <si>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</si>
  <si>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</si>
  <si>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</si>
  <si>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</si>
  <si>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</si>
  <si>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</si>
  <si>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</si>
  <si>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</si>
  <si>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</si>
  <si>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</si>
  <si>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</si>
  <si>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</si>
  <si>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</si>
  <si>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</si>
  <si>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</si>
  <si>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</si>
  <si>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</si>
  <si>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</si>
  <si>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</si>
  <si>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</si>
  <si>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</si>
  <si>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</si>
  <si>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</si>
  <si>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</si>
  <si>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</si>
  <si>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</si>
  <si>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</si>
  <si>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</si>
  <si>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</si>
  <si>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</si>
  <si>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</si>
  <si>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</si>
  <si>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</si>
  <si>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</si>
  <si>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</si>
  <si>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</si>
  <si>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</si>
  <si>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</si>
  <si>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</si>
  <si>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</si>
  <si>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</si>
  <si>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</si>
  <si>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</si>
  <si>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</si>
  <si>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</si>
  <si>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</si>
  <si>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</si>
  <si>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</si>
  <si>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</si>
  <si>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</si>
  <si>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</si>
  <si>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</si>
  <si>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</si>
  <si>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</si>
  <si>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</si>
  <si>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</si>
  <si>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</si>
  <si>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</si>
  <si>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</si>
  <si>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</si>
  <si>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</si>
  <si>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</si>
  <si>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</si>
  <si>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</si>
  <si>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</si>
  <si>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</si>
  <si>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</si>
  <si>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</si>
  <si>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</si>
  <si>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</si>
  <si>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</si>
  <si>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</si>
  <si>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</si>
  <si>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</si>
  <si>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</si>
  <si>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</si>
  <si>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</si>
  <si>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</si>
  <si>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</si>
  <si>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</si>
  <si>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</si>
  <si>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</si>
  <si>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</si>
  <si>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</si>
  <si>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</si>
  <si>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</si>
  <si>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</si>
  <si>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</si>
  <si>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</si>
  <si>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</si>
  <si>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</si>
  <si>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</si>
  <si>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</si>
  <si>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</si>
  <si>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</si>
  <si>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</si>
  <si>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</si>
  <si>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</si>
  <si>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</si>
  <si>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</si>
  <si>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</si>
  <si>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</si>
  <si>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</si>
  <si>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</si>
  <si>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</si>
  <si>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</si>
  <si>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</si>
  <si>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</si>
  <si>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</si>
  <si>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</si>
  <si>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</si>
  <si>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</si>
  <si>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</si>
  <si>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</si>
  <si>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</si>
  <si>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</si>
  <si>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</si>
  <si>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</si>
  <si>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</si>
  <si>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</si>
  <si>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</si>
  <si>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</si>
  <si>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</si>
  <si>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</si>
  <si>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</si>
  <si>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</si>
  <si>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</si>
  <si>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</si>
  <si>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</si>
  <si>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</si>
  <si>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</si>
  <si>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</si>
  <si>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</si>
  <si>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</si>
  <si>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</si>
  <si>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</si>
  <si>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</si>
  <si>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</si>
  <si>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</si>
  <si>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</si>
  <si>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</si>
  <si>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</si>
  <si>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</si>
  <si>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</si>
  <si>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</si>
  <si>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</si>
  <si>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</si>
  <si>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</si>
  <si>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</si>
  <si>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</si>
  <si>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</si>
  <si>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</si>
  <si>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</si>
  <si>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</si>
  <si>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</si>
  <si>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</si>
  <si>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</si>
  <si>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</si>
  <si>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</si>
  <si>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</si>
  <si>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</si>
  <si>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</si>
  <si>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</si>
  <si>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</si>
  <si>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</si>
  <si>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</si>
  <si>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</si>
  <si>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</si>
  <si>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</si>
  <si>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</si>
  <si>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</si>
  <si>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</si>
  <si>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</si>
  <si>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</si>
  <si>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</si>
  <si>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</si>
  <si>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</si>
  <si>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</si>
  <si>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</si>
  <si>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</si>
  <si>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</si>
  <si>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</si>
  <si>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</si>
  <si>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</si>
  <si>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</si>
  <si>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</si>
  <si>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</si>
  <si>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</si>
  <si>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</si>
  <si>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</si>
  <si>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</si>
  <si>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</si>
  <si>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</si>
  <si>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</si>
  <si>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</si>
  <si>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</si>
  <si>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</si>
  <si>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</si>
  <si>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</si>
  <si>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</si>
  <si>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</si>
  <si>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</si>
  <si>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</si>
  <si>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</si>
  <si>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</si>
  <si>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</si>
  <si>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</si>
  <si>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</si>
  <si>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</si>
  <si>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</si>
  <si>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</si>
  <si>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</si>
  <si>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</si>
  <si>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</si>
  <si>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</si>
  <si>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</si>
  <si>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</si>
  <si>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</si>
  <si>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</si>
  <si>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</si>
  <si>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</si>
  <si>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</si>
  <si>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</si>
  <si>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</si>
  <si>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</si>
  <si>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</si>
  <si>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</si>
  <si>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</si>
  <si>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</si>
  <si>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</si>
  <si>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</si>
  <si>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</si>
  <si>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</si>
  <si>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</si>
  <si>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</si>
  <si>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</si>
  <si>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</si>
  <si>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</si>
  <si>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</si>
  <si>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</si>
  <si>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</si>
  <si>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</si>
  <si>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</si>
  <si>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</si>
  <si>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</si>
  <si>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</si>
  <si>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</si>
  <si>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</si>
  <si>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</si>
  <si>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</si>
  <si>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</si>
  <si>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</si>
  <si>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</si>
  <si>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</si>
  <si>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</si>
  <si>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</si>
  <si>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</si>
  <si>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</si>
  <si>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</si>
  <si>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</si>
  <si>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</si>
  <si>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</si>
  <si>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</si>
  <si>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</si>
  <si>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</si>
  <si>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</si>
  <si>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</si>
  <si>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</si>
  <si>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</si>
  <si>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</si>
  <si>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</si>
  <si>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</si>
  <si>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</si>
  <si>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</si>
  <si>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</si>
  <si>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</si>
  <si>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</si>
  <si>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</si>
  <si>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</si>
  <si>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</si>
  <si>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</si>
  <si>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</si>
  <si>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</si>
  <si>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</si>
  <si>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</si>
  <si>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</si>
  <si>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</si>
  <si>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</si>
  <si>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</si>
  <si>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</si>
  <si>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</si>
  <si>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</si>
  <si>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</si>
  <si>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</si>
  <si>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</si>
  <si>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</si>
  <si>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</si>
  <si>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</si>
  <si>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</si>
  <si>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</si>
  <si>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</si>
  <si>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</si>
  <si>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</si>
  <si>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</si>
  <si>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</si>
  <si>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</si>
  <si>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</si>
  <si>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</si>
  <si>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</si>
  <si>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</si>
  <si>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</si>
  <si>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</si>
  <si>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</si>
  <si>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</si>
  <si>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</si>
  <si>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</si>
  <si>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</si>
  <si>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</si>
  <si>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</si>
  <si>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</si>
  <si>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</si>
  <si>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</si>
  <si>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</si>
  <si>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</si>
  <si>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</si>
  <si>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</si>
  <si>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</si>
  <si>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</si>
  <si>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</si>
  <si>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</si>
  <si>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</si>
  <si>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</si>
  <si>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</si>
  <si>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</si>
  <si>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</si>
  <si>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</si>
  <si>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</si>
  <si>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</si>
  <si>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</si>
  <si>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</si>
  <si>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</si>
  <si>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</si>
  <si>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</si>
  <si>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</si>
  <si>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</si>
  <si>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</si>
  <si>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</si>
  <si>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</si>
  <si>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</si>
  <si>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</si>
  <si>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</si>
  <si>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</si>
  <si>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</si>
  <si>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</si>
  <si>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</si>
  <si>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</si>
  <si>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</si>
  <si>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</si>
  <si>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</si>
  <si>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</si>
  <si>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</si>
  <si>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</si>
  <si>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</si>
  <si>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</si>
  <si>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</si>
  <si>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</si>
  <si>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</si>
  <si>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</si>
  <si>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</si>
  <si>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</si>
  <si>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</si>
  <si>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</si>
  <si>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</si>
  <si>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</si>
  <si>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</si>
  <si>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</si>
  <si>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</si>
  <si>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</si>
  <si>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</si>
  <si>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</si>
  <si>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</si>
  <si>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</si>
  <si>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</si>
  <si>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</si>
  <si>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</si>
  <si>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</si>
  <si>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</si>
  <si>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</si>
  <si>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</si>
  <si>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</si>
  <si>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</si>
  <si>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</si>
  <si>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</si>
  <si>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</si>
  <si>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</si>
  <si>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</si>
  <si>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</si>
  <si>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</si>
  <si>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</si>
  <si>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</si>
  <si>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</si>
  <si>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</si>
  <si>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</si>
  <si>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</si>
  <si>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</si>
  <si>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</si>
  <si>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</si>
  <si>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</si>
  <si>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</si>
  <si>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</si>
  <si>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</si>
  <si>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</si>
  <si>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</si>
  <si>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</si>
  <si>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</si>
  <si>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</si>
  <si>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</si>
  <si>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</si>
  <si>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</si>
  <si>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</si>
  <si>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</si>
  <si>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</si>
  <si>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</si>
  <si>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</si>
  <si>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</si>
  <si>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</si>
  <si>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</si>
  <si>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</si>
  <si>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</si>
  <si>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</si>
  <si>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</si>
  <si>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</si>
  <si>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</si>
  <si>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</si>
  <si>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</si>
  <si>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</si>
  <si>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</si>
  <si>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</si>
  <si>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</si>
  <si>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</si>
  <si>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</si>
  <si>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</si>
  <si>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</si>
  <si>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</si>
  <si>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</si>
  <si>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</si>
  <si>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</si>
  <si>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</si>
  <si>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</si>
  <si>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</si>
  <si>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</si>
  <si>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</si>
  <si>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</si>
  <si>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</si>
  <si>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</si>
  <si>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</si>
  <si>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</si>
  <si>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</si>
  <si>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</si>
  <si>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</si>
  <si>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</si>
  <si>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</si>
  <si>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</si>
  <si>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</si>
  <si>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</si>
  <si>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</si>
  <si>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</si>
  <si>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</si>
  <si>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</si>
  <si>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</si>
  <si>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</si>
  <si>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</si>
  <si>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</si>
  <si>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</si>
  <si>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</si>
  <si>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</si>
  <si>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</si>
  <si>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</si>
  <si>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</si>
  <si>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</si>
  <si>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</si>
  <si>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</si>
  <si>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</si>
  <si>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</si>
  <si>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</si>
  <si>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</si>
  <si>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</si>
  <si>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</si>
  <si>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</si>
  <si>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</si>
  <si>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</si>
  <si>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</si>
  <si>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</si>
  <si>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</si>
  <si>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</si>
  <si>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</si>
  <si>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</si>
  <si>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</si>
  <si>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</si>
  <si>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</si>
  <si>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</si>
  <si>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</si>
  <si>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</si>
  <si>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</si>
  <si>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</si>
  <si>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</si>
  <si>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</si>
  <si>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</si>
  <si>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</si>
  <si>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</si>
  <si>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</si>
  <si>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</si>
  <si>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</si>
  <si>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</si>
  <si>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</si>
  <si>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</si>
  <si>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</si>
  <si>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</si>
  <si>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</si>
  <si>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</si>
  <si>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</si>
  <si>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</si>
  <si>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</si>
  <si>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</si>
  <si>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</si>
  <si>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</si>
  <si>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</si>
  <si>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</si>
  <si>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</si>
  <si>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</si>
  <si>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</si>
  <si>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</si>
  <si>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</si>
  <si>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</si>
  <si>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</si>
  <si>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</si>
  <si>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</si>
  <si>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</si>
  <si>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</si>
  <si>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</si>
  <si>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</si>
  <si>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</si>
  <si>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</si>
  <si>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</si>
  <si>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</si>
  <si>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</si>
  <si>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</si>
  <si>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</si>
  <si>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</si>
  <si>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</si>
  <si>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</si>
  <si>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</si>
  <si>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</si>
  <si>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</si>
  <si>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</si>
  <si>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</si>
  <si>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</si>
  <si>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</si>
  <si>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</si>
  <si>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</si>
  <si>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</si>
  <si>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</si>
  <si>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</si>
  <si>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</si>
  <si>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</si>
  <si>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</si>
  <si>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</si>
  <si>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</si>
  <si>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</si>
  <si>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</si>
  <si>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</si>
  <si>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</si>
  <si>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</si>
  <si>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</si>
  <si>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</si>
  <si>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</si>
  <si>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</si>
  <si>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</si>
  <si>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</si>
  <si>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</si>
  <si>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</si>
  <si>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</si>
  <si>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</si>
  <si>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</si>
  <si>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</si>
  <si>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</si>
  <si>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</si>
  <si>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</si>
  <si>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</si>
  <si>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</si>
  <si>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</si>
  <si>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</si>
  <si>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</si>
  <si>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</si>
  <si>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</si>
  <si>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</si>
  <si>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</si>
  <si>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</si>
  <si>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</si>
  <si>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</si>
  <si>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</si>
  <si>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</si>
  <si>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</si>
  <si>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</si>
  <si>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</si>
  <si>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</si>
  <si>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</si>
  <si>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</si>
  <si>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</si>
  <si>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</si>
  <si>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</si>
  <si>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</si>
  <si>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</si>
  <si>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</si>
  <si>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</si>
  <si>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</si>
  <si>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</si>
  <si>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</si>
  <si>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</si>
  <si>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</si>
  <si>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</si>
  <si>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</si>
  <si>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</si>
  <si>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</si>
  <si>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</si>
  <si>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</si>
  <si>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</si>
  <si>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</si>
  <si>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</si>
  <si>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</si>
  <si>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</si>
  <si>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</si>
  <si>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</si>
  <si>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</si>
  <si>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</si>
  <si>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</si>
  <si>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</si>
  <si>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</si>
  <si>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</si>
  <si>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</si>
  <si>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</si>
  <si>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</si>
  <si>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</si>
  <si>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</si>
  <si>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</si>
  <si>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</si>
  <si>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</si>
  <si>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</si>
  <si>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</si>
  <si>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</si>
  <si>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</si>
  <si>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</si>
  <si>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</si>
  <si>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</si>
  <si>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</si>
  <si>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</si>
  <si>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</si>
  <si>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</si>
  <si>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</si>
  <si>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</si>
  <si>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</si>
  <si>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</si>
  <si>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</si>
  <si>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</si>
  <si>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</si>
  <si>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</si>
  <si>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</si>
  <si>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</si>
  <si>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</si>
  <si>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</si>
  <si>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</si>
  <si>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</si>
  <si>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</si>
  <si>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</si>
  <si>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</si>
  <si>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</si>
  <si>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</si>
  <si>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</si>
  <si>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</si>
  <si>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</si>
  <si>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</si>
  <si>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</si>
  <si>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</si>
  <si>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</si>
  <si>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</si>
  <si>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</si>
  <si>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</si>
  <si>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</si>
  <si>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</si>
  <si>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</si>
  <si>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</si>
  <si>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</si>
  <si>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</si>
  <si>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核定资产</t>
  </si>
  <si>
    <t>房地产抵押价值</t>
  </si>
  <si>
    <t>房地产市场价值</t>
  </si>
  <si>
    <t>新疆</t>
    <phoneticPr fontId="6" type="noConversion"/>
  </si>
  <si>
    <t>伊宁市经济合作区上海路以西山东路以南（万荣广场）</t>
    <phoneticPr fontId="6" type="noConversion"/>
  </si>
  <si>
    <t>企业</t>
  </si>
  <si>
    <t>新疆万荣房地产开发有限公司</t>
    <phoneticPr fontId="6" type="noConversion"/>
  </si>
  <si>
    <t>商业、住宅</t>
    <phoneticPr fontId="6" type="noConversion"/>
  </si>
  <si>
    <t>《测绘报告》[]</t>
    <phoneticPr fontId="6" type="noConversion"/>
  </si>
  <si>
    <t>通路</t>
  </si>
  <si>
    <t>通电</t>
  </si>
  <si>
    <t>通讯</t>
  </si>
  <si>
    <t>通上水</t>
  </si>
  <si>
    <t>通下水</t>
  </si>
  <si>
    <t>通热</t>
  </si>
  <si>
    <t>燃气</t>
  </si>
  <si>
    <t>是</t>
  </si>
  <si>
    <t>地上</t>
  </si>
  <si>
    <t>底商</t>
  </si>
  <si>
    <t>办公C区6、7、8层</t>
    <phoneticPr fontId="3" type="noConversion"/>
  </si>
  <si>
    <t>商业C区1001</t>
  </si>
  <si>
    <t>办公楼</t>
  </si>
  <si>
    <t>测绘报告</t>
    <phoneticPr fontId="3" type="noConversion"/>
  </si>
  <si>
    <t>住宅63.93年、商业33.9年</t>
    <phoneticPr fontId="6" type="noConversion"/>
  </si>
  <si>
    <t>租金</t>
  </si>
  <si>
    <t>万荣广场</t>
    <phoneticPr fontId="3" type="noConversion"/>
  </si>
  <si>
    <t>商业</t>
    <phoneticPr fontId="46" type="noConversion"/>
  </si>
  <si>
    <t>30-40（含）</t>
  </si>
  <si>
    <t>一般</t>
  </si>
  <si>
    <t>七通</t>
  </si>
  <si>
    <t>较好</t>
  </si>
  <si>
    <t>单面临街</t>
  </si>
  <si>
    <t>高速公路</t>
    <phoneticPr fontId="46" type="noConversion"/>
  </si>
  <si>
    <t>城市快速路</t>
    <phoneticPr fontId="46" type="noConversion"/>
  </si>
  <si>
    <t>城市主干道</t>
  </si>
  <si>
    <t>城市主干道</t>
    <phoneticPr fontId="46" type="noConversion"/>
  </si>
  <si>
    <t>城市次干道</t>
    <phoneticPr fontId="46" type="noConversion"/>
  </si>
  <si>
    <t>城市支路</t>
    <phoneticPr fontId="46" type="noConversion"/>
  </si>
  <si>
    <t>高区</t>
    <phoneticPr fontId="46" type="noConversion"/>
  </si>
  <si>
    <t>中区</t>
  </si>
  <si>
    <t>中区</t>
    <phoneticPr fontId="46" type="noConversion"/>
  </si>
  <si>
    <t>低区</t>
    <phoneticPr fontId="46" type="noConversion"/>
  </si>
  <si>
    <t>标准写字楼</t>
    <phoneticPr fontId="3" type="noConversion"/>
  </si>
  <si>
    <t>商务楼</t>
    <phoneticPr fontId="3" type="noConversion"/>
  </si>
  <si>
    <t>钢混</t>
    <phoneticPr fontId="3" type="noConversion"/>
  </si>
  <si>
    <t>混合</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</si>
  <si>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</si>
  <si>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</si>
  <si>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</si>
  <si>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</si>
  <si>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</si>
  <si>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</si>
  <si>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甲级</t>
    <phoneticPr fontId="3" type="noConversion"/>
  </si>
  <si>
    <t>乙级</t>
    <phoneticPr fontId="3" type="noConversion"/>
  </si>
  <si>
    <t>丙级</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</si>
  <si>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</si>
  <si>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</si>
  <si>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</si>
  <si>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</si>
  <si>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</si>
  <si>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</si>
  <si>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标准写字楼</t>
  </si>
  <si>
    <t>钢混</t>
  </si>
  <si>
    <t>精装</t>
  </si>
  <si>
    <t>甲级</t>
  </si>
  <si>
    <t>专业</t>
  </si>
  <si>
    <t>标准层高</t>
  </si>
  <si>
    <t>毛坯</t>
  </si>
  <si>
    <t>押一</t>
  </si>
  <si>
    <t>收益法 (办公)</t>
  </si>
  <si>
    <t>比较法-办公</t>
  </si>
  <si>
    <t>商业</t>
    <phoneticPr fontId="45" type="noConversion"/>
  </si>
  <si>
    <t>多面临街</t>
    <phoneticPr fontId="3" type="noConversion"/>
  </si>
  <si>
    <t>双面临街</t>
    <phoneticPr fontId="3" type="noConversion"/>
  </si>
  <si>
    <t>单面临街</t>
    <phoneticPr fontId="3" type="noConversion"/>
  </si>
  <si>
    <t>不临街</t>
    <phoneticPr fontId="45" type="noConversion"/>
  </si>
  <si>
    <t>较大</t>
    <phoneticPr fontId="3" type="noConversion"/>
  </si>
  <si>
    <t>较小</t>
    <phoneticPr fontId="3" type="noConversion"/>
  </si>
  <si>
    <t>好</t>
    <phoneticPr fontId="3" type="noConversion"/>
  </si>
  <si>
    <t>一般</t>
    <phoneticPr fontId="3" type="noConversion"/>
  </si>
  <si>
    <t>较差</t>
    <phoneticPr fontId="3" type="noConversion"/>
  </si>
  <si>
    <t>差</t>
    <phoneticPr fontId="3" type="noConversion"/>
  </si>
  <si>
    <t>1层</t>
  </si>
  <si>
    <t>1层</t>
    <phoneticPr fontId="45" type="noConversion"/>
  </si>
  <si>
    <t>独栋商业</t>
    <phoneticPr fontId="3" type="noConversion"/>
  </si>
  <si>
    <t>商业街商铺</t>
    <phoneticPr fontId="3" type="noConversion"/>
  </si>
  <si>
    <t>写字楼底商</t>
    <phoneticPr fontId="3" type="noConversion"/>
  </si>
  <si>
    <t>住宅底商</t>
    <phoneticPr fontId="3" type="noConversion"/>
  </si>
  <si>
    <t>七通</t>
    <phoneticPr fontId="3" type="noConversion"/>
  </si>
  <si>
    <t>四通</t>
    <phoneticPr fontId="3" type="noConversion"/>
  </si>
  <si>
    <t>三通</t>
    <phoneticPr fontId="3" type="noConversion"/>
  </si>
  <si>
    <t>可餐饮</t>
    <phoneticPr fontId="3" type="noConversion"/>
  </si>
  <si>
    <t>不可餐饮</t>
    <phoneticPr fontId="3" type="noConversion"/>
  </si>
  <si>
    <t>写字楼底商</t>
  </si>
  <si>
    <t>五通</t>
  </si>
  <si>
    <t>比较法-商业</t>
  </si>
  <si>
    <t>收益法（商业）</t>
  </si>
  <si>
    <t>估价对象位于开发区，周边商业氛围一般，人流量一般，商业繁华度一般</t>
    <phoneticPr fontId="34" type="noConversion"/>
  </si>
  <si>
    <t>估价对象位于开发区，周边办公楼项目较多，入驻率高，办公集聚程度一般</t>
    <phoneticPr fontId="34" type="noConversion"/>
  </si>
  <si>
    <t>办公C区6层</t>
    <phoneticPr fontId="7" type="noConversion"/>
  </si>
  <si>
    <t>办公C区7、8层</t>
  </si>
  <si>
    <t>办公C区7、8层</t>
    <phoneticPr fontId="7" type="noConversion"/>
  </si>
  <si>
    <t>露台</t>
    <phoneticPr fontId="3" type="noConversion"/>
  </si>
  <si>
    <t>无</t>
    <phoneticPr fontId="34" type="noConversion"/>
  </si>
  <si>
    <t>中区</t>
    <phoneticPr fontId="34" type="noConversion"/>
  </si>
  <si>
    <t>融合大厦</t>
    <phoneticPr fontId="3" type="noConversion"/>
  </si>
  <si>
    <t>汇鑫国际</t>
    <phoneticPr fontId="3" type="noConversion"/>
  </si>
  <si>
    <t>金融大厦</t>
    <phoneticPr fontId="3" type="noConversion"/>
  </si>
  <si>
    <t>山东路</t>
    <phoneticPr fontId="46" type="noConversion"/>
  </si>
  <si>
    <t>金茂新天地</t>
    <phoneticPr fontId="3" type="noConversion"/>
  </si>
  <si>
    <t>不临街</t>
  </si>
  <si>
    <t>较小</t>
  </si>
  <si>
    <t>较差</t>
    <phoneticPr fontId="45" type="noConversion"/>
  </si>
  <si>
    <t>较好</t>
    <phoneticPr fontId="45" type="noConversion"/>
  </si>
  <si>
    <t>一般</t>
    <phoneticPr fontId="45" type="noConversion"/>
  </si>
  <si>
    <t>可视性</t>
    <phoneticPr fontId="45" type="noConversion"/>
  </si>
  <si>
    <t>《国有土地使用证》</t>
    <phoneticPr fontId="6" type="noConversion"/>
  </si>
  <si>
    <t>低区</t>
  </si>
  <si>
    <t>序号</t>
    <phoneticPr fontId="205" type="noConversion"/>
  </si>
  <si>
    <t>项目名称</t>
    <phoneticPr fontId="205" type="noConversion"/>
  </si>
  <si>
    <t>建筑面积</t>
    <phoneticPr fontId="205" type="noConversion"/>
  </si>
  <si>
    <t>楼层</t>
    <phoneticPr fontId="205" type="noConversion"/>
  </si>
  <si>
    <t>新疆维吾尔自治区伊犁哈萨克自治州伊宁市经济合作区上海路以西山东路以南（万荣广场）C座1层1001号</t>
    <phoneticPr fontId="205" type="noConversion"/>
  </si>
  <si>
    <t>1层</t>
    <phoneticPr fontId="205" type="noConversion"/>
  </si>
  <si>
    <t>新疆维吾尔自治区伊犁哈萨克自治州伊宁市经济合作区上海路以西山东路以南（万荣广场）C座6层601号</t>
    <phoneticPr fontId="205" type="noConversion"/>
  </si>
  <si>
    <t>6层</t>
    <phoneticPr fontId="205" type="noConversion"/>
  </si>
  <si>
    <t>新疆维吾尔自治区伊犁哈萨克自治州伊宁市经济合作区上海路以西山东路以南（万荣广场）C座6层602号</t>
    <phoneticPr fontId="205" type="noConversion"/>
  </si>
  <si>
    <t>新疆维吾尔自治区伊犁哈萨克自治州伊宁市经济合作区上海路以西山东路以南（万荣广场）C座7层701号</t>
    <phoneticPr fontId="205" type="noConversion"/>
  </si>
  <si>
    <t>新疆维吾尔自治区伊犁哈萨克自治州伊宁市经济合作区上海路以西山东路以南（万荣广场）C座7层702号</t>
    <phoneticPr fontId="205" type="noConversion"/>
  </si>
  <si>
    <t>新疆维吾尔自治区伊犁哈萨克自治州伊宁市经济合作区上海路以西山东路以南（万荣广场）C座8层801号</t>
    <phoneticPr fontId="205" type="noConversion"/>
  </si>
  <si>
    <t>7层</t>
    <phoneticPr fontId="205" type="noConversion"/>
  </si>
  <si>
    <t>7层</t>
    <phoneticPr fontId="205" type="noConversion"/>
  </si>
  <si>
    <t>8层</t>
    <phoneticPr fontId="205" type="noConversion"/>
  </si>
  <si>
    <t>合计</t>
    <phoneticPr fontId="205" type="noConversion"/>
  </si>
  <si>
    <t>——</t>
    <phoneticPr fontId="205" type="noConversion"/>
  </si>
  <si>
    <t>新华人寿保险股份有限公司新疆分公司</t>
    <phoneticPr fontId="6" type="noConversion"/>
  </si>
  <si>
    <t>可视性</t>
    <phoneticPr fontId="45" type="noConversion"/>
  </si>
  <si>
    <t>一般</t>
    <phoneticPr fontId="45" type="noConversion"/>
  </si>
  <si>
    <t>较好</t>
    <phoneticPr fontId="45" type="noConversion"/>
  </si>
  <si>
    <t>较差</t>
    <phoneticPr fontId="45" type="noConversion"/>
  </si>
  <si>
    <t>可餐饮</t>
  </si>
  <si>
    <t>收益法(商业元)</t>
  </si>
  <si>
    <t>收益法(商业元)</t>
    <phoneticPr fontId="17" type="noConversion"/>
  </si>
  <si>
    <t>可视性</t>
    <phoneticPr fontId="205" type="noConversion"/>
  </si>
  <si>
    <t>较好</t>
    <phoneticPr fontId="205" type="noConversion"/>
  </si>
  <si>
    <t>一般</t>
    <phoneticPr fontId="205" type="noConversion"/>
  </si>
  <si>
    <t>较差</t>
    <phoneticPr fontId="205" type="noConversion"/>
  </si>
  <si>
    <t>解放西路</t>
    <phoneticPr fontId="46" type="noConversion"/>
  </si>
  <si>
    <t>西环路</t>
    <phoneticPr fontId="46" type="noConversion"/>
  </si>
  <si>
    <t>新华西路</t>
    <phoneticPr fontId="46" type="noConversion"/>
  </si>
  <si>
    <t>500-1000</t>
    <phoneticPr fontId="46" type="noConversion"/>
  </si>
  <si>
    <t>500-1000</t>
    <phoneticPr fontId="205" type="noConversion"/>
  </si>
  <si>
    <t>收益法(办公元)</t>
  </si>
  <si>
    <t>收益法(办公元)</t>
    <phoneticPr fontId="17" type="noConversion"/>
  </si>
  <si>
    <t>平台</t>
  </si>
  <si>
    <t>平台</t>
    <phoneticPr fontId="34" type="noConversion"/>
  </si>
  <si>
    <t>基准户型7层</t>
    <phoneticPr fontId="34" type="noConversion"/>
  </si>
  <si>
    <r>
      <t>8</t>
    </r>
    <r>
      <rPr>
        <sz val="10"/>
        <color indexed="8"/>
        <rFont val="宋体"/>
        <family val="3"/>
        <charset val="134"/>
      </rPr>
      <t>层</t>
    </r>
    <phoneticPr fontId="34" type="noConversion"/>
  </si>
  <si>
    <r>
      <t>6</t>
    </r>
    <r>
      <rPr>
        <sz val="10"/>
        <color indexed="8"/>
        <rFont val="宋体"/>
        <family val="3"/>
        <charset val="134"/>
      </rPr>
      <t>层</t>
    </r>
    <phoneticPr fontId="34" type="noConversion"/>
  </si>
  <si>
    <t>商业C区1060</t>
  </si>
  <si>
    <t>商业C区1060</t>
    <phoneticPr fontId="3" type="noConversion"/>
  </si>
  <si>
    <t>商业C区1060</t>
    <phoneticPr fontId="7" type="noConversion"/>
  </si>
  <si>
    <t>平面位置</t>
    <phoneticPr fontId="45" type="noConversion"/>
  </si>
  <si>
    <t>平面位置</t>
    <phoneticPr fontId="205" type="noConversion"/>
  </si>
  <si>
    <t>较差</t>
    <phoneticPr fontId="3" type="noConversion"/>
  </si>
  <si>
    <t>差</t>
    <phoneticPr fontId="3" type="noConversion"/>
  </si>
  <si>
    <t>较好</t>
    <phoneticPr fontId="3" type="noConversion"/>
  </si>
  <si>
    <t>较差</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</si>
</sst>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10" borderId="6"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183" fontId="261" fillId="0" borderId="1" xfId="0" applyNumberFormat="1" applyFont="1" applyBorder="1" applyAlignment="1" applyProtection="1">
      <alignment horizontal="center" vertical="center"/>
      <protection locked="0"/>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wrapText="1"/>
    </xf>
    <xf numFmtId="0" fontId="131" fillId="0" borderId="1" xfId="0" applyFont="1" applyBorder="1" applyAlignment="1">
      <alignment horizontal="center" vertical="center"/>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8" fillId="0" borderId="1"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68" fillId="0" borderId="15" xfId="0" applyFont="1" applyBorder="1" applyAlignment="1" applyProtection="1">
      <alignment horizontal="center" vertical="center"/>
      <protection locked="0"/>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151"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91"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153" fillId="6" borderId="1" xfId="0" applyFont="1" applyFill="1" applyBorder="1" applyAlignment="1" applyProtection="1">
      <alignment horizontal="center" vertical="center" wrapText="1"/>
    </xf>
    <xf numFmtId="0" fontId="71" fillId="6" borderId="23" xfId="0" applyFont="1" applyFill="1" applyBorder="1" applyAlignment="1" applyProtection="1">
      <alignment horizontal="left"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36" fillId="6" borderId="23" xfId="0" applyFont="1" applyFill="1" applyBorder="1" applyProtection="1">
      <alignmen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1" fillId="6" borderId="48"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136" fillId="6" borderId="25" xfId="0" applyFont="1" applyFill="1" applyBorder="1" applyProtection="1">
      <alignment vertical="center"/>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31" fillId="0" borderId="1" xfId="0" applyFont="1" applyBorder="1" applyAlignment="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3056" customWidth="1"/>
    <col min="2" max="2" width="81" style="3073" customWidth="1"/>
    <col min="3" max="16384" width="9" style="3071"/>
  </cols>
  <sheetData>
    <row r="1" spans="1:2" s="3059" customFormat="1" ht="16.5" thickBot="1">
      <c r="A1" s="3058" t="s">
        <v>2799</v>
      </c>
      <c r="B1" s="3057" t="s">
        <v>2889</v>
      </c>
    </row>
    <row r="2" spans="1:2" s="3062" customFormat="1" ht="15" thickTop="1">
      <c r="A2" s="3060" t="s">
        <v>2800</v>
      </c>
      <c r="B2" s="3061" t="str">
        <f>'预评函-封皮'!B37:I37</f>
        <v>新疆伊宁市经济合作区上海路以西山东路以南（万荣广场）房地产市场价值预评估</v>
      </c>
    </row>
    <row r="3" spans="1:2" s="3065" customFormat="1">
      <c r="A3" s="3063" t="s">
        <v>2801</v>
      </c>
      <c r="B3" s="3064" t="str">
        <f>'预评函-封皮'!B40</f>
        <v>新华人寿保险股份有限公司新疆分公司</v>
      </c>
    </row>
    <row r="4" spans="1:2" s="3065" customFormat="1">
      <c r="A4" s="3063" t="s">
        <v>2802</v>
      </c>
      <c r="B4" s="3064" t="str">
        <f ca="1">'预评函-封皮'!B46</f>
        <v>吴薇（注册号：1419970001)、刘梅（注册号：0)</v>
      </c>
    </row>
    <row r="5" spans="1:2" s="3059" customFormat="1" ht="15" thickBot="1">
      <c r="A5" s="3066" t="s">
        <v>2803</v>
      </c>
      <c r="B5" s="3067" t="str">
        <f>'预评函-封皮'!B49</f>
        <v>康正预评字号</v>
      </c>
    </row>
    <row r="6" spans="1:2" s="3062" customFormat="1" ht="15" thickTop="1">
      <c r="A6" s="3060" t="s">
        <v>2804</v>
      </c>
      <c r="B6" s="3061" t="str">
        <f>'预评函-1'!A4</f>
        <v>受贵公司委托，我公司对新疆伊宁市经济合作区上海路以西山东路以南（万荣广场）房地产市场价值进行了预评估。</v>
      </c>
    </row>
    <row r="7" spans="1:2" s="3065" customFormat="1">
      <c r="A7" s="3063" t="s">
        <v>2844</v>
      </c>
      <c r="B7" s="3064" t="str">
        <f>'预评函-1'!A7</f>
        <v>估价对象为新疆伊宁市经济合作区上海路以西山东路以南（万荣广场）房地产，为新疆万荣房地产开发有限公司所有。根据《国有土地使用证》，估价对象（分摊）出让国有建设用地使用权面积为0平方米，建筑面积为3353.77平方米。</v>
      </c>
    </row>
    <row r="8" spans="1:2" s="3065" customFormat="1">
      <c r="A8" s="3063" t="s">
        <v>2845</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2846</v>
      </c>
      <c r="B9" s="3064" t="str">
        <f>'预评函-1'!A10</f>
        <v>估价对象为新疆伊宁市经济合作区上海路以西山东路以南（万荣广场）房地产,属新疆万荣房地产开发有限公司开发建设的，该项目尚在开发建设中。根据《国有土地使用证》，估价对象（分摊）出让国有建设用地使用权面积为0平方米，规划建筑面积为3353.77平方米。</v>
      </c>
    </row>
    <row r="10" spans="1:2" s="3065" customFormat="1">
      <c r="A10" s="3063" t="s">
        <v>2847</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2805</v>
      </c>
      <c r="B11" s="3064" t="str">
        <f>'预评函-1'!A13</f>
        <v>为估价委托人了解估价对象房地产市场价值提供参考依据。</v>
      </c>
    </row>
    <row r="12" spans="1:2" s="3065" customFormat="1">
      <c r="A12" s="3063" t="s">
        <v>2806</v>
      </c>
      <c r="B12" s="3064" t="str">
        <f>'预评函-1'!A15</f>
        <v>2017年9月25日（评估专业人员实地查勘之日）</v>
      </c>
    </row>
    <row r="13" spans="1:2" s="3065" customFormat="1">
      <c r="A13" s="3063" t="s">
        <v>2807</v>
      </c>
      <c r="B13" s="3064" t="str">
        <f>'预评函-1'!A18</f>
        <v>本次估价的“房地产价值”是指在正常市场情况下，在价值时点2017年9月25日，估价对象规划用途为商业、住宅，土地取得方式为出让，出让国有建设用地使用权剩余土地使用年限为住宅63.93年、商业33.9年，假定未设立法定优先受偿款下的房地产市场价值。</v>
      </c>
    </row>
    <row r="14" spans="1:2" s="3065" customFormat="1">
      <c r="A14" s="3063" t="s">
        <v>2808</v>
      </c>
      <c r="B14" s="3064" t="str">
        <f>'预评函-1'!A19</f>
        <v>其中，“出让国有建设用地使用权价值”是指估价对象用途为商业、住宅，实际开发程度为宗地红线外“七通”（即通路、通电、通讯、通上水、通下水、通热、燃气）、红线内场地平整条件下，剩余土地使用年限为住宅63.93年、商业33.9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2809</v>
      </c>
      <c r="B15" s="3064" t="str">
        <f>'预评函-1'!A20</f>
        <v>本次估价的“房地产抵押价值”是指估价对象在价值时点的“房地产价值”扣减估价师于价值时点所知悉的法定优先受偿款后的余额。</v>
      </c>
    </row>
    <row r="16" spans="1:2" s="3065" customFormat="1">
      <c r="A16" s="3063" t="s">
        <v>2810</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2811</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2812</v>
      </c>
      <c r="B18" s="3067" t="str">
        <f>'预评函-1'!A24</f>
        <v>本次评估采用的主估价方法为比较法和收益法。</v>
      </c>
    </row>
    <row r="19" spans="1:2" s="3062" customFormat="1" ht="15" thickTop="1">
      <c r="A19" s="3060" t="s">
        <v>2813</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2814</v>
      </c>
      <c r="B20" s="3064">
        <f ca="1">'预评函-2'!D5</f>
        <v>1315</v>
      </c>
    </row>
    <row r="21" spans="1:2" s="3065" customFormat="1">
      <c r="A21" s="3063" t="s">
        <v>2815</v>
      </c>
      <c r="B21" s="3064">
        <f ca="1">'预评函-2'!D7</f>
        <v>6462</v>
      </c>
    </row>
    <row r="22" spans="1:2" s="3065" customFormat="1">
      <c r="A22" s="3063" t="s">
        <v>2816</v>
      </c>
      <c r="B22" s="3064" t="str">
        <f ca="1">'预评函-2'!D6</f>
        <v>壹仟叁佰壹拾伍万元整</v>
      </c>
    </row>
    <row r="23" spans="1:2" s="3065" customFormat="1">
      <c r="A23" s="3063" t="s">
        <v>2877</v>
      </c>
      <c r="B23" s="3064" t="str">
        <f>'预评函-2'!B8</f>
        <v>2.估价师知悉的法定优先受偿款</v>
      </c>
    </row>
    <row r="24" spans="1:2" s="3065" customFormat="1">
      <c r="A24" s="3063" t="s">
        <v>2883</v>
      </c>
      <c r="B24" s="3064">
        <f>'预评函-2'!D8</f>
        <v>0</v>
      </c>
    </row>
    <row r="25" spans="1:2" s="3065" customFormat="1">
      <c r="A25" s="3063" t="s">
        <v>2817</v>
      </c>
      <c r="B25" s="3064" t="str">
        <f>'预评函-2'!D9</f>
        <v>零元整</v>
      </c>
    </row>
    <row r="26" spans="1:2" s="3065" customFormat="1">
      <c r="A26" s="3063" t="s">
        <v>2818</v>
      </c>
      <c r="B26" s="3064">
        <f>'预评函-2'!D10</f>
        <v>0</v>
      </c>
    </row>
    <row r="27" spans="1:2" s="3065" customFormat="1">
      <c r="A27" s="3063" t="s">
        <v>2819</v>
      </c>
      <c r="B27" s="3064">
        <f>'预评函-2'!D11</f>
        <v>0</v>
      </c>
    </row>
    <row r="28" spans="1:2" s="3065" customFormat="1">
      <c r="A28" s="3063" t="s">
        <v>2820</v>
      </c>
      <c r="B28" s="3064">
        <f>'预评函-2'!D12</f>
        <v>0</v>
      </c>
    </row>
    <row r="29" spans="1:2" s="3065" customFormat="1">
      <c r="A29" s="3063" t="s">
        <v>2881</v>
      </c>
      <c r="B29" s="3064" t="str">
        <f>'预评函-2'!B13</f>
        <v>3.房地产抵押价值</v>
      </c>
    </row>
    <row r="30" spans="1:2" s="3065" customFormat="1">
      <c r="A30" s="3063" t="s">
        <v>2882</v>
      </c>
      <c r="B30" s="3064">
        <f ca="1">'预评函-2'!D13</f>
        <v>1315</v>
      </c>
    </row>
    <row r="31" spans="1:2" s="3065" customFormat="1">
      <c r="A31" s="3063" t="s">
        <v>2855</v>
      </c>
      <c r="B31" s="3064">
        <f ca="1">'预评函-2'!D15</f>
        <v>3921</v>
      </c>
    </row>
    <row r="32" spans="1:2" s="3065" customFormat="1">
      <c r="A32" s="3063" t="s">
        <v>2821</v>
      </c>
      <c r="B32" s="3064" t="str">
        <f ca="1">'预评函-2'!D14</f>
        <v>壹仟叁佰壹拾伍万元整</v>
      </c>
    </row>
    <row r="33" spans="1:2" s="3065" customFormat="1">
      <c r="A33" s="3063" t="s">
        <v>2857</v>
      </c>
      <c r="B33" s="3064" t="str">
        <f>'预评函-2'!B16</f>
        <v>——</v>
      </c>
    </row>
    <row r="34" spans="1:2" s="3065" customFormat="1">
      <c r="A34" s="3063" t="s">
        <v>2884</v>
      </c>
      <c r="B34" s="3064" t="str">
        <f>'预评函-2'!D16</f>
        <v>——</v>
      </c>
    </row>
    <row r="35" spans="1:2" s="3065" customFormat="1">
      <c r="A35" s="3063" t="s">
        <v>2856</v>
      </c>
      <c r="B35" s="3064" t="str">
        <f>'预评函-2'!D18</f>
        <v>——</v>
      </c>
    </row>
    <row r="36" spans="1:2" s="3065" customFormat="1">
      <c r="A36" s="3063" t="s">
        <v>2822</v>
      </c>
      <c r="B36" s="3064" t="e">
        <f>'预评函-2'!D17</f>
        <v>#VALUE!</v>
      </c>
    </row>
    <row r="37" spans="1:2" s="3065" customFormat="1">
      <c r="A37" s="3063" t="s">
        <v>2858</v>
      </c>
      <c r="B37" s="3064" t="str">
        <f>'预评函-2'!B19</f>
        <v>——</v>
      </c>
    </row>
    <row r="38" spans="1:2" s="3065" customFormat="1">
      <c r="A38" s="3063" t="s">
        <v>2885</v>
      </c>
      <c r="B38" s="3064" t="str">
        <f>'预评函-2'!D19</f>
        <v>——</v>
      </c>
    </row>
    <row r="39" spans="1:2" s="3065" customFormat="1">
      <c r="A39" s="3063" t="s">
        <v>2823</v>
      </c>
      <c r="B39" s="3064" t="str">
        <f>'预评函-2'!D21</f>
        <v>——</v>
      </c>
    </row>
    <row r="40" spans="1:2" s="3065" customFormat="1">
      <c r="A40" s="3063" t="s">
        <v>2824</v>
      </c>
      <c r="B40" s="3064" t="e">
        <f>'预评函-2'!D20</f>
        <v>#VALUE!</v>
      </c>
    </row>
    <row r="41" spans="1:2" s="3065" customFormat="1">
      <c r="A41" s="3063" t="s">
        <v>2880</v>
      </c>
      <c r="B41" s="3064" t="str">
        <f>'预评函-3'!A4</f>
        <v>新疆伊宁市经济合作区上海路以西山东路以南（万荣广场）房地产</v>
      </c>
    </row>
    <row r="42" spans="1:2" s="3065" customFormat="1">
      <c r="A42" s="3063" t="s">
        <v>2878</v>
      </c>
      <c r="B42" s="3064" t="str">
        <f>'预评函-3'!B2</f>
        <v>建筑面积</v>
      </c>
    </row>
    <row r="43" spans="1:2" s="3065" customFormat="1">
      <c r="A43" s="3063" t="s">
        <v>2879</v>
      </c>
      <c r="B43" s="3064">
        <f>'预评函-3'!B4</f>
        <v>3353.7699999999995</v>
      </c>
    </row>
    <row r="44" spans="1:2" s="3065" customFormat="1">
      <c r="A44" s="3063" t="s">
        <v>2854</v>
      </c>
      <c r="B44" s="3064" t="str">
        <f>'预评函-3'!C2</f>
        <v>(分摊)土地面积</v>
      </c>
    </row>
    <row r="45" spans="1:2" s="3065" customFormat="1">
      <c r="A45" s="3063" t="s">
        <v>2825</v>
      </c>
      <c r="B45" s="3064">
        <f>'预评函-3'!C4</f>
        <v>0</v>
      </c>
    </row>
    <row r="46" spans="1:2" s="3065" customFormat="1">
      <c r="A46" s="3063" t="s">
        <v>2852</v>
      </c>
      <c r="B46" s="3064" t="str">
        <f>'预评函-3'!D2</f>
        <v>出让国有建设用地使用权价值</v>
      </c>
    </row>
    <row r="47" spans="1:2" s="3065" customFormat="1">
      <c r="A47" s="3063" t="s">
        <v>2826</v>
      </c>
      <c r="B47" s="3064" t="e">
        <f ca="1">'预评函-3'!D4</f>
        <v>#REF!</v>
      </c>
    </row>
    <row r="48" spans="1:2" s="3065" customFormat="1">
      <c r="A48" s="3063" t="s">
        <v>2827</v>
      </c>
      <c r="B48" s="3064" t="e">
        <f ca="1">'预评函-3'!E4</f>
        <v>#REF!</v>
      </c>
    </row>
    <row r="49" spans="1:2" s="3065" customFormat="1">
      <c r="A49" s="3063" t="s">
        <v>2828</v>
      </c>
      <c r="B49" s="3064" t="e">
        <f ca="1">'预评函-3'!D5</f>
        <v>#REF!</v>
      </c>
    </row>
    <row r="50" spans="1:2" s="3065" customFormat="1">
      <c r="A50" s="3063" t="s">
        <v>2853</v>
      </c>
      <c r="B50" s="3064" t="str">
        <f>'预评函-3'!F2</f>
        <v>在建建筑物价值</v>
      </c>
    </row>
    <row r="51" spans="1:2" s="3065" customFormat="1">
      <c r="A51" s="3063" t="s">
        <v>2829</v>
      </c>
      <c r="B51" s="3064" t="e">
        <f ca="1">'预评函-3'!F4</f>
        <v>#REF!</v>
      </c>
    </row>
    <row r="52" spans="1:2" s="3065" customFormat="1">
      <c r="A52" s="3063" t="s">
        <v>2830</v>
      </c>
      <c r="B52" s="3064" t="e">
        <f ca="1">'预评函-3'!G4</f>
        <v>#REF!</v>
      </c>
    </row>
    <row r="53" spans="1:2" s="3065" customFormat="1">
      <c r="A53" s="3063" t="s">
        <v>2859</v>
      </c>
      <c r="B53" s="3064" t="e">
        <f ca="1">'预评函-3'!F5</f>
        <v>#REF!</v>
      </c>
    </row>
    <row r="54" spans="1:2" s="3065" customFormat="1">
      <c r="A54" s="3063" t="s">
        <v>2887</v>
      </c>
      <c r="B54" s="3064" t="str">
        <f>'预评函-3'!A8</f>
        <v>房地产抵押价值</v>
      </c>
    </row>
    <row r="55" spans="1:2" s="3065" customFormat="1">
      <c r="A55" s="3063" t="s">
        <v>2860</v>
      </c>
      <c r="B55" s="3064" t="str">
        <f>'预评函-3'!A10</f>
        <v/>
      </c>
    </row>
    <row r="56" spans="1:2" s="3065" customFormat="1">
      <c r="A56" s="3063" t="s">
        <v>2861</v>
      </c>
      <c r="B56" s="3064" t="str">
        <f>'预评函-3'!A12</f>
        <v/>
      </c>
    </row>
    <row r="57" spans="1:2" s="3059" customFormat="1" ht="15" thickBot="1">
      <c r="A57" s="3066" t="s">
        <v>2888</v>
      </c>
      <c r="B57" s="3067" t="str">
        <f>'预评函-3'!A6</f>
        <v>估价师知悉的法定优先受偿款</v>
      </c>
    </row>
    <row r="58" spans="1:2" s="3062" customFormat="1" ht="15" thickTop="1">
      <c r="A58" s="3060" t="s">
        <v>2831</v>
      </c>
      <c r="B58" s="3061" t="str">
        <f>'预评函-4'!A12</f>
        <v/>
      </c>
    </row>
    <row r="59" spans="1:2" s="3065" customFormat="1">
      <c r="A59" s="3063" t="s">
        <v>2832</v>
      </c>
      <c r="B59" s="3064" t="str">
        <f>'预评函-4'!A13</f>
        <v/>
      </c>
    </row>
    <row r="60" spans="1:2" s="3065" customFormat="1">
      <c r="A60" s="3063" t="s">
        <v>2833</v>
      </c>
      <c r="B60" s="3064" t="str">
        <f>'预评函-4'!A14</f>
        <v/>
      </c>
    </row>
    <row r="61" spans="1:2" s="3065" customFormat="1">
      <c r="A61" s="3063" t="s">
        <v>2834</v>
      </c>
      <c r="B61" s="3064" t="str">
        <f>'预评函-4'!A15</f>
        <v/>
      </c>
    </row>
    <row r="62" spans="1:2" s="3065" customFormat="1">
      <c r="A62" s="3063" t="s">
        <v>2835</v>
      </c>
      <c r="B62" s="3064" t="str">
        <f>'预评函-4'!A16</f>
        <v>（2）根据《工程款支付情况说明》，截至价值时点，估价对象不存在应付未付工程款项。（只要没有施工方盖章的，均“设定”进行表述）</v>
      </c>
    </row>
    <row r="63" spans="1:2" s="3065" customFormat="1">
      <c r="A63" s="3063" t="s">
        <v>2836</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2848</v>
      </c>
      <c r="B64" s="3064" t="str">
        <f>'预评函-4'!A18</f>
        <v/>
      </c>
    </row>
    <row r="65" spans="1:2" s="3065" customFormat="1">
      <c r="A65" s="3063" t="s">
        <v>2837</v>
      </c>
      <c r="B65" s="3064"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2838</v>
      </c>
      <c r="B66" s="30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5" customFormat="1">
      <c r="A67" s="3063" t="s">
        <v>2849</v>
      </c>
      <c r="B67" s="30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5" customFormat="1">
      <c r="A68" s="3063" t="s">
        <v>2850</v>
      </c>
      <c r="B68" s="3064" t="str">
        <f>'预评函-4'!A22</f>
        <v>8.其他需特殊说明事项：无（注意调整序号）</v>
      </c>
    </row>
    <row r="69" spans="1:2" s="3059" customFormat="1" ht="15" thickBot="1">
      <c r="A69" s="3066" t="s">
        <v>2839</v>
      </c>
      <c r="B69" s="3068">
        <f>'预评函-4'!C31</f>
        <v>42551</v>
      </c>
    </row>
    <row r="70" spans="1:2" ht="15" thickTop="1">
      <c r="A70" s="3069" t="s">
        <v>2840</v>
      </c>
      <c r="B70" s="3070" t="str">
        <f>'预评函-4'!A4</f>
        <v>吴薇</v>
      </c>
    </row>
    <row r="71" spans="1:2">
      <c r="A71" s="3063" t="s">
        <v>2841</v>
      </c>
      <c r="B71" s="3064">
        <f ca="1">'预评函-4'!B4</f>
        <v>1419970001</v>
      </c>
    </row>
    <row r="72" spans="1:2">
      <c r="A72" s="3063" t="s">
        <v>2842</v>
      </c>
      <c r="B72" s="3072" t="str">
        <f>'预评函-4'!A5</f>
        <v>刘梅</v>
      </c>
    </row>
    <row r="73" spans="1:2" s="3059" customFormat="1" ht="15" thickBot="1">
      <c r="A73" s="3066" t="s">
        <v>2843</v>
      </c>
      <c r="B73" s="3067">
        <f ca="1">'预评函-4'!B5</f>
        <v>0</v>
      </c>
    </row>
    <row r="74" spans="1:2" ht="15" thickTop="1">
      <c r="A74" s="3056" t="s">
        <v>2905</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22" sqref="B22"/>
    </sheetView>
  </sheetViews>
  <sheetFormatPr defaultColWidth="9"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254</v>
      </c>
      <c r="C1" s="1768"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2643</v>
      </c>
      <c r="R1" s="1485" t="s">
        <v>2633</v>
      </c>
      <c r="S1" s="290" t="s">
        <v>267</v>
      </c>
      <c r="T1" s="291" t="s">
        <v>268</v>
      </c>
      <c r="U1" s="290" t="s">
        <v>269</v>
      </c>
      <c r="V1" s="290" t="s">
        <v>270</v>
      </c>
      <c r="W1" s="1485" t="s">
        <v>1845</v>
      </c>
    </row>
    <row r="2" spans="1:23">
      <c r="A2" s="2799" t="s">
        <v>111</v>
      </c>
      <c r="B2" s="2799" t="s">
        <v>576</v>
      </c>
      <c r="C2" s="1769"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2637</v>
      </c>
      <c r="S2" s="292" t="s">
        <v>229</v>
      </c>
      <c r="T2" s="292" t="s">
        <v>230</v>
      </c>
      <c r="U2" s="292" t="s">
        <v>229</v>
      </c>
      <c r="V2" s="292" t="s">
        <v>231</v>
      </c>
      <c r="W2" s="292" t="s">
        <v>229</v>
      </c>
    </row>
    <row r="3" spans="1:23">
      <c r="A3" s="2799" t="s">
        <v>575</v>
      </c>
      <c r="B3" s="2800" t="s">
        <v>2679</v>
      </c>
      <c r="C3" s="1770"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2635</v>
      </c>
      <c r="S3" s="292" t="s">
        <v>237</v>
      </c>
      <c r="T3" s="292" t="s">
        <v>238</v>
      </c>
      <c r="U3" s="292" t="s">
        <v>237</v>
      </c>
      <c r="V3" s="292" t="s">
        <v>239</v>
      </c>
      <c r="W3" s="292" t="s">
        <v>237</v>
      </c>
    </row>
    <row r="4" spans="1:23">
      <c r="A4" s="2799" t="s">
        <v>577</v>
      </c>
      <c r="B4" s="2799" t="s">
        <v>578</v>
      </c>
      <c r="C4" s="1769" t="s">
        <v>1873</v>
      </c>
      <c r="D4" s="292" t="s">
        <v>2043</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2638</v>
      </c>
      <c r="S4" s="292" t="s">
        <v>240</v>
      </c>
      <c r="T4" s="292" t="s">
        <v>241</v>
      </c>
      <c r="U4" s="292" t="s">
        <v>240</v>
      </c>
      <c r="W4" s="292" t="s">
        <v>240</v>
      </c>
    </row>
    <row r="5" spans="1:23">
      <c r="A5" s="2799" t="s">
        <v>579</v>
      </c>
      <c r="B5" s="2799" t="s">
        <v>580</v>
      </c>
      <c r="C5" s="1769" t="s">
        <v>1874</v>
      </c>
      <c r="F5" s="292" t="s">
        <v>242</v>
      </c>
      <c r="H5" s="292" t="s">
        <v>243</v>
      </c>
      <c r="I5" s="292" t="s">
        <v>244</v>
      </c>
      <c r="K5" s="292" t="s">
        <v>245</v>
      </c>
      <c r="L5" s="292" t="s">
        <v>245</v>
      </c>
      <c r="M5" s="292" t="s">
        <v>245</v>
      </c>
      <c r="N5" s="292" t="s">
        <v>245</v>
      </c>
      <c r="O5" s="292" t="s">
        <v>245</v>
      </c>
      <c r="P5" s="292" t="s">
        <v>245</v>
      </c>
      <c r="Q5" s="292" t="s">
        <v>245</v>
      </c>
      <c r="R5" s="2762" t="s">
        <v>2639</v>
      </c>
      <c r="S5" s="292" t="s">
        <v>245</v>
      </c>
      <c r="T5" s="292" t="s">
        <v>246</v>
      </c>
      <c r="U5" s="292" t="s">
        <v>245</v>
      </c>
      <c r="W5" s="292" t="s">
        <v>245</v>
      </c>
    </row>
    <row r="6" spans="1:23">
      <c r="A6" s="2799" t="s">
        <v>581</v>
      </c>
      <c r="B6" s="2800" t="s">
        <v>2680</v>
      </c>
      <c r="C6" s="1771" t="s">
        <v>160</v>
      </c>
      <c r="F6" s="292" t="s">
        <v>247</v>
      </c>
      <c r="H6" s="292" t="s">
        <v>248</v>
      </c>
      <c r="I6" s="292" t="s">
        <v>249</v>
      </c>
      <c r="K6" s="292" t="s">
        <v>250</v>
      </c>
      <c r="L6" s="292" t="s">
        <v>250</v>
      </c>
      <c r="M6" s="292" t="s">
        <v>250</v>
      </c>
      <c r="N6" s="292" t="s">
        <v>250</v>
      </c>
      <c r="O6" s="292" t="s">
        <v>250</v>
      </c>
      <c r="P6" s="292" t="s">
        <v>250</v>
      </c>
      <c r="Q6" s="292" t="s">
        <v>250</v>
      </c>
      <c r="R6" s="2762" t="s">
        <v>2640</v>
      </c>
      <c r="S6" s="292" t="s">
        <v>250</v>
      </c>
      <c r="T6" s="292"/>
      <c r="U6" s="292" t="s">
        <v>250</v>
      </c>
      <c r="W6" s="292" t="s">
        <v>250</v>
      </c>
    </row>
    <row r="7" spans="1:23">
      <c r="A7" s="2799" t="s">
        <v>583</v>
      </c>
      <c r="B7" s="2800" t="s">
        <v>2681</v>
      </c>
      <c r="C7" s="1769" t="s">
        <v>161</v>
      </c>
      <c r="F7" s="292" t="s">
        <v>251</v>
      </c>
      <c r="H7" s="292" t="s">
        <v>252</v>
      </c>
      <c r="I7" s="292" t="s">
        <v>253</v>
      </c>
    </row>
    <row r="8" spans="1:23">
      <c r="A8" s="2799" t="s">
        <v>585</v>
      </c>
      <c r="B8" s="2799" t="s">
        <v>582</v>
      </c>
      <c r="C8" s="1769" t="s">
        <v>1875</v>
      </c>
      <c r="F8" s="292" t="s">
        <v>280</v>
      </c>
      <c r="H8" s="292"/>
      <c r="I8" s="292" t="s">
        <v>281</v>
      </c>
    </row>
    <row r="9" spans="1:23">
      <c r="A9" s="2799" t="s">
        <v>587</v>
      </c>
      <c r="B9" s="2799" t="s">
        <v>584</v>
      </c>
      <c r="C9" s="1769" t="s">
        <v>1876</v>
      </c>
      <c r="F9" s="292" t="s">
        <v>282</v>
      </c>
      <c r="H9" s="292"/>
    </row>
    <row r="10" spans="1:23">
      <c r="A10" s="2799" t="s">
        <v>589</v>
      </c>
      <c r="B10" s="2799" t="s">
        <v>586</v>
      </c>
      <c r="C10" s="1769" t="s">
        <v>1877</v>
      </c>
      <c r="F10" s="292" t="s">
        <v>51</v>
      </c>
    </row>
    <row r="11" spans="1:23">
      <c r="A11" s="2799" t="s">
        <v>591</v>
      </c>
      <c r="B11" s="2799" t="s">
        <v>588</v>
      </c>
      <c r="C11" s="1769" t="s">
        <v>1878</v>
      </c>
    </row>
    <row r="12" spans="1:23">
      <c r="A12" s="2799" t="s">
        <v>593</v>
      </c>
      <c r="B12" s="2799" t="s">
        <v>590</v>
      </c>
      <c r="C12" s="1769" t="s">
        <v>1879</v>
      </c>
    </row>
    <row r="13" spans="1:23">
      <c r="A13" s="2799" t="s">
        <v>595</v>
      </c>
      <c r="B13" s="2799" t="s">
        <v>592</v>
      </c>
      <c r="C13" s="1769" t="s">
        <v>1880</v>
      </c>
    </row>
    <row r="14" spans="1:23">
      <c r="A14" s="2799" t="s">
        <v>597</v>
      </c>
      <c r="B14" s="2799" t="s">
        <v>594</v>
      </c>
      <c r="C14" s="292" t="s">
        <v>51</v>
      </c>
    </row>
    <row r="15" spans="1:23">
      <c r="A15" s="2799" t="s">
        <v>598</v>
      </c>
      <c r="B15" s="2799" t="s">
        <v>596</v>
      </c>
      <c r="C15" s="1772"/>
    </row>
    <row r="16" spans="1:23">
      <c r="A16" s="2799" t="s">
        <v>599</v>
      </c>
      <c r="B16" s="2799" t="s">
        <v>1861</v>
      </c>
      <c r="C16" s="1772"/>
    </row>
    <row r="17" spans="1:3">
      <c r="A17" s="2799" t="s">
        <v>600</v>
      </c>
      <c r="B17" s="2799" t="s">
        <v>3123</v>
      </c>
      <c r="C17" s="1772"/>
    </row>
    <row r="18" spans="1:3">
      <c r="A18" s="2799" t="s">
        <v>601</v>
      </c>
      <c r="B18" s="2799" t="s">
        <v>3150</v>
      </c>
      <c r="C18" s="1772"/>
    </row>
    <row r="19" spans="1:3">
      <c r="A19" s="2799" t="s">
        <v>602</v>
      </c>
      <c r="B19" s="2799" t="s">
        <v>3196</v>
      </c>
      <c r="C19" s="1772"/>
    </row>
    <row r="20" spans="1:3">
      <c r="A20" s="2799" t="s">
        <v>603</v>
      </c>
      <c r="B20" s="2799" t="s">
        <v>3207</v>
      </c>
      <c r="C20" s="1772"/>
    </row>
    <row r="21" spans="1:3">
      <c r="A21" s="2799" t="s">
        <v>604</v>
      </c>
      <c r="B21" s="2799" t="s">
        <v>1862</v>
      </c>
      <c r="C21" s="1772"/>
    </row>
    <row r="22" spans="1:3">
      <c r="A22" s="2799" t="s">
        <v>605</v>
      </c>
      <c r="B22" s="2799" t="s">
        <v>1862</v>
      </c>
      <c r="C22" s="1772"/>
    </row>
    <row r="23" spans="1:3">
      <c r="A23" s="2799" t="s">
        <v>606</v>
      </c>
      <c r="B23" s="2799" t="s">
        <v>1862</v>
      </c>
      <c r="C23" s="1772"/>
    </row>
    <row r="24" spans="1:3">
      <c r="A24" s="2799" t="s">
        <v>607</v>
      </c>
      <c r="B24" s="2799" t="s">
        <v>1862</v>
      </c>
      <c r="C24" s="1772"/>
    </row>
    <row r="25" spans="1:3">
      <c r="A25" s="2799" t="s">
        <v>608</v>
      </c>
      <c r="B25" s="2799" t="s">
        <v>1862</v>
      </c>
      <c r="C25" s="1772"/>
    </row>
    <row r="26" spans="1:3">
      <c r="A26" s="2799" t="s">
        <v>609</v>
      </c>
      <c r="B26" s="2799" t="s">
        <v>1862</v>
      </c>
      <c r="C26" s="1772"/>
    </row>
    <row r="27" spans="1:3">
      <c r="A27" s="2799" t="s">
        <v>1862</v>
      </c>
      <c r="B27" s="2799" t="s">
        <v>1862</v>
      </c>
      <c r="C27" s="1772"/>
    </row>
    <row r="28" spans="1:3">
      <c r="A28" s="2799" t="s">
        <v>1862</v>
      </c>
      <c r="B28" s="2799" t="s">
        <v>1862</v>
      </c>
      <c r="C28" s="1772"/>
    </row>
    <row r="29" spans="1:3">
      <c r="A29" s="2799" t="s">
        <v>1862</v>
      </c>
      <c r="B29" s="2799" t="s">
        <v>1862</v>
      </c>
      <c r="C29" s="1772"/>
    </row>
    <row r="30" spans="1:3">
      <c r="A30" s="2799" t="s">
        <v>1862</v>
      </c>
      <c r="B30" s="2799" t="s">
        <v>1862</v>
      </c>
      <c r="C30" s="1772"/>
    </row>
    <row r="31" spans="1:3">
      <c r="A31" s="2799" t="s">
        <v>1862</v>
      </c>
      <c r="B31" s="2799" t="s">
        <v>1862</v>
      </c>
      <c r="C31" s="1772"/>
    </row>
    <row r="32" spans="1:3">
      <c r="A32" s="2799" t="s">
        <v>1862</v>
      </c>
      <c r="B32" s="2799" t="s">
        <v>1862</v>
      </c>
      <c r="C32" s="1772"/>
    </row>
    <row r="33" spans="1:3">
      <c r="A33" s="2799" t="s">
        <v>1862</v>
      </c>
      <c r="B33" s="2799" t="s">
        <v>1862</v>
      </c>
      <c r="C33" s="1772"/>
    </row>
    <row r="34" spans="1:3">
      <c r="A34" s="2799" t="s">
        <v>1862</v>
      </c>
      <c r="B34" s="2799" t="s">
        <v>1862</v>
      </c>
      <c r="C34" s="1772"/>
    </row>
    <row r="35" spans="1:3">
      <c r="A35" s="2799" t="s">
        <v>1862</v>
      </c>
      <c r="B35" s="2799" t="s">
        <v>1862</v>
      </c>
      <c r="C35" s="1772"/>
    </row>
    <row r="36" spans="1:3">
      <c r="A36" s="2799" t="s">
        <v>1862</v>
      </c>
      <c r="B36" s="2799" t="s">
        <v>1862</v>
      </c>
      <c r="C36" s="1772"/>
    </row>
    <row r="37" spans="1:3">
      <c r="A37" s="2799" t="s">
        <v>1862</v>
      </c>
      <c r="B37" s="2799" t="s">
        <v>1862</v>
      </c>
      <c r="C37" s="1772"/>
    </row>
    <row r="38" spans="1:3">
      <c r="A38" s="2799" t="s">
        <v>1862</v>
      </c>
      <c r="B38" s="2799" t="s">
        <v>1862</v>
      </c>
      <c r="C38" s="1772"/>
    </row>
    <row r="39" spans="1:3">
      <c r="A39" s="2799" t="s">
        <v>1862</v>
      </c>
      <c r="B39" s="2799" t="s">
        <v>1862</v>
      </c>
      <c r="C39" s="1772"/>
    </row>
    <row r="40" spans="1:3">
      <c r="A40" s="2799" t="s">
        <v>1862</v>
      </c>
      <c r="B40" s="2799" t="s">
        <v>1862</v>
      </c>
      <c r="C40" s="1772"/>
    </row>
    <row r="41" spans="1:3">
      <c r="A41" s="2799" t="s">
        <v>1862</v>
      </c>
      <c r="B41" s="2799" t="s">
        <v>1862</v>
      </c>
      <c r="C41" s="1772"/>
    </row>
    <row r="42" spans="1:3">
      <c r="A42" s="2799" t="s">
        <v>1862</v>
      </c>
      <c r="B42" s="2799" t="s">
        <v>1862</v>
      </c>
      <c r="C42" s="1772"/>
    </row>
    <row r="43" spans="1:3">
      <c r="A43" s="2799" t="s">
        <v>1862</v>
      </c>
      <c r="B43" s="2799" t="s">
        <v>1862</v>
      </c>
      <c r="C43" s="1772"/>
    </row>
    <row r="44" spans="1:3">
      <c r="A44" s="2799" t="s">
        <v>1862</v>
      </c>
      <c r="B44" s="2799" t="s">
        <v>1862</v>
      </c>
      <c r="C44" s="1772"/>
    </row>
    <row r="45" spans="1:3">
      <c r="A45" s="2799" t="s">
        <v>1862</v>
      </c>
      <c r="B45" s="2799" t="s">
        <v>1862</v>
      </c>
      <c r="C45" s="1772"/>
    </row>
    <row r="46" spans="1:3">
      <c r="A46" s="2799" t="s">
        <v>1862</v>
      </c>
      <c r="B46" s="2799" t="s">
        <v>1862</v>
      </c>
      <c r="C46" s="1772"/>
    </row>
    <row r="47" spans="1:3">
      <c r="A47" s="2799" t="s">
        <v>1862</v>
      </c>
      <c r="B47" s="2799" t="s">
        <v>1862</v>
      </c>
      <c r="C47" s="1772"/>
    </row>
    <row r="48" spans="1:3">
      <c r="A48" s="2799" t="s">
        <v>1862</v>
      </c>
      <c r="B48" s="2799" t="s">
        <v>1862</v>
      </c>
      <c r="C48" s="1772"/>
    </row>
    <row r="49" spans="1:4">
      <c r="A49" s="2799" t="s">
        <v>1862</v>
      </c>
      <c r="B49" s="2799" t="s">
        <v>1862</v>
      </c>
      <c r="C49" s="1772"/>
    </row>
    <row r="50" spans="1:4">
      <c r="A50" s="2799" t="s">
        <v>1862</v>
      </c>
      <c r="B50" s="2799" t="s">
        <v>1862</v>
      </c>
      <c r="C50" s="1772"/>
    </row>
    <row r="51" spans="1:4">
      <c r="A51" s="1952" t="s">
        <v>2008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伊宁市经济合作区上海路以西山东路以南（万荣广场）房地产作为抵押担保物，向办理贷款手续。特委托北京康正宏基房地产评估有限公司对上述抵押物进行评估。本次评估为确定房地产抵押贷款额度提供参考依据而评估房地产抵押价值。</v>
      </c>
      <c r="D51" s="2094" t="s">
        <v>2868</v>
      </c>
    </row>
    <row r="52" spans="1:4">
      <c r="A52" s="1952" t="s">
        <v>2011</v>
      </c>
      <c r="B52" s="1952" t="s">
        <v>2012</v>
      </c>
      <c r="C52" s="1160" t="s">
        <v>2013</v>
      </c>
      <c r="D52" s="1160" t="s">
        <v>2014</v>
      </c>
    </row>
    <row r="53" spans="1:4">
      <c r="A53" s="3427" t="s">
        <v>2015</v>
      </c>
      <c r="B53" s="2094" t="s">
        <v>2016</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25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427"/>
      <c r="B54" s="2094" t="s">
        <v>2017</v>
      </c>
      <c r="C54" s="1160" t="s">
        <v>2865</v>
      </c>
    </row>
    <row r="55" spans="1:4">
      <c r="A55" s="3427"/>
      <c r="B55" s="2094" t="s">
        <v>2018</v>
      </c>
      <c r="C55" s="1160" t="s">
        <v>2866</v>
      </c>
    </row>
    <row r="56" spans="1:4">
      <c r="A56" s="3427"/>
      <c r="B56" s="2094" t="s">
        <v>2019</v>
      </c>
      <c r="C56" s="1160" t="s">
        <v>2876</v>
      </c>
    </row>
    <row r="57" spans="1:4">
      <c r="A57" s="3427"/>
      <c r="B57" s="2094" t="s">
        <v>2020</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6" sqref="L16"/>
    </sheetView>
  </sheetViews>
  <sheetFormatPr defaultColWidth="10" defaultRowHeight="18" customHeight="1"/>
  <cols>
    <col min="1" max="1" width="14.875" style="1201" customWidth="1"/>
    <col min="2" max="2" width="11" style="1201" customWidth="1"/>
    <col min="3" max="3" width="11.5" style="1201" customWidth="1"/>
    <col min="4" max="4" width="11.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2124</v>
      </c>
      <c r="B1" s="3428" t="str">
        <f>IF(B10="北京市","北京市",C10)&amp;F10&amp;IF('结果表（办公）'!G1="在建","出让国有建设用地使用权及在建建筑物",IF('结果表（办公）'!G1="土地","出让国有建设用地使用权",))&amp;B9&amp;"预评估"</f>
        <v>新疆伊宁市经济合作区上海路以西山东路以南（万荣广场）房地产市场价值预评估</v>
      </c>
      <c r="C1" s="3429"/>
      <c r="D1" s="3429"/>
      <c r="E1" s="3429"/>
      <c r="F1" s="3429"/>
      <c r="G1" s="3429"/>
      <c r="H1" s="3429"/>
      <c r="I1" s="3430"/>
      <c r="J1" s="1996"/>
      <c r="K1" s="2101"/>
      <c r="L1" s="1997"/>
      <c r="M1" s="1997"/>
      <c r="N1" s="1195"/>
      <c r="O1" s="11"/>
      <c r="P1" s="1195"/>
      <c r="Q1" s="1195"/>
      <c r="R1" s="1195"/>
      <c r="S1" s="1194" t="str">
        <f>IF(B10="北京市","北京市",C10)&amp;F10&amp;IF('结果表（办公）'!G1="在建","出让国有建设用地使用权及在建建筑物房地产抵押价值",IF('结果表（办公）'!G1="土地","出让国有建设用地使用权抵押价值",B9))</f>
        <v>新疆伊宁市经济合作区上海路以西山东路以南（万荣广场）房地产市场价值</v>
      </c>
    </row>
    <row r="2" spans="1:19" ht="18" customHeight="1">
      <c r="A2" s="1996" t="s">
        <v>2125</v>
      </c>
      <c r="B2" s="1943"/>
      <c r="C2" s="1998"/>
      <c r="D2" s="1996"/>
      <c r="E2" s="1999"/>
      <c r="F2" s="1999"/>
      <c r="G2" s="1996"/>
      <c r="H2" s="1996"/>
      <c r="I2" s="1996"/>
      <c r="J2" s="1996"/>
      <c r="K2" s="2101"/>
      <c r="L2" s="1997"/>
      <c r="M2" s="1997"/>
      <c r="N2" s="1195"/>
      <c r="O2" s="11"/>
      <c r="P2" s="1195"/>
      <c r="Q2" s="1195"/>
      <c r="R2" s="1195"/>
      <c r="S2" s="1194" t="str">
        <f>IF(B10="北京市","北京市",C10)&amp;F10&amp;IF('结果表（办公）'!G1="在建","出让国有建设用地使用权及在建建筑物房地产",IF('结果表（办公）'!G1="土地","出让国有建设用地使用权","房地产"))</f>
        <v>新疆伊宁市经济合作区上海路以西山东路以南（万荣广场）房地产</v>
      </c>
    </row>
    <row r="3" spans="1:19" ht="18" customHeight="1">
      <c r="A3" s="1941" t="s">
        <v>2001</v>
      </c>
      <c r="B3" s="3236">
        <v>43003</v>
      </c>
      <c r="C3" s="1924" t="s">
        <v>2002</v>
      </c>
      <c r="D3" s="3236">
        <v>43003</v>
      </c>
      <c r="E3" s="1996"/>
      <c r="F3" s="1996"/>
      <c r="G3" s="1996"/>
      <c r="H3" s="1996"/>
      <c r="I3" s="1996"/>
      <c r="J3" s="1996"/>
      <c r="K3" s="2101"/>
      <c r="L3" s="1997"/>
      <c r="M3" s="1997"/>
      <c r="N3" s="1195"/>
      <c r="O3" s="11"/>
      <c r="P3" s="1195"/>
      <c r="Q3" s="1195"/>
      <c r="R3" s="1195"/>
      <c r="S3" s="1194"/>
    </row>
    <row r="4" spans="1:19" ht="18" customHeight="1" thickBot="1">
      <c r="A4" s="1925" t="s">
        <v>2003</v>
      </c>
      <c r="B4" s="1926" t="s">
        <v>3052</v>
      </c>
      <c r="C4" s="1927">
        <f ca="1">SUMIF(注册房地产估价师,B4,估价师及机构信息!B3:B24)</f>
        <v>1419970001</v>
      </c>
      <c r="D4" s="1926" t="s">
        <v>3053</v>
      </c>
      <c r="E4" s="1928">
        <f ca="1">SUMIF(注册房地产估价师,D4,估价师及机构信息!B3:B24)</f>
        <v>0</v>
      </c>
      <c r="F4" s="1926" t="s">
        <v>527</v>
      </c>
      <c r="G4" s="1955">
        <f>SUMIF(注册房地产估价师,F4,估价师及机构信息!B3:B24)</f>
        <v>0</v>
      </c>
      <c r="H4" s="1926" t="s">
        <v>527</v>
      </c>
      <c r="I4" s="2888">
        <f>SUMIF(注册房地产估价师,H4,估价师及机构信息!B3:B24)</f>
        <v>0</v>
      </c>
      <c r="J4" s="2001"/>
      <c r="K4" s="2102" t="str">
        <f ca="1">CONCATENATE(B4,"（注册号：",C4,")、",D4,"（注册号：",E4,")")</f>
        <v>吴薇（注册号：1419970001)、刘梅（注册号：0)</v>
      </c>
      <c r="L4" s="1997"/>
      <c r="M4" s="1997"/>
      <c r="N4" s="1195"/>
      <c r="O4" s="11"/>
      <c r="P4" s="1195"/>
      <c r="Q4" s="1195"/>
      <c r="R4" s="1195"/>
      <c r="S4" s="1194"/>
    </row>
    <row r="5" spans="1:19" ht="18" customHeight="1" thickTop="1">
      <c r="A5" s="1929" t="s">
        <v>2089</v>
      </c>
      <c r="B5" s="3357" t="s">
        <v>3189</v>
      </c>
      <c r="C5" s="2039"/>
      <c r="D5" s="2002"/>
      <c r="E5" s="2001"/>
      <c r="F5" s="2001"/>
      <c r="G5" s="2001"/>
      <c r="H5" s="2001"/>
      <c r="I5" s="2001"/>
      <c r="J5" s="2001"/>
      <c r="K5" s="2102" t="str">
        <f>IF(F4="——","",IF(H4="——",F4&amp;"（注册号："&amp;G4&amp;")",CONCATENATE(F4,"（注册号：",G4,")、",H4,"（注册号：",I4,")")))</f>
        <v/>
      </c>
      <c r="L5" s="1997"/>
      <c r="M5" s="1997"/>
      <c r="N5" s="1195"/>
      <c r="O5" s="11"/>
      <c r="P5" s="1195"/>
      <c r="Q5" s="1195"/>
      <c r="R5" s="1195"/>
    </row>
    <row r="6" spans="1:19" ht="18" customHeight="1">
      <c r="A6" s="1930" t="s">
        <v>2090</v>
      </c>
      <c r="B6" s="2040"/>
      <c r="C6" s="2041"/>
      <c r="D6" s="2003"/>
      <c r="E6" s="1999"/>
      <c r="F6" s="2001"/>
      <c r="G6" s="2001"/>
      <c r="H6" s="2001"/>
      <c r="I6" s="2001"/>
      <c r="J6" s="2001"/>
      <c r="K6" s="2107" t="str">
        <f>IF(COUNTIF(B6,"*上海银行*"),"上海银行","")</f>
        <v/>
      </c>
      <c r="L6" s="1997"/>
      <c r="M6" s="1997"/>
      <c r="N6" s="1195"/>
      <c r="O6" s="11"/>
      <c r="P6" s="1195"/>
      <c r="Q6" s="1195"/>
      <c r="R6" s="1195"/>
    </row>
    <row r="7" spans="1:19" ht="18" customHeight="1">
      <c r="A7" s="1930" t="s">
        <v>2871</v>
      </c>
      <c r="B7" s="3291"/>
      <c r="C7" s="2041"/>
      <c r="D7" s="2003"/>
      <c r="E7" s="1999"/>
      <c r="F7" s="2001"/>
      <c r="G7" s="2001"/>
      <c r="H7" s="2001"/>
      <c r="I7" s="2001"/>
      <c r="J7" s="2001"/>
      <c r="K7" s="2103"/>
      <c r="L7" s="1997"/>
      <c r="M7" s="1997"/>
      <c r="N7" s="1195"/>
      <c r="O7" s="11"/>
      <c r="P7" s="1195"/>
      <c r="Q7" s="1195"/>
      <c r="R7" s="1195"/>
    </row>
    <row r="8" spans="1:19" ht="18" customHeight="1">
      <c r="A8" s="1930" t="s">
        <v>1949</v>
      </c>
      <c r="B8" s="2035" t="s">
        <v>3054</v>
      </c>
      <c r="C8" s="2004"/>
      <c r="D8" s="3431" t="s">
        <v>2010</v>
      </c>
      <c r="E8" s="2036" t="s">
        <v>3055</v>
      </c>
      <c r="F8" s="2037"/>
      <c r="G8" s="1996"/>
      <c r="H8" s="1996"/>
      <c r="I8" s="1996"/>
      <c r="J8" s="2001"/>
      <c r="K8" s="2102"/>
      <c r="L8" s="1997"/>
      <c r="M8" s="1997"/>
      <c r="N8" s="1195"/>
      <c r="O8" s="11"/>
      <c r="P8" s="1195"/>
      <c r="Q8" s="1195"/>
      <c r="R8" s="1195"/>
    </row>
    <row r="9" spans="1:19" ht="18" customHeight="1" thickBot="1">
      <c r="A9" s="1955" t="s">
        <v>1950</v>
      </c>
      <c r="B9" s="1956" t="s">
        <v>3056</v>
      </c>
      <c r="C9" s="2005"/>
      <c r="D9" s="3432"/>
      <c r="E9" s="1956"/>
      <c r="F9" s="2891"/>
      <c r="G9" s="2000"/>
      <c r="H9" s="2000"/>
      <c r="I9" s="2000"/>
      <c r="J9" s="2001"/>
      <c r="K9" s="2103"/>
      <c r="L9" s="1997"/>
      <c r="M9" s="1997"/>
      <c r="N9" s="1195"/>
      <c r="O9" s="11"/>
      <c r="P9" s="1195"/>
      <c r="Q9" s="1195"/>
      <c r="R9" s="1195"/>
    </row>
    <row r="10" spans="1:19" ht="18" customHeight="1" thickTop="1">
      <c r="A10" s="2010" t="s">
        <v>2061</v>
      </c>
      <c r="B10" s="2055"/>
      <c r="C10" s="2038" t="s">
        <v>3057</v>
      </c>
      <c r="D10" s="2002"/>
      <c r="E10" s="1940" t="s">
        <v>1951</v>
      </c>
      <c r="F10" s="1953" t="s">
        <v>3058</v>
      </c>
      <c r="G10" s="2889"/>
      <c r="H10" s="2890"/>
      <c r="I10" s="2002"/>
      <c r="J10" s="2001"/>
      <c r="K10" s="2103"/>
      <c r="L10" s="1997"/>
      <c r="M10" s="1997"/>
      <c r="N10" s="1195"/>
      <c r="O10" s="11"/>
      <c r="P10" s="1195"/>
      <c r="Q10" s="1195"/>
      <c r="R10" s="1195"/>
    </row>
    <row r="11" spans="1:19" ht="18" customHeight="1">
      <c r="A11" s="1959" t="s">
        <v>2062</v>
      </c>
      <c r="B11" s="2054" t="s">
        <v>3059</v>
      </c>
      <c r="C11" s="3358" t="s">
        <v>3060</v>
      </c>
      <c r="D11" s="2006"/>
      <c r="E11" s="2001"/>
      <c r="F11" s="2001"/>
      <c r="G11" s="2001"/>
      <c r="H11" s="2001"/>
      <c r="I11" s="2001"/>
      <c r="J11" s="2001"/>
      <c r="K11" s="2103"/>
      <c r="L11" s="1997"/>
      <c r="M11" s="1997"/>
      <c r="N11" s="1195"/>
      <c r="O11" s="11"/>
      <c r="P11" s="1195"/>
      <c r="Q11" s="1195"/>
      <c r="R11" s="1195"/>
    </row>
    <row r="12" spans="1:19" ht="18" customHeight="1">
      <c r="A12" s="2053" t="s">
        <v>2088</v>
      </c>
      <c r="B12" s="2054" t="s">
        <v>2021</v>
      </c>
      <c r="C12" s="2013" t="s">
        <v>2092</v>
      </c>
      <c r="D12" s="2025" t="s">
        <v>1943</v>
      </c>
      <c r="E12" s="2025" t="s">
        <v>2706</v>
      </c>
      <c r="F12" s="2025" t="s">
        <v>2707</v>
      </c>
      <c r="G12" s="2025" t="s">
        <v>2708</v>
      </c>
      <c r="H12" s="2025" t="s">
        <v>2709</v>
      </c>
      <c r="I12" s="2025" t="s">
        <v>2710</v>
      </c>
      <c r="J12" s="2001"/>
      <c r="K12" s="2103"/>
      <c r="L12" s="1997"/>
      <c r="M12" s="1997"/>
      <c r="N12" s="1195"/>
      <c r="O12" s="11"/>
      <c r="P12" s="1195"/>
      <c r="Q12" s="1195"/>
      <c r="R12" s="1195"/>
    </row>
    <row r="13" spans="1:19" ht="18" customHeight="1">
      <c r="A13" s="2009"/>
      <c r="B13" s="2083"/>
      <c r="C13" s="2084" t="s">
        <v>2091</v>
      </c>
      <c r="D13" s="3235">
        <v>66338</v>
      </c>
      <c r="E13" s="3235">
        <v>55380</v>
      </c>
      <c r="F13" s="3235"/>
      <c r="G13" s="3235"/>
      <c r="H13" s="3235"/>
      <c r="I13" s="2049"/>
      <c r="J13" s="2001"/>
      <c r="K13" s="2103"/>
      <c r="L13" s="1997"/>
      <c r="M13" s="1997"/>
      <c r="N13" s="1195"/>
      <c r="O13" s="11"/>
      <c r="P13" s="1195"/>
      <c r="Q13" s="1195"/>
      <c r="R13" s="1195"/>
    </row>
    <row r="14" spans="1:19" ht="18" customHeight="1">
      <c r="A14" s="2009"/>
      <c r="B14" s="2083"/>
      <c r="C14" s="2084" t="s">
        <v>2093</v>
      </c>
      <c r="D14" s="2052">
        <v>70</v>
      </c>
      <c r="E14" s="2052">
        <v>40</v>
      </c>
      <c r="F14" s="2052"/>
      <c r="G14" s="2052"/>
      <c r="H14" s="2052"/>
      <c r="I14" s="2052"/>
      <c r="J14" s="2001"/>
      <c r="K14" s="2104"/>
      <c r="L14" s="1997"/>
      <c r="M14" s="1997"/>
      <c r="N14" s="1195"/>
      <c r="O14" s="11"/>
      <c r="P14" s="1195"/>
      <c r="Q14" s="1195"/>
      <c r="R14" s="1195"/>
    </row>
    <row r="15" spans="1:19" ht="18" customHeight="1">
      <c r="A15" s="2010"/>
      <c r="B15" s="2085"/>
      <c r="C15" s="2084" t="s">
        <v>2094</v>
      </c>
      <c r="D15" s="2051">
        <f>IF(B12="出让",IF(D13="","",ROUNDDOWN(MIN((D13-$D$3)/365,D14),2)),D14)</f>
        <v>63.93</v>
      </c>
      <c r="E15" s="2051">
        <f>IF(B12="出让",IF(E13="","",ROUNDDOWN(MIN((E13-$D$3)/365,E14),2)),E14)</f>
        <v>33.9</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1"/>
      <c r="K15" s="2105"/>
      <c r="L15" s="1229"/>
      <c r="M15" s="1229"/>
      <c r="N15" s="2021"/>
      <c r="O15" s="1229"/>
      <c r="P15" s="2021"/>
      <c r="Q15" s="1195"/>
      <c r="R15" s="1195"/>
    </row>
    <row r="16" spans="1:19" ht="30.75" customHeight="1">
      <c r="A16" s="1940" t="s">
        <v>2095</v>
      </c>
      <c r="B16" s="3438" t="s">
        <v>3061</v>
      </c>
      <c r="C16" s="3439"/>
      <c r="D16" s="3440"/>
      <c r="E16" s="1957" t="s">
        <v>2022</v>
      </c>
      <c r="F16" s="3441" t="s">
        <v>3077</v>
      </c>
      <c r="G16" s="3442"/>
      <c r="H16" s="3442"/>
      <c r="I16" s="3443"/>
      <c r="J16" s="1195"/>
      <c r="K16" s="2105"/>
      <c r="L16" s="1229"/>
      <c r="M16" s="1229"/>
      <c r="N16" s="2021"/>
      <c r="O16" s="1229"/>
      <c r="P16" s="2021"/>
      <c r="Q16" s="1195"/>
      <c r="R16" s="1195"/>
    </row>
    <row r="17" spans="1:22" ht="18" customHeight="1">
      <c r="A17" s="2008" t="s">
        <v>1952</v>
      </c>
      <c r="B17" s="1941" t="s">
        <v>1953</v>
      </c>
      <c r="C17" s="2086">
        <f>'数据-汇总表'!E3</f>
        <v>3353.7699999999995</v>
      </c>
      <c r="D17" s="1942" t="s">
        <v>1954</v>
      </c>
      <c r="E17" s="3444" t="s">
        <v>3062</v>
      </c>
      <c r="F17" s="3445"/>
      <c r="G17" s="3445"/>
      <c r="H17" s="3445"/>
      <c r="I17" s="3446"/>
      <c r="J17" s="1195"/>
      <c r="K17" s="2695"/>
      <c r="L17" s="1229"/>
      <c r="M17" s="1229"/>
      <c r="N17" s="2021"/>
      <c r="O17" s="1229"/>
      <c r="P17" s="2021"/>
      <c r="Q17" s="1195"/>
      <c r="R17" s="1195"/>
      <c r="S17" s="1195"/>
      <c r="T17" s="1195"/>
      <c r="U17" s="1195"/>
      <c r="V17" s="1195"/>
    </row>
    <row r="18" spans="1:22" ht="36" customHeight="1" thickBot="1">
      <c r="A18" s="2897" t="s">
        <v>2702</v>
      </c>
      <c r="B18" s="1925" t="s">
        <v>1955</v>
      </c>
      <c r="C18" s="2898">
        <f>'数据-汇总表'!D3</f>
        <v>0</v>
      </c>
      <c r="D18" s="2899" t="s">
        <v>1954</v>
      </c>
      <c r="E18" s="3447" t="s">
        <v>3170</v>
      </c>
      <c r="F18" s="3448"/>
      <c r="G18" s="3448"/>
      <c r="H18" s="3448"/>
      <c r="I18" s="3449"/>
      <c r="J18" s="1195"/>
      <c r="K18" s="2695"/>
      <c r="L18" s="1229"/>
      <c r="M18" s="1229"/>
      <c r="N18" s="2021"/>
      <c r="O18" s="1229"/>
      <c r="P18" s="2021"/>
      <c r="Q18" s="1195"/>
      <c r="R18" s="1195"/>
      <c r="S18" s="1195"/>
      <c r="T18" s="1195"/>
      <c r="U18" s="1195"/>
      <c r="V18" s="1195"/>
    </row>
    <row r="19" spans="1:22" ht="37.5" customHeight="1" thickTop="1" thickBot="1">
      <c r="A19" s="2896" t="s">
        <v>2041</v>
      </c>
      <c r="B19" s="2060" t="s">
        <v>2042</v>
      </c>
      <c r="C19" s="2061" t="s">
        <v>41</v>
      </c>
      <c r="D19" s="2043" t="s">
        <v>2045</v>
      </c>
      <c r="E19" s="2042"/>
      <c r="F19" s="2044" t="str">
        <f>IF(AND(C19="是",E19="否"),"是否提供他项权证或相关说明","")</f>
        <v/>
      </c>
      <c r="G19" s="2045"/>
      <c r="H19" s="2001"/>
      <c r="I19" s="2001"/>
      <c r="J19" s="2001"/>
      <c r="K19" s="2103"/>
      <c r="L19" s="1997"/>
      <c r="M19" s="1997"/>
      <c r="N19" s="2021"/>
      <c r="O19" s="1229"/>
      <c r="P19" s="2021"/>
      <c r="Q19" s="1195"/>
      <c r="R19" s="1195"/>
      <c r="S19" s="1195"/>
      <c r="T19" s="1195"/>
      <c r="U19" s="1195"/>
      <c r="V19" s="1195"/>
    </row>
    <row r="20" spans="1:22" ht="18" customHeight="1">
      <c r="A20" s="2062" t="s">
        <v>2046</v>
      </c>
      <c r="B20" s="3434" t="s">
        <v>2047</v>
      </c>
      <c r="C20" s="3435"/>
      <c r="D20" s="3436" t="s">
        <v>2048</v>
      </c>
      <c r="E20" s="3437"/>
      <c r="F20" s="2068" t="s">
        <v>2049</v>
      </c>
      <c r="G20" s="2001"/>
      <c r="H20" s="2001"/>
      <c r="I20" s="2001"/>
      <c r="J20" s="2001"/>
      <c r="K20" s="3433" t="s">
        <v>2044</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2"/>
      <c r="B21" s="2063" t="s">
        <v>2050</v>
      </c>
      <c r="C21" s="2033" t="s">
        <v>2051</v>
      </c>
      <c r="D21" s="1990" t="s">
        <v>2054</v>
      </c>
      <c r="E21" s="2034" t="s">
        <v>2051</v>
      </c>
      <c r="F21" s="1979"/>
      <c r="G21" s="2001"/>
      <c r="H21" s="2001"/>
      <c r="I21" s="2001"/>
      <c r="J21" s="2001"/>
      <c r="K21" s="3433"/>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2"/>
      <c r="B22" s="2064" t="s">
        <v>2052</v>
      </c>
      <c r="C22" s="2033" t="s">
        <v>2053</v>
      </c>
      <c r="D22" s="1996"/>
      <c r="E22" s="1996"/>
      <c r="F22" s="2069"/>
      <c r="G22" s="2001"/>
      <c r="H22" s="2001"/>
      <c r="I22" s="2001"/>
      <c r="J22" s="2001"/>
      <c r="K22" s="3433"/>
      <c r="L22" s="2609"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2055</v>
      </c>
      <c r="B23" s="2065" t="s">
        <v>2056</v>
      </c>
      <c r="C23" s="2066"/>
      <c r="D23" s="1980" t="s">
        <v>2056</v>
      </c>
      <c r="E23" s="1988"/>
      <c r="F23" s="2069"/>
      <c r="G23" s="2001"/>
      <c r="H23" s="2001"/>
      <c r="I23" s="2001"/>
      <c r="J23" s="2001"/>
      <c r="K23" s="226"/>
      <c r="L23" s="2609"/>
      <c r="M23" s="1997"/>
      <c r="N23" s="2021"/>
      <c r="O23" s="1229"/>
      <c r="P23" s="2021"/>
      <c r="Q23" s="1195"/>
      <c r="R23" s="1195"/>
      <c r="S23" s="1195"/>
      <c r="T23" s="1195"/>
      <c r="U23" s="1195"/>
      <c r="V23" s="1195"/>
    </row>
    <row r="24" spans="1:22" ht="18" customHeight="1">
      <c r="A24" s="1981"/>
      <c r="B24" s="2065" t="s">
        <v>2057</v>
      </c>
      <c r="C24" s="2067"/>
      <c r="D24" s="1978" t="s">
        <v>2057</v>
      </c>
      <c r="E24" s="1989"/>
      <c r="F24" s="2069"/>
      <c r="G24" s="2001"/>
      <c r="H24" s="2001"/>
      <c r="I24" s="2001"/>
      <c r="J24" s="2001"/>
      <c r="K24" s="226"/>
      <c r="L24" s="2609"/>
      <c r="M24" s="1997"/>
      <c r="N24" s="2021"/>
      <c r="O24" s="1229"/>
      <c r="P24" s="2021"/>
      <c r="Q24" s="1195"/>
      <c r="R24" s="1195"/>
      <c r="S24" s="1195"/>
      <c r="T24" s="1195"/>
      <c r="U24" s="1195"/>
      <c r="V24" s="1195"/>
    </row>
    <row r="25" spans="1:22" ht="18" customHeight="1">
      <c r="A25" s="1981"/>
      <c r="B25" s="2065" t="s">
        <v>2058</v>
      </c>
      <c r="C25" s="2067"/>
      <c r="D25" s="1978" t="s">
        <v>2058</v>
      </c>
      <c r="E25" s="1989"/>
      <c r="F25" s="2069"/>
      <c r="G25" s="2001"/>
      <c r="H25" s="2001"/>
      <c r="I25" s="2001"/>
      <c r="J25" s="2001"/>
      <c r="K25" s="2103"/>
      <c r="L25" s="1997"/>
      <c r="M25" s="1997"/>
      <c r="N25" s="2021"/>
      <c r="O25" s="1229"/>
      <c r="P25" s="2021"/>
      <c r="Q25" s="1195"/>
      <c r="R25" s="1195"/>
      <c r="S25" s="1195"/>
      <c r="T25" s="1195"/>
      <c r="U25" s="1195"/>
      <c r="V25" s="1195"/>
    </row>
    <row r="26" spans="1:22" ht="18" customHeight="1" thickBot="1">
      <c r="A26" s="2057"/>
      <c r="B26" s="2070" t="s">
        <v>2059</v>
      </c>
      <c r="C26" s="2071"/>
      <c r="D26" s="2059" t="s">
        <v>2059</v>
      </c>
      <c r="E26" s="2058"/>
      <c r="F26" s="2072"/>
      <c r="G26" s="2000"/>
      <c r="H26" s="2000"/>
      <c r="I26" s="2000"/>
      <c r="J26" s="2001"/>
      <c r="K26" s="2103"/>
      <c r="L26" s="1997"/>
      <c r="M26" s="1997"/>
      <c r="N26" s="2021"/>
      <c r="O26" s="1229"/>
      <c r="P26" s="2021"/>
      <c r="Q26" s="1195"/>
      <c r="R26" s="1195"/>
      <c r="S26" s="1195"/>
      <c r="T26" s="1195"/>
      <c r="U26" s="1195"/>
      <c r="V26" s="1195"/>
    </row>
    <row r="27" spans="1:22" ht="18" customHeight="1" thickTop="1">
      <c r="A27" s="3451" t="s">
        <v>2063</v>
      </c>
      <c r="B27" s="2010" t="s">
        <v>2064</v>
      </c>
      <c r="C27" s="1931"/>
      <c r="D27" s="1932"/>
      <c r="E27" s="2001"/>
      <c r="F27" s="2001"/>
      <c r="G27" s="2001"/>
      <c r="H27" s="2001"/>
      <c r="I27" s="2001"/>
      <c r="J27" s="1195"/>
      <c r="K27" s="2105"/>
      <c r="L27" s="1229"/>
      <c r="M27" s="1229"/>
      <c r="N27" s="2021"/>
      <c r="O27" s="1229"/>
      <c r="P27" s="2021"/>
      <c r="Q27" s="1195"/>
      <c r="R27" s="1195"/>
      <c r="S27" s="1195"/>
      <c r="T27" s="1195"/>
      <c r="U27" s="1195"/>
      <c r="V27" s="1195"/>
    </row>
    <row r="28" spans="1:22" ht="18" customHeight="1">
      <c r="A28" s="3451"/>
      <c r="B28" s="1941" t="s">
        <v>2065</v>
      </c>
      <c r="C28" s="1933"/>
      <c r="D28" s="1934"/>
      <c r="E28" s="2001"/>
      <c r="F28" s="2001"/>
      <c r="G28" s="2001"/>
      <c r="H28" s="2001"/>
      <c r="I28" s="2001"/>
      <c r="J28" s="1195"/>
      <c r="K28" s="2109"/>
      <c r="L28" s="1997"/>
      <c r="M28" s="1997"/>
      <c r="N28" s="1195"/>
      <c r="O28" s="11"/>
      <c r="P28" s="1195"/>
      <c r="Q28" s="1195"/>
      <c r="R28" s="1195"/>
      <c r="S28" s="1195"/>
      <c r="T28" s="1195"/>
      <c r="U28" s="1195"/>
      <c r="V28" s="1195"/>
    </row>
    <row r="29" spans="1:22" ht="18" customHeight="1">
      <c r="A29" s="3451"/>
      <c r="B29" s="1941" t="s">
        <v>2066</v>
      </c>
      <c r="C29" s="1935"/>
      <c r="D29" s="1936"/>
      <c r="E29" s="2001"/>
      <c r="F29" s="2001"/>
      <c r="G29" s="2001"/>
      <c r="H29" s="2001"/>
      <c r="I29" s="2001"/>
      <c r="J29" s="1195"/>
      <c r="K29" s="2109"/>
      <c r="L29" s="1997"/>
      <c r="M29" s="1997"/>
      <c r="N29" s="1195"/>
      <c r="O29" s="11"/>
      <c r="P29" s="1195"/>
      <c r="Q29" s="1195"/>
      <c r="R29" s="1195"/>
      <c r="S29" s="1195"/>
      <c r="T29" s="1195"/>
      <c r="U29" s="1195"/>
      <c r="V29" s="1195"/>
    </row>
    <row r="30" spans="1:22" ht="18" customHeight="1">
      <c r="A30" s="3452"/>
      <c r="B30" s="1941" t="s">
        <v>2067</v>
      </c>
      <c r="C30" s="3453"/>
      <c r="D30" s="3454"/>
      <c r="E30" s="2001"/>
      <c r="F30" s="2001"/>
      <c r="G30" s="2001"/>
      <c r="H30" s="2001"/>
      <c r="I30" s="2001"/>
      <c r="J30" s="1195"/>
      <c r="K30" s="2109"/>
      <c r="L30" s="1997"/>
      <c r="M30" s="1997"/>
      <c r="N30" s="1195"/>
      <c r="O30" s="11"/>
      <c r="P30" s="1195"/>
      <c r="Q30" s="1195"/>
      <c r="R30" s="1195"/>
      <c r="S30" s="1195"/>
      <c r="T30" s="1195"/>
      <c r="U30" s="1195"/>
      <c r="V30" s="1195"/>
    </row>
    <row r="31" spans="1:22" ht="18" customHeight="1">
      <c r="A31" s="3455" t="s">
        <v>2068</v>
      </c>
      <c r="B31" s="1937"/>
      <c r="C31" s="1938" t="str">
        <f>IF(B31="现房","成新及维护状况正常否",IF(B31="在建","工程状态是否正常",IF(B31="土地","是否闲置","-")))</f>
        <v>-</v>
      </c>
      <c r="D31" s="2011"/>
      <c r="E31" s="1939"/>
      <c r="F31" s="2001"/>
      <c r="G31" s="2001"/>
      <c r="H31" s="2001"/>
      <c r="I31" s="2001"/>
      <c r="J31" s="2001"/>
      <c r="K31" s="2107"/>
      <c r="L31" s="1997"/>
      <c r="M31" s="1997"/>
      <c r="N31" s="1195"/>
      <c r="O31" s="11"/>
      <c r="P31" s="1195"/>
      <c r="Q31" s="1195"/>
      <c r="R31" s="1195"/>
      <c r="S31" s="1195"/>
      <c r="T31" s="1195"/>
      <c r="U31" s="1195"/>
      <c r="V31" s="1195"/>
    </row>
    <row r="32" spans="1:22" ht="18" customHeight="1">
      <c r="A32" s="3456"/>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5"/>
      <c r="O32" s="11"/>
      <c r="P32" s="1195"/>
      <c r="Q32" s="1195"/>
      <c r="R32" s="1195"/>
      <c r="S32" s="1195"/>
      <c r="T32" s="1195"/>
      <c r="U32" s="1195"/>
      <c r="V32" s="1195"/>
    </row>
    <row r="33" spans="1:22" ht="18" customHeight="1">
      <c r="A33" s="3456"/>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5"/>
      <c r="O33" s="11"/>
      <c r="P33" s="1195"/>
      <c r="Q33" s="1195"/>
      <c r="R33" s="1195"/>
      <c r="S33" s="1195"/>
      <c r="T33" s="1195"/>
      <c r="U33" s="1195"/>
      <c r="V33" s="1195"/>
    </row>
    <row r="34" spans="1:22" ht="18" customHeight="1">
      <c r="A34" s="1941" t="s">
        <v>2023</v>
      </c>
      <c r="B34" s="1961" t="s">
        <v>3063</v>
      </c>
      <c r="C34" s="1961" t="s">
        <v>3064</v>
      </c>
      <c r="D34" s="1961" t="s">
        <v>3065</v>
      </c>
      <c r="E34" s="1961" t="s">
        <v>3066</v>
      </c>
      <c r="F34" s="1961" t="s">
        <v>3067</v>
      </c>
      <c r="G34" s="1961" t="s">
        <v>3068</v>
      </c>
      <c r="H34" s="1961" t="s">
        <v>3069</v>
      </c>
      <c r="I34" s="2001"/>
      <c r="J34" s="2001"/>
      <c r="K34" s="2886">
        <f>COUNTIF(B34:H34,"——")</f>
        <v>0</v>
      </c>
      <c r="L34" s="2013" t="s">
        <v>2097</v>
      </c>
      <c r="M34" s="2013" t="s">
        <v>2098</v>
      </c>
      <c r="N34" s="2013" t="s">
        <v>2099</v>
      </c>
      <c r="O34" s="2013" t="s">
        <v>2100</v>
      </c>
      <c r="P34" s="2013" t="s">
        <v>2101</v>
      </c>
      <c r="Q34" s="2013" t="s">
        <v>2102</v>
      </c>
      <c r="R34" s="2013" t="s">
        <v>2103</v>
      </c>
      <c r="S34" s="3450" t="s">
        <v>2104</v>
      </c>
      <c r="T34" s="2014" t="str">
        <f>NUMBERSTRING(7-K34,1)&amp;"通"</f>
        <v>七通</v>
      </c>
      <c r="U34" s="1195"/>
      <c r="V34" s="1195"/>
    </row>
    <row r="35" spans="1:22" ht="18" customHeight="1">
      <c r="A35" s="2015"/>
      <c r="B35" s="3457" t="s">
        <v>1868</v>
      </c>
      <c r="C35" s="3457"/>
      <c r="D35" s="3457"/>
      <c r="E35" s="3457"/>
      <c r="F35" s="2016" t="str">
        <f>C10</f>
        <v>新疆</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0"/>
      <c r="T35" s="23" t="str">
        <f>IF(T34="一通",L35,IF(T34="二通",M35,IF(T34="三通",N35,IF(T34="四通",O35,IF(T34="五通",P35,IF(T34="六通",Q35,R35))))))</f>
        <v>通路、通电、通讯、通上水、通下水、通热、燃气</v>
      </c>
      <c r="U35" s="1195"/>
      <c r="V35" s="1195"/>
    </row>
    <row r="36" spans="1:22" ht="18" customHeight="1">
      <c r="A36" s="2017"/>
      <c r="B36" s="2016" t="s">
        <v>1948</v>
      </c>
      <c r="C36" s="2016" t="s">
        <v>1944</v>
      </c>
      <c r="D36" s="2016" t="s">
        <v>1943</v>
      </c>
      <c r="E36" s="2016" t="s">
        <v>1945</v>
      </c>
      <c r="F36" s="2018"/>
      <c r="G36" s="2001"/>
      <c r="H36" s="2001"/>
      <c r="I36" s="2001"/>
      <c r="J36" s="2001"/>
      <c r="K36" s="2103"/>
      <c r="L36" s="1997"/>
      <c r="M36" s="1997"/>
      <c r="N36" s="1195"/>
      <c r="O36" s="11"/>
      <c r="P36" s="1195"/>
      <c r="Q36" s="1195"/>
      <c r="R36" s="1195"/>
      <c r="S36" s="1195"/>
      <c r="T36" s="1195"/>
      <c r="U36" s="1195"/>
      <c r="V36" s="1195"/>
    </row>
    <row r="37" spans="1:22" ht="18" customHeight="1">
      <c r="A37" s="2019" t="s">
        <v>1867</v>
      </c>
      <c r="B37" s="2020"/>
      <c r="C37" s="2020"/>
      <c r="D37" s="2020"/>
      <c r="E37" s="2020"/>
      <c r="F37" s="2018"/>
      <c r="G37" s="2001"/>
      <c r="H37" s="2001"/>
      <c r="I37" s="2001"/>
      <c r="J37" s="2001"/>
      <c r="K37" s="2103"/>
      <c r="L37" s="1997"/>
      <c r="M37" s="1997"/>
      <c r="N37" s="1195"/>
      <c r="O37" s="11"/>
      <c r="P37" s="1195"/>
      <c r="Q37" s="1195"/>
      <c r="R37" s="1195"/>
      <c r="S37" s="1195"/>
      <c r="T37" s="1195"/>
      <c r="U37" s="1195"/>
      <c r="V37" s="1195"/>
    </row>
    <row r="38" spans="1:22" ht="18" customHeight="1" thickBot="1">
      <c r="A38" s="2046" t="s">
        <v>1869</v>
      </c>
      <c r="B38" s="2047"/>
      <c r="C38" s="2047"/>
      <c r="D38" s="2047"/>
      <c r="E38" s="2047"/>
      <c r="F38" s="2048"/>
      <c r="G38" s="2000"/>
      <c r="H38" s="2000"/>
      <c r="I38" s="2000"/>
      <c r="J38" s="2001"/>
      <c r="K38" s="2103"/>
      <c r="L38" s="1997"/>
      <c r="M38" s="1997"/>
      <c r="N38" s="1195"/>
      <c r="O38" s="11"/>
      <c r="P38" s="1195"/>
      <c r="Q38" s="1195"/>
      <c r="R38" s="1195"/>
      <c r="S38" s="1195"/>
      <c r="T38" s="1195"/>
      <c r="U38" s="1195"/>
      <c r="V38" s="1195"/>
    </row>
    <row r="39" spans="1:22" s="3313" customFormat="1" ht="18" customHeight="1" thickTop="1" thickBot="1">
      <c r="A39" s="3314" t="s">
        <v>3032</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5"/>
      <c r="B40" s="1195"/>
      <c r="C40" s="1195"/>
      <c r="D40" s="1195"/>
      <c r="E40" s="1195"/>
      <c r="F40" s="1195"/>
      <c r="G40" s="1195"/>
      <c r="H40" s="1195"/>
      <c r="I40" s="1216"/>
      <c r="J40" s="2021"/>
      <c r="K40" s="2108"/>
      <c r="L40" s="1229"/>
      <c r="M40" s="1229"/>
      <c r="N40" s="2021"/>
      <c r="O40" s="1229"/>
      <c r="P40" s="1195"/>
      <c r="Q40" s="1195"/>
      <c r="R40" s="1195"/>
      <c r="S40" s="1195"/>
      <c r="T40" s="1195"/>
      <c r="U40" s="1195"/>
      <c r="V40" s="1195"/>
    </row>
    <row r="41" spans="1:22" ht="18" customHeight="1">
      <c r="A41" s="2022" t="s">
        <v>2069</v>
      </c>
      <c r="B41" s="2023"/>
      <c r="C41" s="2024"/>
      <c r="D41" s="1195"/>
      <c r="E41" s="1195"/>
      <c r="F41" s="1195"/>
      <c r="G41" s="1195"/>
      <c r="H41" s="1195"/>
      <c r="I41" s="11"/>
      <c r="J41" s="1195"/>
      <c r="K41" s="2109"/>
      <c r="L41" s="1997"/>
      <c r="M41" s="1997"/>
      <c r="N41" s="1195"/>
      <c r="O41" s="11"/>
      <c r="P41" s="1195"/>
      <c r="Q41" s="1195"/>
      <c r="R41" s="1195"/>
      <c r="S41" s="1195"/>
      <c r="T41" s="1195"/>
      <c r="U41" s="1195"/>
      <c r="V41" s="1195"/>
    </row>
    <row r="42" spans="1:22" ht="18" customHeight="1">
      <c r="A42" s="2013" t="s">
        <v>2070</v>
      </c>
      <c r="B42" s="1987" t="s">
        <v>2071</v>
      </c>
      <c r="C42" s="1987" t="s">
        <v>2072</v>
      </c>
      <c r="D42" s="1987" t="s">
        <v>2073</v>
      </c>
      <c r="E42" s="1987" t="s">
        <v>2074</v>
      </c>
      <c r="F42" s="1987" t="s">
        <v>2075</v>
      </c>
      <c r="G42" s="1987" t="s">
        <v>2076</v>
      </c>
      <c r="H42" s="1987" t="s">
        <v>2077</v>
      </c>
      <c r="I42" s="1987" t="s">
        <v>2078</v>
      </c>
      <c r="J42" s="2099" t="s">
        <v>2079</v>
      </c>
      <c r="K42" s="2025" t="s">
        <v>2080</v>
      </c>
      <c r="L42" s="2025" t="s">
        <v>2081</v>
      </c>
      <c r="M42" s="2025" t="s">
        <v>2082</v>
      </c>
      <c r="N42" s="1987" t="s">
        <v>2083</v>
      </c>
      <c r="O42" s="1987" t="s">
        <v>2084</v>
      </c>
      <c r="P42" s="1987" t="s">
        <v>2085</v>
      </c>
      <c r="Q42" s="2013" t="s">
        <v>2086</v>
      </c>
      <c r="R42" s="2013"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5"/>
      <c r="T43" s="3245"/>
      <c r="U43" s="3245"/>
      <c r="V43" s="3245"/>
    </row>
    <row r="44" spans="1:22" s="2240" customFormat="1" ht="18" customHeight="1">
      <c r="A44" s="1415"/>
      <c r="B44" s="1415"/>
      <c r="C44" s="216"/>
      <c r="D44" s="216"/>
      <c r="E44" s="216"/>
      <c r="F44" s="216"/>
      <c r="G44" s="216"/>
      <c r="H44" s="2"/>
      <c r="I44" s="2"/>
      <c r="J44" s="9"/>
      <c r="K44" s="4"/>
      <c r="L44" s="4"/>
      <c r="M44" s="2"/>
      <c r="N44" s="216"/>
      <c r="O44" s="2"/>
      <c r="P44" s="216"/>
      <c r="Q44" s="216"/>
      <c r="R44" s="216"/>
      <c r="S44" s="3245"/>
      <c r="T44" s="3245"/>
      <c r="U44" s="3245"/>
      <c r="V44" s="3245"/>
    </row>
    <row r="45" spans="1:22" s="2240" customFormat="1" ht="18" customHeight="1">
      <c r="A45" s="1415"/>
      <c r="B45" s="1415"/>
      <c r="C45" s="216"/>
      <c r="D45" s="216"/>
      <c r="E45" s="216"/>
      <c r="F45" s="216"/>
      <c r="G45" s="216"/>
      <c r="H45" s="2"/>
      <c r="I45" s="2"/>
      <c r="J45" s="9"/>
      <c r="K45" s="4"/>
      <c r="L45" s="4"/>
      <c r="M45" s="2"/>
      <c r="N45" s="216"/>
      <c r="O45" s="2"/>
      <c r="P45" s="216"/>
      <c r="Q45" s="216"/>
      <c r="R45" s="216"/>
      <c r="S45" s="3245"/>
      <c r="T45" s="3245"/>
      <c r="U45" s="3245"/>
      <c r="V45" s="3245"/>
    </row>
    <row r="46" spans="1:22" s="2240" customFormat="1" ht="18" customHeight="1">
      <c r="A46" s="1415"/>
      <c r="B46" s="1415"/>
      <c r="C46" s="216"/>
      <c r="D46" s="216"/>
      <c r="E46" s="216"/>
      <c r="F46" s="216"/>
      <c r="G46" s="216"/>
      <c r="H46" s="2"/>
      <c r="I46" s="2"/>
      <c r="J46" s="9"/>
      <c r="K46" s="4"/>
      <c r="L46" s="4"/>
      <c r="M46" s="2"/>
      <c r="N46" s="216"/>
      <c r="O46" s="2"/>
      <c r="P46" s="216"/>
      <c r="Q46" s="216"/>
      <c r="R46" s="216"/>
      <c r="S46" s="3245"/>
      <c r="T46" s="3245"/>
      <c r="U46" s="3245"/>
      <c r="V46" s="3245"/>
    </row>
    <row r="47" spans="1:22" s="2240" customFormat="1" ht="18" customHeight="1">
      <c r="A47" s="1415"/>
      <c r="B47" s="1415"/>
      <c r="C47" s="216"/>
      <c r="D47" s="216"/>
      <c r="E47" s="216"/>
      <c r="F47" s="216"/>
      <c r="G47" s="216"/>
      <c r="H47" s="2"/>
      <c r="I47" s="2"/>
      <c r="J47" s="9"/>
      <c r="K47" s="4"/>
      <c r="L47" s="4"/>
      <c r="M47" s="2"/>
      <c r="N47" s="216"/>
      <c r="O47" s="2"/>
      <c r="P47" s="216"/>
      <c r="Q47" s="216"/>
      <c r="R47" s="216"/>
      <c r="S47" s="3245"/>
      <c r="T47" s="3245"/>
      <c r="U47" s="3245"/>
      <c r="V47" s="3245"/>
    </row>
    <row r="48" spans="1:22" s="2240" customFormat="1" ht="18" customHeight="1">
      <c r="A48" s="1415"/>
      <c r="B48" s="1415"/>
      <c r="C48" s="216"/>
      <c r="D48" s="216"/>
      <c r="E48" s="216"/>
      <c r="F48" s="216"/>
      <c r="G48" s="216"/>
      <c r="H48" s="2"/>
      <c r="I48" s="2"/>
      <c r="J48" s="9"/>
      <c r="K48" s="4"/>
      <c r="L48" s="4"/>
      <c r="M48" s="2"/>
      <c r="N48" s="216"/>
      <c r="O48" s="2"/>
      <c r="P48" s="216"/>
      <c r="Q48" s="216"/>
      <c r="R48" s="216"/>
      <c r="S48" s="3245"/>
      <c r="T48" s="3245"/>
      <c r="U48" s="3245"/>
      <c r="V48" s="3245"/>
    </row>
    <row r="49" spans="1:22" s="2240" customFormat="1" ht="18" customHeight="1">
      <c r="A49" s="1415"/>
      <c r="B49" s="1415"/>
      <c r="C49" s="216"/>
      <c r="D49" s="216"/>
      <c r="E49" s="216"/>
      <c r="F49" s="216"/>
      <c r="G49" s="216"/>
      <c r="H49" s="2"/>
      <c r="I49" s="2"/>
      <c r="J49" s="9"/>
      <c r="K49" s="4"/>
      <c r="L49" s="4"/>
      <c r="M49" s="2"/>
      <c r="N49" s="216"/>
      <c r="O49" s="2"/>
      <c r="P49" s="216"/>
      <c r="Q49" s="216"/>
      <c r="R49" s="216"/>
      <c r="S49" s="3245"/>
      <c r="T49" s="3245"/>
      <c r="U49" s="3245"/>
      <c r="V49" s="3245"/>
    </row>
    <row r="50" spans="1:22" s="2240" customFormat="1" ht="18" customHeight="1">
      <c r="A50" s="1415"/>
      <c r="B50" s="1415"/>
      <c r="C50" s="216"/>
      <c r="D50" s="216"/>
      <c r="E50" s="216"/>
      <c r="F50" s="216"/>
      <c r="G50" s="216"/>
      <c r="H50" s="2"/>
      <c r="I50" s="2"/>
      <c r="J50" s="9"/>
      <c r="K50" s="4"/>
      <c r="L50" s="4"/>
      <c r="M50" s="2"/>
      <c r="N50" s="216"/>
      <c r="O50" s="2"/>
      <c r="P50" s="216"/>
      <c r="Q50" s="216"/>
      <c r="R50" s="216"/>
      <c r="S50" s="3245"/>
      <c r="T50" s="3245"/>
      <c r="U50" s="3245"/>
      <c r="V50" s="3245"/>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activeCellId="1" sqref="I13 K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2405</v>
      </c>
      <c r="AZ2" s="2519" t="s">
        <v>2406</v>
      </c>
      <c r="BA2" s="2520"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c r="B3" s="302">
        <f>IF(C3="否",G5-AT5,G5)</f>
        <v>3353.7699999999995</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3353.7699999999995</v>
      </c>
      <c r="H5" s="305">
        <f t="shared" ref="H5:AT5" si="0">SUM(H13:H656)</f>
        <v>3353.7699999999995</v>
      </c>
      <c r="I5" s="305">
        <f t="shared" si="0"/>
        <v>301.2</v>
      </c>
      <c r="J5" s="305">
        <f t="shared" si="0"/>
        <v>0</v>
      </c>
      <c r="K5" s="305">
        <f t="shared" si="0"/>
        <v>3052.5699999999997</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3353.7699999999995</v>
      </c>
      <c r="BA5" s="307">
        <f t="shared" si="1"/>
        <v>3353.7699999999995</v>
      </c>
      <c r="BB5" s="307">
        <f t="shared" si="1"/>
        <v>301.2</v>
      </c>
      <c r="BC5" s="307">
        <f t="shared" si="1"/>
        <v>3052.5699999999997</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616</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3071</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3043</v>
      </c>
      <c r="J10" s="245"/>
      <c r="K10" s="252" t="s">
        <v>138</v>
      </c>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3072</v>
      </c>
      <c r="J11" s="259"/>
      <c r="K11" s="258" t="s">
        <v>3075</v>
      </c>
      <c r="L11" s="259"/>
      <c r="M11" s="258"/>
      <c r="N11" s="259"/>
      <c r="O11" s="258"/>
      <c r="P11" s="259"/>
      <c r="Q11" s="258"/>
      <c r="R11" s="259"/>
      <c r="S11" s="258"/>
      <c r="T11" s="259"/>
      <c r="U11" s="258"/>
      <c r="V11" s="259"/>
      <c r="W11" s="258"/>
      <c r="X11" s="259"/>
      <c r="Y11" s="258"/>
      <c r="Z11" s="259"/>
      <c r="AA11" s="258"/>
      <c r="AB11" s="259"/>
      <c r="AC11" s="240"/>
      <c r="AD11" s="2511" t="s">
        <v>2394</v>
      </c>
      <c r="AE11" s="2490"/>
      <c r="AF11" s="2511" t="s">
        <v>2394</v>
      </c>
      <c r="AG11" s="2490"/>
      <c r="AH11" s="2511" t="s">
        <v>2395</v>
      </c>
      <c r="AI11" s="2512"/>
      <c r="AJ11" s="2511" t="s">
        <v>2395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底商</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24">
      <c r="A13" s="216"/>
      <c r="B13" s="216" t="s">
        <v>3076</v>
      </c>
      <c r="C13" s="216" t="s">
        <v>3214</v>
      </c>
      <c r="D13" s="217" t="s">
        <v>3070</v>
      </c>
      <c r="E13" s="305">
        <f>IF($C$3="是",ROUND($A$3*G13/$B$3,2),ROUND($A$3*(G13-AT13)/$B$3,2))</f>
        <v>0</v>
      </c>
      <c r="F13" s="321"/>
      <c r="G13" s="322">
        <f>H13+AC13+AT13</f>
        <v>301.2</v>
      </c>
      <c r="H13" s="309">
        <f>SUMIF(I$12:AB$12,"总值",I13:AB13)</f>
        <v>301.2</v>
      </c>
      <c r="I13" s="1416">
        <v>301.2</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t="str">
        <f t="shared" si="6"/>
        <v>测绘报告</v>
      </c>
      <c r="AX13" s="82" t="str">
        <f t="shared" si="6"/>
        <v>商业C区1060</v>
      </c>
      <c r="AY13" s="304">
        <f>ROUND($AY$6*AZ13/$AZ$5,2)</f>
        <v>0</v>
      </c>
      <c r="AZ13" s="305">
        <f>BA13+BL13</f>
        <v>301.2</v>
      </c>
      <c r="BA13" s="305">
        <f>SUM(BB13:BK13)</f>
        <v>301.2</v>
      </c>
      <c r="BB13" s="305">
        <f>IF($D13="是",I13-J13,0)</f>
        <v>301.2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24">
      <c r="A14" s="216"/>
      <c r="B14" s="216" t="s">
        <v>3076</v>
      </c>
      <c r="C14" s="1415" t="s">
        <v>3073</v>
      </c>
      <c r="D14" s="217" t="s">
        <v>3070</v>
      </c>
      <c r="E14" s="305">
        <f>IF($C$3="是",ROUND($A$3*G14/$B$3,2),ROUND($A$3*(G14-AT14)/$B$3,2))</f>
        <v>0</v>
      </c>
      <c r="F14" s="321"/>
      <c r="G14" s="322">
        <f>H14+AC14+AT14</f>
        <v>3052.5699999999997</v>
      </c>
      <c r="H14" s="309">
        <f>SUMIF(I$12:AB$12,"总值",I14:AB14)</f>
        <v>3052.5699999999997</v>
      </c>
      <c r="I14" s="1416"/>
      <c r="J14" s="1416"/>
      <c r="K14" s="1416">
        <f>1017.52+508.76+508.76+1017.53</f>
        <v>3052.5699999999997</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t="str">
        <f t="shared" si="6"/>
        <v>测绘报告</v>
      </c>
      <c r="AX14" s="82" t="str">
        <f t="shared" si="6"/>
        <v>办公C区6、7、8层</v>
      </c>
      <c r="AY14" s="304">
        <f>ROUND($AY$6*AZ14/$AZ$5,2)</f>
        <v>0</v>
      </c>
      <c r="AZ14" s="305">
        <f>BA14+BL14</f>
        <v>3052.5699999999997</v>
      </c>
      <c r="BA14" s="305">
        <f>SUM(BB14:BK14)</f>
        <v>3052.5699999999997</v>
      </c>
      <c r="BB14" s="305">
        <f>IF($D14="是",I14-J14,0)</f>
        <v>0</v>
      </c>
      <c r="BC14" s="305">
        <f>IF($D14="是",K14-L14,0)</f>
        <v>3052.5699999999997</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8" t="s">
        <v>197</v>
      </c>
      <c r="E1" s="3458" t="s">
        <v>198</v>
      </c>
      <c r="F1" s="3458"/>
      <c r="G1" s="3458"/>
      <c r="H1" s="3458"/>
      <c r="I1" s="3458"/>
      <c r="J1" s="3458"/>
      <c r="K1" s="3458"/>
      <c r="L1" s="3458"/>
      <c r="M1" s="3458"/>
    </row>
    <row r="2" spans="1:13" ht="27" customHeight="1">
      <c r="A2" s="3398"/>
      <c r="B2" s="3398"/>
      <c r="C2" s="3398"/>
      <c r="D2" s="3458"/>
      <c r="E2" s="3458" t="s">
        <v>181</v>
      </c>
      <c r="F2" s="3458" t="s">
        <v>182</v>
      </c>
      <c r="G2" s="3458"/>
      <c r="H2" s="3458"/>
      <c r="I2" s="3458"/>
      <c r="J2" s="3458" t="s">
        <v>183</v>
      </c>
      <c r="K2" s="3458"/>
      <c r="L2" s="3458"/>
      <c r="M2" s="3458"/>
    </row>
    <row r="3" spans="1:13" ht="28.5">
      <c r="A3" s="3398"/>
      <c r="B3" s="3398"/>
      <c r="C3" s="3398"/>
      <c r="D3" s="3458"/>
      <c r="E3" s="3458"/>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199</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639</v>
      </c>
      <c r="B1" s="2225"/>
      <c r="C1" s="2225"/>
      <c r="D1" s="2225"/>
      <c r="E1" s="2225"/>
      <c r="F1" s="2225"/>
      <c r="G1" s="2225"/>
      <c r="H1" s="2225"/>
      <c r="I1" s="2225"/>
      <c r="J1" s="2225"/>
      <c r="K1" s="2225"/>
      <c r="L1" s="2225"/>
      <c r="M1" s="2225"/>
      <c r="N1" s="2225"/>
      <c r="O1" s="2225"/>
      <c r="P1" s="2225"/>
    </row>
    <row r="2" spans="1:16">
      <c r="A2" s="3468" t="s">
        <v>640</v>
      </c>
      <c r="B2" s="3468"/>
      <c r="C2" s="3468"/>
      <c r="D2" s="2209" t="s">
        <v>641</v>
      </c>
      <c r="E2" s="19" t="s">
        <v>642</v>
      </c>
      <c r="F2" s="2225"/>
      <c r="G2" s="1178"/>
      <c r="H2" s="1179"/>
      <c r="I2" s="2217" t="s">
        <v>643</v>
      </c>
      <c r="J2" s="2225"/>
      <c r="K2" s="2225"/>
      <c r="L2" s="2225"/>
      <c r="M2" s="2225"/>
      <c r="N2" s="2234"/>
      <c r="O2" s="2225"/>
      <c r="P2" s="2225"/>
    </row>
    <row r="3" spans="1:16" ht="15.75" thickBot="1">
      <c r="A3" s="3469" t="s">
        <v>644</v>
      </c>
      <c r="B3" s="3469"/>
      <c r="C3" s="3469"/>
      <c r="D3" s="335">
        <f>'数据-基础表'!AY6</f>
        <v>0</v>
      </c>
      <c r="E3" s="335">
        <f>'数据-基础表'!AZ5</f>
        <v>3353.7699999999995</v>
      </c>
      <c r="F3" s="2225"/>
      <c r="G3" s="441"/>
      <c r="H3" s="439" t="s">
        <v>645</v>
      </c>
      <c r="I3" s="344" t="e">
        <f>ROUND('数据-基础表'!B3/'数据-基础表'!A3,2)</f>
        <v>#DIV/0!</v>
      </c>
      <c r="J3" s="2225"/>
      <c r="K3" s="2225"/>
      <c r="L3" s="2225"/>
      <c r="M3" s="2225"/>
      <c r="N3" s="2234"/>
      <c r="O3" s="2225"/>
      <c r="P3" s="2225"/>
    </row>
    <row r="4" spans="1:16" ht="14.25">
      <c r="A4" s="3470"/>
      <c r="B4" s="3471"/>
      <c r="C4" s="3472"/>
      <c r="D4" s="20" t="s">
        <v>641</v>
      </c>
      <c r="E4" s="21" t="s">
        <v>642</v>
      </c>
      <c r="F4" s="2225"/>
      <c r="G4" s="1180" t="s">
        <v>1786</v>
      </c>
      <c r="H4" s="439" t="s">
        <v>646</v>
      </c>
      <c r="I4" s="344" t="e">
        <f>ROUND(SUMIF('数据-基础表'!I9:AS9,"地上",'数据-基础表'!I5:AS5)/'数据-基础表'!A3,2)</f>
        <v>#DIV/0!</v>
      </c>
      <c r="J4" s="2225"/>
      <c r="K4" s="2225"/>
      <c r="L4" s="2225"/>
      <c r="M4" s="2225"/>
      <c r="N4" s="2234"/>
      <c r="O4" s="2225"/>
      <c r="P4" s="2225"/>
    </row>
    <row r="5" spans="1:16" ht="14.25">
      <c r="A5" s="22" t="s">
        <v>647</v>
      </c>
      <c r="B5" s="3473" t="s">
        <v>648</v>
      </c>
      <c r="C5" s="3473"/>
      <c r="D5" s="337">
        <f>ROUND($D$3*E5/$E$3,2)</f>
        <v>0</v>
      </c>
      <c r="E5" s="338">
        <f>SUMIF('数据-基础表'!$11:$11,"住宅",'数据-基础表'!$5:$5)</f>
        <v>0</v>
      </c>
      <c r="F5" s="2225"/>
      <c r="G5" s="441"/>
      <c r="H5" s="439" t="s">
        <v>645</v>
      </c>
      <c r="I5" s="344" t="e">
        <f>ROUND(E31/D31,2)</f>
        <v>#DIV/0!</v>
      </c>
      <c r="J5" s="2225"/>
      <c r="K5" s="2225"/>
      <c r="L5" s="2225"/>
      <c r="M5" s="2225"/>
      <c r="N5" s="2225"/>
      <c r="O5" s="2225"/>
      <c r="P5" s="2225"/>
    </row>
    <row r="6" spans="1:16" ht="15" thickBot="1">
      <c r="A6" s="24"/>
      <c r="B6" s="3473" t="s">
        <v>649</v>
      </c>
      <c r="C6" s="3473"/>
      <c r="D6" s="337">
        <f>ROUND($D$3*E6/$E$3,2)</f>
        <v>0</v>
      </c>
      <c r="E6" s="338">
        <f>E3-E5</f>
        <v>3353.7699999999995</v>
      </c>
      <c r="F6" s="2225"/>
      <c r="G6" s="1760" t="s">
        <v>1787</v>
      </c>
      <c r="H6" s="441" t="s">
        <v>646</v>
      </c>
      <c r="I6" s="1761" t="e">
        <f>ROUND(F31/D31,2)</f>
        <v>#DIV/0!</v>
      </c>
      <c r="J6" s="2225"/>
      <c r="K6" s="2225"/>
      <c r="L6" s="2225"/>
      <c r="M6" s="2225"/>
      <c r="N6" s="2225"/>
      <c r="O6" s="2225"/>
      <c r="P6" s="2225"/>
    </row>
    <row r="7" spans="1:16" ht="14.25">
      <c r="A7" s="3465"/>
      <c r="B7" s="3466"/>
      <c r="C7" s="3467"/>
      <c r="D7" s="20" t="s">
        <v>641</v>
      </c>
      <c r="E7" s="25" t="s">
        <v>642</v>
      </c>
      <c r="F7" s="2225"/>
      <c r="G7" s="1178" t="s">
        <v>1866</v>
      </c>
      <c r="H7" s="38"/>
      <c r="I7" s="762"/>
      <c r="J7" s="2225"/>
      <c r="K7" s="2225"/>
      <c r="L7" s="2225"/>
      <c r="M7" s="2225"/>
      <c r="N7" s="2225"/>
      <c r="O7" s="2225"/>
      <c r="P7" s="2225"/>
    </row>
    <row r="8" spans="1:16" ht="14.25">
      <c r="A8" s="22" t="s">
        <v>650</v>
      </c>
      <c r="B8" s="26" t="s">
        <v>651</v>
      </c>
      <c r="C8" s="23" t="s">
        <v>652</v>
      </c>
      <c r="D8" s="337">
        <f t="shared" ref="D8:D15" si="0">ROUND($D$3*E8/$E$3,2)</f>
        <v>0</v>
      </c>
      <c r="E8" s="340">
        <f>SUMIF('数据-基础表'!BB10:BK10,"地上",'数据-基础表'!BB5:BK5)</f>
        <v>3353.7699999999995</v>
      </c>
      <c r="F8" s="2225"/>
      <c r="G8" s="2226"/>
      <c r="H8" s="2226"/>
      <c r="I8" s="2225"/>
      <c r="J8" s="2225"/>
      <c r="K8" s="2225"/>
      <c r="L8" s="2225"/>
      <c r="M8" s="2225"/>
      <c r="N8" s="2225"/>
      <c r="O8" s="2225"/>
      <c r="P8" s="2225"/>
    </row>
    <row r="9" spans="1:16" ht="14.25">
      <c r="A9" s="27"/>
      <c r="B9" s="28"/>
      <c r="C9" s="23" t="s">
        <v>653</v>
      </c>
      <c r="D9" s="337">
        <f t="shared" si="0"/>
        <v>0</v>
      </c>
      <c r="E9" s="341">
        <v>0</v>
      </c>
      <c r="F9" s="2225"/>
      <c r="G9" s="2226"/>
      <c r="H9" s="2226"/>
      <c r="I9" s="2225"/>
      <c r="J9" s="2225"/>
      <c r="K9" s="2225"/>
      <c r="L9" s="2225"/>
      <c r="M9" s="2225"/>
      <c r="N9" s="2225"/>
      <c r="O9" s="2225"/>
      <c r="P9" s="2225"/>
    </row>
    <row r="10" spans="1:16" ht="14.25">
      <c r="A10" s="27"/>
      <c r="B10" s="28"/>
      <c r="C10" s="23" t="s">
        <v>654</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655</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656</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657</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658</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659</v>
      </c>
      <c r="D16" s="339">
        <f>SUM(D8:D15)</f>
        <v>0</v>
      </c>
      <c r="E16" s="342">
        <f>SUM(E8:E15)</f>
        <v>3353.7699999999995</v>
      </c>
      <c r="F16" s="2225"/>
      <c r="G16" s="2226"/>
      <c r="H16" s="1177" t="s">
        <v>530</v>
      </c>
      <c r="I16" s="1181"/>
      <c r="J16" s="2225"/>
      <c r="K16" s="3462" t="s">
        <v>530</v>
      </c>
      <c r="L16" s="3463"/>
      <c r="M16" s="3463"/>
      <c r="N16" s="3463"/>
      <c r="O16" s="3463"/>
      <c r="P16" s="3464"/>
    </row>
    <row r="17" spans="1:19" ht="14.25">
      <c r="A17" s="29" t="s">
        <v>660</v>
      </c>
      <c r="B17" s="30" t="s">
        <v>661</v>
      </c>
      <c r="C17" s="34" t="s">
        <v>2387</v>
      </c>
      <c r="D17" s="2075" t="s">
        <v>641</v>
      </c>
      <c r="E17" s="2073" t="s">
        <v>642</v>
      </c>
      <c r="F17" s="36"/>
      <c r="G17" s="37"/>
      <c r="H17" s="1182" t="s">
        <v>662</v>
      </c>
      <c r="I17" s="1183" t="s">
        <v>204</v>
      </c>
      <c r="J17" s="2225"/>
      <c r="K17" s="3459" t="s">
        <v>668</v>
      </c>
      <c r="L17" s="3460"/>
      <c r="M17" s="3461"/>
      <c r="N17" s="3459" t="s">
        <v>2690</v>
      </c>
      <c r="O17" s="3460"/>
      <c r="P17" s="3461"/>
      <c r="R17" s="2484" t="s">
        <v>2388</v>
      </c>
      <c r="S17" s="354"/>
    </row>
    <row r="18" spans="1:19">
      <c r="A18" s="27"/>
      <c r="B18" s="31"/>
      <c r="C18" s="35"/>
      <c r="D18" s="2076"/>
      <c r="E18" s="2074" t="s">
        <v>663</v>
      </c>
      <c r="F18" s="15" t="s">
        <v>664</v>
      </c>
      <c r="G18" s="16" t="s">
        <v>665</v>
      </c>
      <c r="H18" s="1184" t="s">
        <v>666</v>
      </c>
      <c r="I18" s="1185" t="s">
        <v>667</v>
      </c>
      <c r="J18" s="2225"/>
      <c r="K18" s="1184" t="s">
        <v>2683</v>
      </c>
      <c r="L18" s="6" t="s">
        <v>2691</v>
      </c>
      <c r="M18" s="2805" t="s">
        <v>2689</v>
      </c>
      <c r="N18" s="1184" t="s">
        <v>2683</v>
      </c>
      <c r="O18" s="6" t="s">
        <v>2691</v>
      </c>
      <c r="P18" s="2805" t="s">
        <v>2689</v>
      </c>
      <c r="R18" s="2485" t="s">
        <v>2389</v>
      </c>
      <c r="S18" s="2485" t="s">
        <v>2390</v>
      </c>
    </row>
    <row r="19" spans="1:19" ht="14.25">
      <c r="A19" s="32"/>
      <c r="B19" s="26" t="s">
        <v>116</v>
      </c>
      <c r="C19" s="1419" t="s">
        <v>3215</v>
      </c>
      <c r="D19" s="337">
        <f>ROUND($D$3*E19/$E$3,2)</f>
        <v>0</v>
      </c>
      <c r="E19" s="345">
        <f t="shared" ref="E19:E26" si="1">SUM(F19:G19)</f>
        <v>301.2</v>
      </c>
      <c r="F19" s="346">
        <f>'数据-基础表'!I13</f>
        <v>301.2</v>
      </c>
      <c r="G19" s="347"/>
      <c r="H19" s="1131">
        <f>ROUND($D$3*I19/$E$3,2)</f>
        <v>0</v>
      </c>
      <c r="I19" s="340">
        <f t="shared" ref="I19:I26" si="2">IF($I$17="自定义",P19,M19)</f>
        <v>0</v>
      </c>
      <c r="J19" s="2225"/>
      <c r="K19" s="2806">
        <f t="shared" ref="K19:K26" si="3">ROUND(E$28*E19/E$27,2)</f>
        <v>0</v>
      </c>
      <c r="L19" s="2486">
        <f t="shared" ref="L19:L26" si="4">ROUND(IF(COUNTIF(C19,"*住宅*")&gt;0,E$29*E19/E$32,0),2)</f>
        <v>0</v>
      </c>
      <c r="M19" s="2824">
        <f>K19+L19</f>
        <v>0</v>
      </c>
      <c r="N19" s="2822"/>
      <c r="O19" s="2804"/>
      <c r="P19" s="2807">
        <f>N19+O19</f>
        <v>0</v>
      </c>
      <c r="R19" s="2486">
        <f t="shared" ref="R19:S26" si="5">D19+H19</f>
        <v>0</v>
      </c>
      <c r="S19" s="2487">
        <f t="shared" si="5"/>
        <v>301.2</v>
      </c>
    </row>
    <row r="20" spans="1:19" ht="14.25">
      <c r="A20" s="33"/>
      <c r="B20" s="26" t="s">
        <v>634</v>
      </c>
      <c r="C20" s="1419" t="s">
        <v>3155</v>
      </c>
      <c r="D20" s="337">
        <f t="shared" ref="D20:D26" si="6">ROUND($D$3*E20/$E$3,2)</f>
        <v>0</v>
      </c>
      <c r="E20" s="345">
        <f t="shared" si="1"/>
        <v>2035.05</v>
      </c>
      <c r="F20" s="346">
        <f>508.76+508.76+1017.53</f>
        <v>2035.05</v>
      </c>
      <c r="G20" s="347"/>
      <c r="H20" s="1131">
        <f t="shared" ref="H20:H26" si="7">ROUND($D$3*I20/$E$3,2)</f>
        <v>0</v>
      </c>
      <c r="I20" s="340">
        <f t="shared" si="2"/>
        <v>0</v>
      </c>
      <c r="J20" s="2225"/>
      <c r="K20" s="2806">
        <f t="shared" si="3"/>
        <v>0</v>
      </c>
      <c r="L20" s="2486">
        <f t="shared" si="4"/>
        <v>0</v>
      </c>
      <c r="M20" s="2824">
        <f t="shared" ref="M20:M26" si="8">K20+L20</f>
        <v>0</v>
      </c>
      <c r="N20" s="2822"/>
      <c r="O20" s="2804"/>
      <c r="P20" s="2807">
        <f t="shared" ref="P20:P26" si="9">N20+O20</f>
        <v>0</v>
      </c>
      <c r="R20" s="2486">
        <f t="shared" si="5"/>
        <v>0</v>
      </c>
      <c r="S20" s="2487">
        <f t="shared" si="5"/>
        <v>2035.05</v>
      </c>
    </row>
    <row r="21" spans="1:19" ht="14.25">
      <c r="A21" s="33"/>
      <c r="B21" s="26" t="s">
        <v>634</v>
      </c>
      <c r="C21" s="1419" t="s">
        <v>3153</v>
      </c>
      <c r="D21" s="337">
        <f t="shared" si="6"/>
        <v>0</v>
      </c>
      <c r="E21" s="345">
        <f t="shared" si="1"/>
        <v>1017.52</v>
      </c>
      <c r="F21" s="346">
        <v>1017.52</v>
      </c>
      <c r="G21" s="347"/>
      <c r="H21" s="1131">
        <f t="shared" si="7"/>
        <v>0</v>
      </c>
      <c r="I21" s="340">
        <f t="shared" si="2"/>
        <v>0</v>
      </c>
      <c r="J21" s="2225"/>
      <c r="K21" s="2806">
        <f t="shared" si="3"/>
        <v>0</v>
      </c>
      <c r="L21" s="2486">
        <f t="shared" si="4"/>
        <v>0</v>
      </c>
      <c r="M21" s="2824">
        <f t="shared" si="8"/>
        <v>0</v>
      </c>
      <c r="N21" s="2822"/>
      <c r="O21" s="2804"/>
      <c r="P21" s="2807">
        <f t="shared" si="9"/>
        <v>0</v>
      </c>
      <c r="R21" s="2486">
        <f t="shared" si="5"/>
        <v>0</v>
      </c>
      <c r="S21" s="2487">
        <f t="shared" si="5"/>
        <v>1017.52</v>
      </c>
    </row>
    <row r="22" spans="1:19" ht="14.25">
      <c r="A22" s="33"/>
      <c r="B22" s="26" t="s">
        <v>634</v>
      </c>
      <c r="C22" s="349"/>
      <c r="D22" s="337">
        <f t="shared" si="6"/>
        <v>0</v>
      </c>
      <c r="E22" s="345">
        <f t="shared" si="1"/>
        <v>0</v>
      </c>
      <c r="F22" s="350"/>
      <c r="G22" s="351"/>
      <c r="H22" s="1131">
        <f t="shared" si="7"/>
        <v>0</v>
      </c>
      <c r="I22" s="340">
        <f t="shared" si="2"/>
        <v>0</v>
      </c>
      <c r="J22" s="2225"/>
      <c r="K22" s="2806">
        <f t="shared" si="3"/>
        <v>0</v>
      </c>
      <c r="L22" s="2486">
        <f t="shared" si="4"/>
        <v>0</v>
      </c>
      <c r="M22" s="2824">
        <f t="shared" si="8"/>
        <v>0</v>
      </c>
      <c r="N22" s="2822"/>
      <c r="O22" s="2804"/>
      <c r="P22" s="2807">
        <f t="shared" si="9"/>
        <v>0</v>
      </c>
      <c r="R22" s="2486">
        <f t="shared" si="5"/>
        <v>0</v>
      </c>
      <c r="S22" s="2487">
        <f t="shared" si="5"/>
        <v>0</v>
      </c>
    </row>
    <row r="23" spans="1:19" ht="14.25">
      <c r="A23" s="33"/>
      <c r="B23" s="26" t="s">
        <v>634</v>
      </c>
      <c r="C23" s="349"/>
      <c r="D23" s="337">
        <f>ROUND($D$3*E23/$E$3,2)</f>
        <v>0</v>
      </c>
      <c r="E23" s="345">
        <f>SUM(F23:G23)</f>
        <v>0</v>
      </c>
      <c r="F23" s="350"/>
      <c r="G23" s="351"/>
      <c r="H23" s="1131">
        <f>ROUND($D$3*I23/$E$3,2)</f>
        <v>0</v>
      </c>
      <c r="I23" s="340">
        <f t="shared" si="2"/>
        <v>0</v>
      </c>
      <c r="J23" s="2225"/>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634</v>
      </c>
      <c r="C24" s="349"/>
      <c r="D24" s="337">
        <f>ROUND($D$3*E24/$E$3,2)</f>
        <v>0</v>
      </c>
      <c r="E24" s="345">
        <f>SUM(F24:G24)</f>
        <v>0</v>
      </c>
      <c r="F24" s="350"/>
      <c r="G24" s="351"/>
      <c r="H24" s="1131">
        <f>ROUND($D$3*I24/$E$3,2)</f>
        <v>0</v>
      </c>
      <c r="I24" s="340">
        <f t="shared" si="2"/>
        <v>0</v>
      </c>
      <c r="J24" s="2225"/>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634</v>
      </c>
      <c r="C25" s="349"/>
      <c r="D25" s="337">
        <f t="shared" si="6"/>
        <v>0</v>
      </c>
      <c r="E25" s="345">
        <f t="shared" si="1"/>
        <v>0</v>
      </c>
      <c r="F25" s="350"/>
      <c r="G25" s="351"/>
      <c r="H25" s="336">
        <f t="shared" si="7"/>
        <v>0</v>
      </c>
      <c r="I25" s="340">
        <f t="shared" si="2"/>
        <v>0</v>
      </c>
      <c r="J25" s="2225"/>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634</v>
      </c>
      <c r="C26" s="353"/>
      <c r="D26" s="337">
        <f t="shared" si="6"/>
        <v>0</v>
      </c>
      <c r="E26" s="345">
        <f t="shared" si="1"/>
        <v>0</v>
      </c>
      <c r="F26" s="350"/>
      <c r="G26" s="351"/>
      <c r="H26" s="336">
        <f t="shared" si="7"/>
        <v>0</v>
      </c>
      <c r="I26" s="340">
        <f t="shared" si="2"/>
        <v>0</v>
      </c>
      <c r="J26" s="2225"/>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635</v>
      </c>
      <c r="D27" s="2809">
        <f>SUM(D19:D26)</f>
        <v>0</v>
      </c>
      <c r="E27" s="2810">
        <f>IF(SUM(E19:E26)='数据-基础表'!BA5,SUM(E19:E26),IF(F27="地上面积有误","面积有误","地下面积有误"))</f>
        <v>3353.77</v>
      </c>
      <c r="F27" s="2809">
        <f>IF(SUM(F19:F26)=E8,SUM(F19:F26),"地上面积有误")</f>
        <v>3353.77</v>
      </c>
      <c r="G27" s="2811">
        <f>SUM(G19:G26)</f>
        <v>0</v>
      </c>
      <c r="H27" s="2812">
        <f>SUM(H19:H26)</f>
        <v>0</v>
      </c>
      <c r="I27" s="2813">
        <f>SUM(I19:I26)</f>
        <v>0</v>
      </c>
      <c r="J27" s="2225"/>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0</v>
      </c>
      <c r="S27" s="2486">
        <f>IF(SUM(S19:S26)=$E$3,SUM(S19:S26),SUM(S19:S26)&amp;"误差"&amp;ROUND(SUM(S19:S26)-E3,2))</f>
        <v>3353.77</v>
      </c>
    </row>
    <row r="28" spans="1:19" ht="14.25">
      <c r="A28" s="33"/>
      <c r="B28" s="26" t="s">
        <v>636</v>
      </c>
      <c r="C28" s="5" t="s">
        <v>637</v>
      </c>
      <c r="D28" s="337">
        <f>ROUND($D$3*E28/$E$3,2)</f>
        <v>0</v>
      </c>
      <c r="E28" s="345">
        <f>SUM(F28:G28)</f>
        <v>0</v>
      </c>
      <c r="F28" s="354">
        <f>'数据-基础表'!BQ5+'数据-基础表'!BS5</f>
        <v>0</v>
      </c>
      <c r="G28" s="355">
        <f>'数据-基础表'!BR5+'数据-基础表'!BT5</f>
        <v>0</v>
      </c>
      <c r="H28" s="2225"/>
      <c r="I28" s="2225"/>
      <c r="J28" s="2225"/>
      <c r="K28" s="2225"/>
      <c r="L28" s="2225"/>
      <c r="M28" s="2225"/>
      <c r="N28" s="2808"/>
      <c r="O28" s="2808"/>
      <c r="P28" s="2225"/>
    </row>
    <row r="29" spans="1:19" ht="14.25">
      <c r="A29" s="33"/>
      <c r="B29" s="26" t="s">
        <v>636</v>
      </c>
      <c r="C29" s="13" t="s">
        <v>2391</v>
      </c>
      <c r="D29" s="337">
        <f>ROUND($D$3*E29/$E$3,2)</f>
        <v>0</v>
      </c>
      <c r="E29" s="345">
        <f>SUM(F29:G29)</f>
        <v>0</v>
      </c>
      <c r="F29" s="356">
        <f>'数据-基础表'!BM5+'数据-基础表'!BO5</f>
        <v>0</v>
      </c>
      <c r="G29" s="357">
        <f>'数据-基础表'!BN5+'数据-基础表'!BP5</f>
        <v>0</v>
      </c>
      <c r="H29" s="2225"/>
      <c r="I29" s="2225"/>
      <c r="J29" s="2225"/>
      <c r="K29" s="2225"/>
      <c r="L29" s="2225"/>
      <c r="M29" s="2225"/>
      <c r="N29" s="2808"/>
      <c r="O29" s="2808"/>
      <c r="P29" s="2225"/>
    </row>
    <row r="30" spans="1:19" ht="15">
      <c r="A30" s="33"/>
      <c r="B30" s="26"/>
      <c r="C30" s="2814" t="s">
        <v>635</v>
      </c>
      <c r="D30" s="2809">
        <f>SUM(D28:D29)</f>
        <v>0</v>
      </c>
      <c r="E30" s="2809">
        <f>SUM(E28:E29)</f>
        <v>0</v>
      </c>
      <c r="F30" s="2809">
        <f>SUM(F28:F29)</f>
        <v>0</v>
      </c>
      <c r="G30" s="2811">
        <f>SUM(G28:G29)</f>
        <v>0</v>
      </c>
      <c r="H30" s="2225"/>
      <c r="I30" s="2225"/>
      <c r="J30" s="2225"/>
      <c r="K30" s="2225"/>
      <c r="L30" s="2225"/>
      <c r="M30" s="2225"/>
      <c r="N30" s="2808"/>
      <c r="O30" s="2808"/>
      <c r="P30" s="2225"/>
    </row>
    <row r="31" spans="1:19" ht="15.75" thickBot="1">
      <c r="A31" s="1186"/>
      <c r="B31" s="2525"/>
      <c r="C31" s="2526" t="s">
        <v>638</v>
      </c>
      <c r="D31" s="1187">
        <f>D27+D30</f>
        <v>0</v>
      </c>
      <c r="E31" s="1187">
        <f>E27+E30</f>
        <v>3353.77</v>
      </c>
      <c r="F31" s="1188">
        <f>F27+F30</f>
        <v>3353.77</v>
      </c>
      <c r="G31" s="1189">
        <f>G27+G30</f>
        <v>0</v>
      </c>
      <c r="H31" s="2225"/>
      <c r="I31" s="2225"/>
      <c r="J31" s="2225"/>
      <c r="K31" s="2225"/>
      <c r="L31" s="2225"/>
      <c r="M31" s="2225"/>
      <c r="N31" s="2225"/>
      <c r="O31" s="2225"/>
      <c r="P31" s="2225"/>
    </row>
    <row r="32" spans="1:19" ht="14.25">
      <c r="A32" s="1180"/>
      <c r="B32" s="1180" t="s">
        <v>2704</v>
      </c>
      <c r="C32" s="1180"/>
      <c r="D32" s="1180"/>
      <c r="E32" s="2524">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125" style="1192" customWidth="1"/>
    <col min="26"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669</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670</v>
      </c>
      <c r="B2" s="2515">
        <f>项目基本情况!D3</f>
        <v>43003</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675</v>
      </c>
      <c r="C5" s="49" t="s">
        <v>676</v>
      </c>
      <c r="D5" s="50" t="s">
        <v>677</v>
      </c>
      <c r="E5" s="51" t="s">
        <v>678</v>
      </c>
      <c r="F5" s="52" t="s">
        <v>679</v>
      </c>
      <c r="G5" s="51" t="s">
        <v>680</v>
      </c>
      <c r="H5" s="51" t="s">
        <v>681</v>
      </c>
      <c r="I5" s="51" t="s">
        <v>682</v>
      </c>
      <c r="J5" s="53" t="s">
        <v>683</v>
      </c>
      <c r="K5" s="54" t="s">
        <v>684</v>
      </c>
      <c r="L5" s="55" t="s">
        <v>685</v>
      </c>
      <c r="M5" s="56" t="s">
        <v>686</v>
      </c>
      <c r="N5" s="1200" t="s">
        <v>77</v>
      </c>
      <c r="O5" s="55" t="s">
        <v>687</v>
      </c>
      <c r="P5" s="57" t="s">
        <v>688</v>
      </c>
      <c r="Q5" s="58" t="s">
        <v>689</v>
      </c>
      <c r="R5" s="273" t="s">
        <v>690</v>
      </c>
      <c r="S5" s="59" t="s">
        <v>2684</v>
      </c>
      <c r="T5" s="274" t="s">
        <v>691</v>
      </c>
      <c r="U5" s="2516" t="s">
        <v>2399</v>
      </c>
      <c r="V5" s="51" t="s">
        <v>692</v>
      </c>
      <c r="W5" s="2517" t="s">
        <v>2400</v>
      </c>
      <c r="X5" s="62"/>
      <c r="Y5" s="60" t="s">
        <v>693</v>
      </c>
      <c r="Z5" s="61" t="s">
        <v>694</v>
      </c>
      <c r="AA5" s="51" t="s">
        <v>692</v>
      </c>
      <c r="AB5" s="2517" t="s">
        <v>2400</v>
      </c>
      <c r="AC5" s="62"/>
      <c r="AD5" s="62" t="s">
        <v>693</v>
      </c>
      <c r="AE5" s="14" t="s">
        <v>535</v>
      </c>
      <c r="AF5" s="51" t="s">
        <v>695</v>
      </c>
      <c r="AG5" s="60" t="s">
        <v>696</v>
      </c>
      <c r="AH5" s="14" t="s">
        <v>2404</v>
      </c>
      <c r="AI5" s="61" t="s">
        <v>2321</v>
      </c>
      <c r="AJ5" s="61" t="s">
        <v>697</v>
      </c>
      <c r="AK5" s="2517" t="s">
        <v>2401</v>
      </c>
      <c r="AL5" s="2517" t="s">
        <v>2402</v>
      </c>
      <c r="AM5" s="360" t="s">
        <v>2403</v>
      </c>
      <c r="AN5" s="2574" t="s">
        <v>2443</v>
      </c>
      <c r="AO5" s="2013" t="s">
        <v>2675</v>
      </c>
      <c r="AP5" s="2893" t="s">
        <v>2685</v>
      </c>
      <c r="AQ5" s="2894" t="s">
        <v>2796</v>
      </c>
      <c r="AR5" s="2894" t="s">
        <v>2797</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4" t="str">
        <f>'数据-汇总表'!C19</f>
        <v>商业C区1060</v>
      </c>
      <c r="B6" s="2492" t="str">
        <f>IF(A6=0,"","经营性")</f>
        <v>经营性</v>
      </c>
      <c r="C6" s="39" t="s">
        <v>3043</v>
      </c>
      <c r="D6" s="2056">
        <f>SUMIF(项目基本情况!D$12:I$12,C6,项目基本情况!D$14:I$14)</f>
        <v>40</v>
      </c>
      <c r="E6" s="2050">
        <f>IF(B6="","",SUMIF(项目基本情况!D$12:I$12,C6,项目基本情况!D$13:I$13))</f>
        <v>55380</v>
      </c>
      <c r="F6" s="362">
        <f>SUMIF(项目基本情况!D$12:I$12,C6,项目基本情况!D$15:I$15)</f>
        <v>33.9</v>
      </c>
      <c r="G6" s="363">
        <f>IF(ISERROR(ROUND(POWER(1+H6,D6-F6)*(POWER(1+H6,F6)-1)/(POWER(1+H6,D6)-1),3)),0,ROUND(POWER(1+H6,D6-F6)*(POWER(1+H6,F6)-1)/(POWER(1+H6,D6)-1),3))</f>
        <v>0.93600000000000005</v>
      </c>
      <c r="H6" s="1474">
        <v>4.4999999999999998E-2</v>
      </c>
      <c r="I6" s="1474">
        <v>0.05</v>
      </c>
      <c r="J6" s="364">
        <v>8.5000000000000006E-2</v>
      </c>
      <c r="K6" s="2495">
        <f>SUMIF('数据-汇总表'!C$19:C$33,A6,'数据-汇总表'!E$19:E$33)</f>
        <v>301.2</v>
      </c>
      <c r="L6" s="1475">
        <v>1800</v>
      </c>
      <c r="M6" s="365">
        <f t="shared" ref="M6:M14" si="0">ROUND(K6*L6/10000,0)</f>
        <v>54</v>
      </c>
      <c r="N6" s="1473">
        <v>1</v>
      </c>
      <c r="O6" s="365" t="str">
        <f>IF($N$5="成新度","——",ROUND(M6*N6,0))</f>
        <v>——</v>
      </c>
      <c r="P6" s="366" t="str">
        <f>IF($N$5="成新度","——",M6-O6)</f>
        <v>——</v>
      </c>
      <c r="Q6" s="1476">
        <v>0.25</v>
      </c>
      <c r="R6" s="367">
        <f ca="1">SUMIF('数据-汇总表'!C$19:C$33,A6,'数据-汇总表'!R$19:R$27)</f>
        <v>0</v>
      </c>
      <c r="S6" s="343">
        <f>IF('数据-汇总表'!$I$17="按面积比例",SUMIF('数据-汇总表'!C$19:C$33,A6,'数据-汇总表'!K$19:K$33),SUMIF('数据-汇总表'!C$19:C$33,A6,'数据-汇总表'!N$19:N$33))</f>
        <v>0</v>
      </c>
      <c r="T6" s="2892">
        <f>ROUND($L$14*S6/10000,0)</f>
        <v>0</v>
      </c>
      <c r="U6" s="368">
        <f>'比较法-商业 (租金)'!B3</f>
        <v>4.4000000000000004</v>
      </c>
      <c r="V6" s="369">
        <v>2.5000000000000001E-2</v>
      </c>
      <c r="W6" s="369">
        <v>0.1</v>
      </c>
      <c r="X6" s="2505"/>
      <c r="Y6" s="370">
        <f>N6</f>
        <v>1</v>
      </c>
      <c r="Z6" s="371"/>
      <c r="AA6" s="364"/>
      <c r="AB6" s="364"/>
      <c r="AC6" s="2505"/>
      <c r="AD6" s="372"/>
      <c r="AE6" s="2506">
        <f ca="1">IF(AN6="",0,SUMIF(INDIRECT("'"&amp;AN6&amp;"'"&amp;"!E:E"),$AE$5,INDIRECT("'"&amp;AN6&amp;"'"&amp;"!F:F")))</f>
        <v>33.9</v>
      </c>
      <c r="AF6" s="352"/>
      <c r="AG6" s="477">
        <f>IF(AF6="",0,AE6-AF6)</f>
        <v>0</v>
      </c>
      <c r="AH6" s="373"/>
      <c r="AI6" s="375">
        <v>365</v>
      </c>
      <c r="AJ6" s="376"/>
      <c r="AK6" s="377">
        <v>1.4999999999999999E-2</v>
      </c>
      <c r="AL6" s="3373">
        <v>2E-3</v>
      </c>
      <c r="AM6" s="379">
        <v>1.4999999999999999E-2</v>
      </c>
      <c r="AN6" s="2575" t="s">
        <v>3195</v>
      </c>
      <c r="AO6" s="344">
        <f ca="1">SUMIF(INDIRECT("'"&amp;AN6&amp;"'"&amp;"!A:A"),"总价",INDIRECT("'"&amp;AN6&amp;"'"&amp;"!B:B"))</f>
        <v>856</v>
      </c>
      <c r="AP6" s="2895">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4" t="str">
        <f>'数据-汇总表'!C20</f>
        <v>办公C区7、8层</v>
      </c>
      <c r="B7" s="2492" t="str">
        <f t="shared" ref="B7:B13" si="1">IF(A7=0,"","经营性")</f>
        <v>经营性</v>
      </c>
      <c r="C7" s="39" t="s">
        <v>3043</v>
      </c>
      <c r="D7" s="2056">
        <f>SUMIF(项目基本情况!D$12:I$12,C7,项目基本情况!D$14:I$14)</f>
        <v>40</v>
      </c>
      <c r="E7" s="2050">
        <f>IF(B7="","",SUMIF(项目基本情况!D$12:I$12,C7,项目基本情况!D$13:I$13))</f>
        <v>55380</v>
      </c>
      <c r="F7" s="362">
        <f>SUMIF(项目基本情况!D$12:I$12,C7,项目基本情况!D$15:I$15)</f>
        <v>33.9</v>
      </c>
      <c r="G7" s="363">
        <f t="shared" ref="G7:G11" si="2">IF(ISERROR(ROUND(POWER(1+H7,D7-F7)*(POWER(1+H7,F7)-1)/(POWER(1+H7,D7)-1),3)),0,ROUND(POWER(1+H7,D7-F7)*(POWER(1+H7,F7)-1)/(POWER(1+H7,D7)-1),3))</f>
        <v>0.93600000000000005</v>
      </c>
      <c r="H7" s="1474">
        <v>4.4999999999999998E-2</v>
      </c>
      <c r="I7" s="1474">
        <v>0.05</v>
      </c>
      <c r="J7" s="364">
        <v>8.5000000000000006E-2</v>
      </c>
      <c r="K7" s="2495">
        <f>SUMIF('数据-汇总表'!C$19:C$33,A7,'数据-汇总表'!E$19:E$33)</f>
        <v>2035.05</v>
      </c>
      <c r="L7" s="1475">
        <v>1800</v>
      </c>
      <c r="M7" s="365">
        <f t="shared" si="0"/>
        <v>366</v>
      </c>
      <c r="N7" s="1473">
        <v>1</v>
      </c>
      <c r="O7" s="365" t="str">
        <f t="shared" ref="O7:O14" si="3">IF($N$5="成新度","——",ROUND(M7*N7,0))</f>
        <v>——</v>
      </c>
      <c r="P7" s="366" t="str">
        <f t="shared" ref="P7:P14" si="4">IF($N$5="成新度","——",M7-O7)</f>
        <v>——</v>
      </c>
      <c r="Q7" s="1476">
        <v>0.2</v>
      </c>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f>'比较法-办公 (租金)'!B3</f>
        <v>1.3</v>
      </c>
      <c r="V7" s="369">
        <v>0.02</v>
      </c>
      <c r="W7" s="369">
        <v>0.1</v>
      </c>
      <c r="X7" s="2505"/>
      <c r="Y7" s="370">
        <f>N7</f>
        <v>1</v>
      </c>
      <c r="Z7" s="371"/>
      <c r="AA7" s="364"/>
      <c r="AB7" s="364"/>
      <c r="AC7" s="2505"/>
      <c r="AD7" s="372"/>
      <c r="AE7" s="2506">
        <f t="shared" ref="AE7:AE13" ca="1" si="6">IF(AN7="",0,SUMIF(INDIRECT("'"&amp;AN7&amp;"'"&amp;"!E:E"),$AE$5,INDIRECT("'"&amp;AN7&amp;"'"&amp;"!F:F")))</f>
        <v>33.9</v>
      </c>
      <c r="AF7" s="352"/>
      <c r="AG7" s="477">
        <f t="shared" ref="AG7:AG13" si="7">IF(AF7="",0,AE7-AF7)</f>
        <v>0</v>
      </c>
      <c r="AH7" s="373"/>
      <c r="AI7" s="375">
        <v>365</v>
      </c>
      <c r="AJ7" s="376"/>
      <c r="AK7" s="377">
        <v>1.4999999999999999E-2</v>
      </c>
      <c r="AL7" s="3373">
        <v>2E-3</v>
      </c>
      <c r="AM7" s="379">
        <v>1.4999999999999999E-2</v>
      </c>
      <c r="AN7" s="2575" t="s">
        <v>3123</v>
      </c>
      <c r="AO7" s="344">
        <f t="shared" ref="AO7:AO13" ca="1" si="8">SUMIF(INDIRECT("'"&amp;AN7&amp;"'"&amp;"!A:A"),"总价",INDIRECT("'"&amp;AN7&amp;"'"&amp;"!B:B"))</f>
        <v>1391</v>
      </c>
      <c r="AP7" s="2895">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4" t="str">
        <f>'数据-汇总表'!C21</f>
        <v>办公C区6层</v>
      </c>
      <c r="B8" s="2492" t="str">
        <f t="shared" si="1"/>
        <v>经营性</v>
      </c>
      <c r="C8" s="39"/>
      <c r="D8" s="2056">
        <f>SUMIF(项目基本情况!D$12:I$12,C8,项目基本情况!D$14:I$14)</f>
        <v>0</v>
      </c>
      <c r="E8" s="2050">
        <f>IF(B8="","",SUMIF(项目基本情况!D$12:I$12,C8,项目基本情况!D$13:I$13))</f>
        <v>0</v>
      </c>
      <c r="F8" s="362">
        <f>SUMIF(项目基本情况!D$12:I$12,C8,项目基本情况!D$15:I$15)</f>
        <v>0</v>
      </c>
      <c r="G8" s="363">
        <f t="shared" si="2"/>
        <v>0</v>
      </c>
      <c r="H8" s="1474"/>
      <c r="I8" s="1474"/>
      <c r="J8" s="364"/>
      <c r="K8" s="2495">
        <f>SUMIF('数据-汇总表'!C$19:C$33,A8,'数据-汇总表'!E$19:E$33)</f>
        <v>1017.52</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2">
        <f t="shared" si="5"/>
        <v>0</v>
      </c>
      <c r="U8" s="1477"/>
      <c r="V8" s="1478"/>
      <c r="W8" s="1478"/>
      <c r="X8" s="2505"/>
      <c r="Y8" s="1479"/>
      <c r="Z8" s="371"/>
      <c r="AA8" s="364"/>
      <c r="AB8" s="364"/>
      <c r="AC8" s="2505"/>
      <c r="AD8" s="372"/>
      <c r="AE8" s="2506">
        <f t="shared" ca="1" si="6"/>
        <v>0</v>
      </c>
      <c r="AF8" s="352"/>
      <c r="AG8" s="477">
        <f t="shared" si="7"/>
        <v>0</v>
      </c>
      <c r="AH8" s="1480"/>
      <c r="AI8" s="375"/>
      <c r="AJ8" s="376"/>
      <c r="AK8" s="1481"/>
      <c r="AL8" s="1482"/>
      <c r="AM8" s="1483"/>
      <c r="AN8" s="2575"/>
      <c r="AO8" s="344" t="e">
        <f t="shared" ca="1" si="8"/>
        <v>#REF!</v>
      </c>
      <c r="AP8" s="2895">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5">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5">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5">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5">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5">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89" t="s">
        <v>532</v>
      </c>
      <c r="B14" s="2492" t="s">
        <v>531</v>
      </c>
      <c r="C14" s="2493" t="s">
        <v>532</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92"/>
      <c r="U14" s="1131"/>
      <c r="V14" s="2500"/>
      <c r="W14" s="2500"/>
      <c r="X14" s="2501"/>
      <c r="Y14" s="2502"/>
      <c r="Z14" s="2503"/>
      <c r="AA14" s="2504"/>
      <c r="AB14" s="2504"/>
      <c r="AC14" s="2505"/>
      <c r="AD14" s="2501"/>
      <c r="AE14" s="2506"/>
      <c r="AF14" s="344"/>
      <c r="AG14" s="477"/>
      <c r="AH14" s="2506"/>
      <c r="AI14" s="2510"/>
      <c r="AJ14" s="1320"/>
      <c r="AK14" s="2507"/>
      <c r="AL14" s="2508"/>
      <c r="AM14" s="2509"/>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89" t="s">
        <v>2392</v>
      </c>
      <c r="B15" s="2492" t="s">
        <v>531</v>
      </c>
      <c r="C15" s="2493" t="s">
        <v>2096</v>
      </c>
      <c r="D15" s="2056"/>
      <c r="E15" s="2050"/>
      <c r="F15" s="362"/>
      <c r="G15" s="363"/>
      <c r="H15" s="2494"/>
      <c r="I15" s="2494"/>
      <c r="J15" s="2494"/>
      <c r="K15" s="2495">
        <f>SUMIF('数据-汇总表'!C$19:C$33,A15,'数据-汇总表'!E$19:E$33)</f>
        <v>0</v>
      </c>
      <c r="L15" s="2496"/>
      <c r="M15" s="365"/>
      <c r="N15" s="2497"/>
      <c r="O15" s="365"/>
      <c r="P15" s="366"/>
      <c r="Q15" s="2498"/>
      <c r="R15" s="367"/>
      <c r="S15" s="343"/>
      <c r="T15" s="2892"/>
      <c r="U15" s="1131"/>
      <c r="V15" s="2500"/>
      <c r="W15" s="2500"/>
      <c r="X15" s="2501"/>
      <c r="Y15" s="2502"/>
      <c r="Z15" s="2503"/>
      <c r="AA15" s="2504"/>
      <c r="AB15" s="2504"/>
      <c r="AC15" s="2505"/>
      <c r="AD15" s="2501"/>
      <c r="AE15" s="2506"/>
      <c r="AF15" s="344"/>
      <c r="AG15" s="477"/>
      <c r="AH15" s="2506"/>
      <c r="AI15" s="2510"/>
      <c r="AJ15" s="1320"/>
      <c r="AK15" s="2507"/>
      <c r="AL15" s="2508"/>
      <c r="AM15" s="2509"/>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0.93600000000000005</v>
      </c>
      <c r="H16" s="389">
        <f>ROUND(SUMPRODUCT(H6:H13,K6:K13)/SUMPRODUCT((H6:H13&gt;0)*(K6:K13)),3)</f>
        <v>4.4999999999999998E-2</v>
      </c>
      <c r="I16" s="390"/>
      <c r="J16" s="390"/>
      <c r="K16" s="391">
        <f>SUM(K6:K15)</f>
        <v>3353.77</v>
      </c>
      <c r="L16" s="392">
        <f>ROUND(M16*10000/SUM(K6:K14),0)</f>
        <v>1252</v>
      </c>
      <c r="M16" s="392">
        <f>SUM(M6:M14)</f>
        <v>420</v>
      </c>
      <c r="N16" s="393">
        <f>ROUND(SUMPRODUCT(M6:M14,N6:N14)/M16,3)</f>
        <v>1</v>
      </c>
      <c r="O16" s="392">
        <f>SUM(O6:O14)</f>
        <v>0</v>
      </c>
      <c r="P16" s="392">
        <f>SUM(P6:P14)</f>
        <v>0</v>
      </c>
      <c r="Q16" s="394">
        <f>ROUND(SUMPRODUCT(Q6:Q13,K6:K13)/SUMPRODUCT((Q6:Q13&gt;0)*(K6:K13)),2)</f>
        <v>0.21</v>
      </c>
      <c r="R16" s="2499">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2408</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698</v>
      </c>
      <c r="B20" s="403">
        <v>3</v>
      </c>
      <c r="C20" s="2232" t="s">
        <v>2409</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699</v>
      </c>
      <c r="B21" s="403">
        <v>3</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700</v>
      </c>
      <c r="B22" s="404">
        <f>B19+B20</f>
        <v>3</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701</v>
      </c>
      <c r="B23" s="404">
        <f>B19+B21</f>
        <v>3</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702</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703</v>
      </c>
      <c r="B26" s="72" t="s">
        <v>704</v>
      </c>
      <c r="C26" s="2235" t="s">
        <v>705</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706</v>
      </c>
      <c r="B27" s="406"/>
      <c r="C27" s="2527" t="s">
        <v>707</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708</v>
      </c>
      <c r="B28" s="409">
        <v>150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2687</v>
      </c>
      <c r="B29" s="411"/>
      <c r="C29" s="2527" t="s">
        <v>2688</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709</v>
      </c>
      <c r="B30" s="1132">
        <v>150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710</v>
      </c>
      <c r="B31" s="410">
        <f>B30-B32</f>
        <v>150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711</v>
      </c>
      <c r="B32" s="1133">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712</v>
      </c>
      <c r="B33" s="1134">
        <v>0.03</v>
      </c>
      <c r="C33" s="3292" t="s">
        <v>3001</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713</v>
      </c>
      <c r="B34" s="412">
        <v>0.03</v>
      </c>
      <c r="C34" s="3292" t="s">
        <v>3002</v>
      </c>
      <c r="D34" s="2233" t="s">
        <v>714</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715</v>
      </c>
      <c r="B35" s="409">
        <v>150</v>
      </c>
      <c r="C35" s="3292" t="s">
        <v>3003</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716</v>
      </c>
      <c r="B36" s="413">
        <v>1.4999999999999999E-2</v>
      </c>
      <c r="C36" s="3292" t="s">
        <v>3004</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717</v>
      </c>
      <c r="B37" s="414">
        <v>0.02</v>
      </c>
      <c r="C37" s="3292" t="s">
        <v>3005</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718</v>
      </c>
      <c r="B38" s="412">
        <v>0.02</v>
      </c>
      <c r="C38" s="3292" t="s">
        <v>3005</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2537</v>
      </c>
      <c r="B39" s="698">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2613</v>
      </c>
      <c r="B40" s="2635">
        <f ca="1">存贷款利率!G1</f>
        <v>4.7500000000000001E-2</v>
      </c>
      <c r="C40" s="2529" t="s">
        <v>536</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719</v>
      </c>
      <c r="B41" s="415">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720</v>
      </c>
      <c r="B42" s="416">
        <v>0.05</v>
      </c>
      <c r="C42" s="3317">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721</v>
      </c>
      <c r="B43" s="417">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722</v>
      </c>
      <c r="B44" s="416">
        <v>7.0000000000000007E-2</v>
      </c>
      <c r="C44" s="3292" t="s">
        <v>3007</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723</v>
      </c>
      <c r="B45" s="416">
        <v>0.03</v>
      </c>
      <c r="C45" s="3293" t="s">
        <v>3006</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724</v>
      </c>
      <c r="B46" s="416">
        <v>0.02</v>
      </c>
      <c r="C46" s="3293" t="s">
        <v>3033</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725</v>
      </c>
      <c r="B47" s="418"/>
      <c r="C47" s="2527" t="s">
        <v>726</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727</v>
      </c>
      <c r="B48" s="419">
        <v>0.03</v>
      </c>
      <c r="C48" s="3315" t="s">
        <v>3034</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728</v>
      </c>
      <c r="B49" s="416">
        <v>5.0000000000000001E-4</v>
      </c>
      <c r="C49" s="3315" t="s">
        <v>3035</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729</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730</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731</v>
      </c>
      <c r="B52" s="422">
        <f>SUMIF(A54:A63,B53,B54:B63)</f>
        <v>0</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732</v>
      </c>
      <c r="B53" s="41"/>
      <c r="C53" s="2234" t="s">
        <v>3008</v>
      </c>
      <c r="D53" s="2237" t="s">
        <v>3012</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162</v>
      </c>
      <c r="B54" s="374">
        <v>15</v>
      </c>
      <c r="C54" s="2854">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163</v>
      </c>
      <c r="B55" s="374">
        <v>12</v>
      </c>
      <c r="C55" s="2854">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158</v>
      </c>
      <c r="B56" s="374">
        <v>8</v>
      </c>
      <c r="C56" s="2854">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159</v>
      </c>
      <c r="B57" s="374">
        <v>4</v>
      </c>
      <c r="C57" s="2854">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160</v>
      </c>
      <c r="B58" s="374">
        <v>2</v>
      </c>
      <c r="C58" s="2854">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161</v>
      </c>
      <c r="B59" s="374"/>
      <c r="C59" s="2854">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3009</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3010</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3011</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74" t="s">
        <v>749</v>
      </c>
      <c r="B1" s="3475"/>
      <c r="C1" s="3475"/>
      <c r="D1" s="3475"/>
      <c r="E1" s="3475"/>
      <c r="F1" s="3475"/>
      <c r="G1" s="3475"/>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750</v>
      </c>
      <c r="D2" s="1210"/>
      <c r="E2" s="1211"/>
      <c r="F2" s="1198"/>
      <c r="G2" s="1209" t="s">
        <v>751</v>
      </c>
      <c r="H2" s="2255"/>
      <c r="I2" s="2255"/>
      <c r="J2" s="2255"/>
      <c r="K2" s="2255"/>
      <c r="L2" s="2255"/>
      <c r="M2" s="2255"/>
      <c r="N2" s="2255"/>
      <c r="O2" s="2255"/>
      <c r="P2" s="2255"/>
      <c r="Q2" s="2255"/>
      <c r="R2" s="2255"/>
    </row>
    <row r="3" spans="1:29" ht="54">
      <c r="A3" s="1019" t="s">
        <v>752</v>
      </c>
      <c r="B3" s="51" t="s">
        <v>52</v>
      </c>
      <c r="C3" s="3294" t="s">
        <v>753</v>
      </c>
      <c r="D3" s="2256"/>
      <c r="E3" s="1028" t="s">
        <v>752</v>
      </c>
      <c r="F3" s="1212" t="s">
        <v>96</v>
      </c>
      <c r="G3" s="3298" t="s">
        <v>3014</v>
      </c>
      <c r="H3" s="2255"/>
      <c r="I3" s="2255"/>
      <c r="J3" s="2255"/>
      <c r="K3" s="2255"/>
      <c r="L3" s="2255"/>
      <c r="M3" s="2255"/>
      <c r="N3" s="2255"/>
      <c r="O3" s="2255"/>
      <c r="P3" s="2255"/>
      <c r="Q3" s="2255"/>
      <c r="R3" s="2255"/>
    </row>
    <row r="4" spans="1:29" ht="40.5">
      <c r="A4" s="1028"/>
      <c r="B4" s="2211" t="s">
        <v>754</v>
      </c>
      <c r="C4" s="3295" t="s">
        <v>3151</v>
      </c>
      <c r="D4" s="2256"/>
      <c r="E4" s="1213"/>
      <c r="F4" s="2215" t="s">
        <v>755</v>
      </c>
      <c r="G4" s="3296" t="s">
        <v>756</v>
      </c>
      <c r="H4" s="2255"/>
      <c r="I4" s="2255"/>
      <c r="J4" s="2255"/>
      <c r="K4" s="2255"/>
      <c r="L4" s="2255"/>
      <c r="M4" s="2255"/>
      <c r="N4" s="2255"/>
      <c r="O4" s="2255"/>
      <c r="P4" s="2255"/>
      <c r="Q4" s="2255"/>
      <c r="R4" s="2255"/>
    </row>
    <row r="5" spans="1:29" ht="40.5">
      <c r="A5" s="1028"/>
      <c r="B5" s="2211" t="s">
        <v>757</v>
      </c>
      <c r="C5" s="3295" t="s">
        <v>3152</v>
      </c>
      <c r="D5" s="2256"/>
      <c r="E5" s="1213"/>
      <c r="F5" s="2743" t="s">
        <v>2630</v>
      </c>
      <c r="G5" s="3296" t="s">
        <v>2632</v>
      </c>
      <c r="H5" s="2255"/>
      <c r="I5" s="2255"/>
      <c r="J5" s="2255"/>
      <c r="K5" s="2255"/>
      <c r="L5" s="2255"/>
      <c r="M5" s="2255"/>
      <c r="N5" s="2255"/>
      <c r="O5" s="2255"/>
      <c r="P5" s="2255"/>
      <c r="Q5" s="2255"/>
      <c r="R5" s="2255"/>
    </row>
    <row r="6" spans="1:29" ht="54">
      <c r="A6" s="1028"/>
      <c r="B6" s="2211" t="s">
        <v>69</v>
      </c>
      <c r="C6" s="3296" t="s">
        <v>733</v>
      </c>
      <c r="D6" s="2256"/>
      <c r="E6" s="1213"/>
      <c r="F6" s="2743" t="s">
        <v>2629</v>
      </c>
      <c r="G6" s="3296" t="s">
        <v>2631</v>
      </c>
      <c r="H6" s="2255"/>
      <c r="I6" s="2255"/>
      <c r="J6" s="2255"/>
      <c r="K6" s="2255"/>
      <c r="L6" s="2255"/>
      <c r="M6" s="2255"/>
      <c r="N6" s="2255"/>
      <c r="O6" s="2255"/>
      <c r="P6" s="2255"/>
      <c r="Q6" s="2255"/>
      <c r="R6" s="2255"/>
    </row>
    <row r="7" spans="1:29" ht="41.25" thickBot="1">
      <c r="A7" s="1028"/>
      <c r="B7" s="2211" t="s">
        <v>2630</v>
      </c>
      <c r="C7" s="3296" t="s">
        <v>2632</v>
      </c>
      <c r="D7" s="2257"/>
      <c r="E7" s="1214"/>
      <c r="F7" s="1215" t="s">
        <v>734</v>
      </c>
      <c r="G7" s="3299" t="s">
        <v>3015</v>
      </c>
      <c r="H7" s="2255"/>
      <c r="I7" s="2255"/>
      <c r="J7" s="2255"/>
      <c r="K7" s="2255"/>
      <c r="L7" s="2255"/>
      <c r="M7" s="2255"/>
      <c r="N7" s="2255"/>
      <c r="O7" s="2255"/>
      <c r="P7" s="2255"/>
      <c r="Q7" s="2255"/>
      <c r="R7" s="2255"/>
    </row>
    <row r="8" spans="1:29" ht="27">
      <c r="A8" s="1028"/>
      <c r="B8" s="2743" t="s">
        <v>2629</v>
      </c>
      <c r="C8" s="3296" t="s">
        <v>2631</v>
      </c>
      <c r="D8" s="2257"/>
      <c r="E8" s="2257"/>
      <c r="F8" s="2258"/>
      <c r="G8" s="2258"/>
      <c r="H8" s="2255"/>
      <c r="I8" s="2255"/>
      <c r="J8" s="2255"/>
      <c r="K8" s="2255"/>
      <c r="L8" s="2255"/>
      <c r="M8" s="2255"/>
      <c r="N8" s="2255"/>
      <c r="O8" s="2255"/>
      <c r="P8" s="2255"/>
      <c r="Q8" s="2255"/>
      <c r="R8" s="2255"/>
    </row>
    <row r="9" spans="1:29" ht="40.5">
      <c r="A9" s="1028"/>
      <c r="B9" s="2211" t="s">
        <v>70</v>
      </c>
      <c r="C9" s="3295" t="s">
        <v>735</v>
      </c>
      <c r="D9" s="2256"/>
      <c r="E9" s="2257"/>
      <c r="F9" s="2258"/>
      <c r="G9" s="2258"/>
      <c r="H9" s="2255"/>
      <c r="I9" s="2255"/>
      <c r="J9" s="2255"/>
      <c r="K9" s="2255"/>
      <c r="L9" s="2255"/>
      <c r="M9" s="2255"/>
      <c r="N9" s="2255"/>
      <c r="O9" s="2255"/>
      <c r="P9" s="2255"/>
      <c r="Q9" s="2255"/>
      <c r="R9" s="2255"/>
    </row>
    <row r="10" spans="1:29" s="40" customFormat="1" ht="14.25" thickBot="1">
      <c r="A10" s="1217"/>
      <c r="B10" s="1218" t="s">
        <v>736</v>
      </c>
      <c r="C10" s="3297"/>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0" t="s">
        <v>737</v>
      </c>
      <c r="B13" s="2741"/>
      <c r="C13" s="2741"/>
      <c r="D13" s="2254"/>
      <c r="E13" s="2741"/>
      <c r="F13" s="2741"/>
      <c r="G13" s="2741"/>
    </row>
    <row r="14" spans="1:29" ht="14.25" thickBot="1">
      <c r="A14" s="1219"/>
      <c r="B14" s="1220"/>
      <c r="C14" s="1221" t="s">
        <v>738</v>
      </c>
      <c r="D14" s="2256"/>
      <c r="E14" s="1222"/>
      <c r="F14" s="1222"/>
      <c r="G14" s="1209" t="s">
        <v>739</v>
      </c>
    </row>
    <row r="15" spans="1:29" ht="54">
      <c r="A15" s="46" t="s">
        <v>740</v>
      </c>
      <c r="B15" s="14" t="s">
        <v>52</v>
      </c>
      <c r="C15" s="1223" t="str">
        <f>C3</f>
        <v>估价对象周边居住用地比例、居住小区规模和社区发展完善程度，综合评价居住社区成熟度一般</v>
      </c>
      <c r="D15" s="2256"/>
      <c r="E15" s="2756" t="s">
        <v>741</v>
      </c>
      <c r="F15" s="14" t="s">
        <v>742</v>
      </c>
      <c r="G15" s="1021" t="str">
        <f>G3</f>
        <v>估价对象位于XX开发区，园区建设成熟度XX，产业集聚程度XX</v>
      </c>
    </row>
    <row r="16" spans="1:29" ht="40.5">
      <c r="A16" s="2759"/>
      <c r="B16" s="1224" t="s">
        <v>743</v>
      </c>
      <c r="C16" s="1225" t="str">
        <f>C4</f>
        <v>估价对象位于开发区，周边商业氛围一般，人流量一般，商业繁华度一般</v>
      </c>
      <c r="D16" s="2256"/>
      <c r="E16" s="2757"/>
      <c r="F16" s="1226" t="s">
        <v>744</v>
      </c>
      <c r="G16" s="1023" t="str">
        <f>G4</f>
        <v>估价对象周边道路状况、公共交通通达情况、停车便捷程度，综合评价交通便捷度较好</v>
      </c>
    </row>
    <row r="17" spans="1:18" ht="40.5">
      <c r="A17" s="2759"/>
      <c r="B17" s="1224" t="s">
        <v>745</v>
      </c>
      <c r="C17" s="1225" t="str">
        <f>C5</f>
        <v>估价对象位于开发区，周边办公楼项目较多，入驻率高，办公集聚程度一般</v>
      </c>
      <c r="D17" s="2257"/>
      <c r="E17" s="2757"/>
      <c r="F17" s="1226" t="s">
        <v>746</v>
      </c>
      <c r="G17" s="271"/>
    </row>
    <row r="18" spans="1:18" ht="54">
      <c r="A18" s="2759"/>
      <c r="B18" s="1226" t="s">
        <v>69</v>
      </c>
      <c r="C18" s="1023" t="str">
        <f>C6</f>
        <v>估价对象周边道路状况、公共交通通达情况、停车便捷程度，综合评价交通便捷度较好</v>
      </c>
      <c r="D18" s="2257"/>
      <c r="E18" s="2757"/>
      <c r="F18" s="1226" t="s">
        <v>734</v>
      </c>
      <c r="G18" s="1023" t="str">
        <f>G7</f>
        <v>该园区内是否有污染型企业，绿化情况，卫生条件，整体环境状况判断</v>
      </c>
    </row>
    <row r="19" spans="1:18" ht="27">
      <c r="A19" s="2759"/>
      <c r="B19" s="1226" t="s">
        <v>88</v>
      </c>
      <c r="C19" s="271"/>
      <c r="D19" s="2256"/>
      <c r="E19" s="2757"/>
      <c r="F19" s="2743" t="s">
        <v>2630</v>
      </c>
      <c r="G19" s="1023" t="str">
        <f>G5</f>
        <v>估价对象所在区域公共配套设施齐备情况</v>
      </c>
    </row>
    <row r="20" spans="1:18" ht="40.5">
      <c r="A20" s="2759"/>
      <c r="B20" s="1226" t="s">
        <v>87</v>
      </c>
      <c r="C20" s="1225" t="str">
        <f>C9</f>
        <v>区域自然环境：；人文环境；综合评价环境状况一般</v>
      </c>
      <c r="D20" s="2257"/>
      <c r="E20" s="2757"/>
      <c r="F20" s="2743" t="s">
        <v>2629</v>
      </c>
      <c r="G20" s="1023" t="str">
        <f>G6</f>
        <v>估价对象所在区域基础设施水平</v>
      </c>
    </row>
    <row r="21" spans="1:18" ht="27">
      <c r="A21" s="2759"/>
      <c r="B21" s="2743" t="s">
        <v>2630</v>
      </c>
      <c r="C21" s="1023" t="str">
        <f>C7</f>
        <v>估价对象所在区域公共配套设施齐备情况</v>
      </c>
      <c r="D21" s="2256"/>
      <c r="E21" s="2757"/>
      <c r="F21" s="1226" t="s">
        <v>86</v>
      </c>
      <c r="G21" s="283"/>
    </row>
    <row r="22" spans="1:18" ht="13.5" customHeight="1">
      <c r="A22" s="2759"/>
      <c r="B22" s="2743" t="s">
        <v>2629</v>
      </c>
      <c r="C22" s="1023" t="str">
        <f>C8</f>
        <v>估价对象所在区域基础设施水平</v>
      </c>
      <c r="D22" s="2256"/>
      <c r="E22" s="2757"/>
      <c r="F22" s="1226" t="s">
        <v>747</v>
      </c>
      <c r="G22" s="271"/>
    </row>
    <row r="23" spans="1:18" s="2255" customFormat="1" ht="14.25" thickBot="1">
      <c r="A23" s="2759"/>
      <c r="B23" s="1226" t="s">
        <v>86</v>
      </c>
      <c r="C23" s="283"/>
      <c r="D23" s="2268"/>
      <c r="E23" s="2758"/>
      <c r="F23" s="1227" t="s">
        <v>748</v>
      </c>
      <c r="G23" s="284"/>
      <c r="H23" s="2268"/>
      <c r="I23" s="2269"/>
      <c r="J23" s="2268"/>
      <c r="K23" s="2268"/>
      <c r="L23" s="2269"/>
      <c r="M23" s="2268"/>
      <c r="N23" s="2268"/>
      <c r="O23" s="2269"/>
      <c r="P23" s="2268"/>
      <c r="Q23" s="2268"/>
      <c r="R23" s="2270"/>
    </row>
    <row r="24" spans="1:18" s="2255" customFormat="1" ht="14.25" thickBot="1">
      <c r="A24" s="2760"/>
      <c r="B24" s="1227" t="s">
        <v>85</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ColWidth="9" defaultRowHeight="13.5"/>
  <cols>
    <col min="1" max="1" width="23.375" style="3254" customWidth="1"/>
    <col min="2" max="9" width="15.75" style="3254" customWidth="1"/>
    <col min="10" max="16384" width="9" style="3254"/>
  </cols>
  <sheetData>
    <row r="1" spans="1:10" ht="16.5">
      <c r="A1" s="3259" t="s">
        <v>2984</v>
      </c>
      <c r="B1" s="3259">
        <f>SUM(B14:B23)</f>
        <v>3353.7699999999995</v>
      </c>
      <c r="C1" s="3258"/>
      <c r="D1" s="3258"/>
      <c r="E1" s="3258"/>
      <c r="F1" s="3258"/>
      <c r="G1" s="3256"/>
    </row>
    <row r="2" spans="1:10" ht="16.5">
      <c r="A2" s="3259" t="s">
        <v>2972</v>
      </c>
      <c r="B2" s="3259">
        <f>SUM(C14:C23)</f>
        <v>0</v>
      </c>
      <c r="C2" s="3258"/>
      <c r="D2" s="3258"/>
      <c r="E2" s="3258"/>
      <c r="F2" s="3258"/>
      <c r="G2" s="3256"/>
    </row>
    <row r="3" spans="1:10" ht="16.5">
      <c r="A3" s="3259" t="s">
        <v>2981</v>
      </c>
      <c r="B3" s="3260">
        <f>项目基本情况!D3</f>
        <v>43003</v>
      </c>
      <c r="C3" s="3258"/>
      <c r="D3" s="3258"/>
      <c r="E3" s="3258"/>
      <c r="F3" s="3258"/>
      <c r="G3" s="3256"/>
    </row>
    <row r="4" spans="1:10" ht="33">
      <c r="A4" s="3259" t="s">
        <v>2980</v>
      </c>
      <c r="B4" s="3259" t="s">
        <v>2979</v>
      </c>
      <c r="C4" s="3259" t="s">
        <v>2978</v>
      </c>
      <c r="D4" s="3259" t="s">
        <v>2977</v>
      </c>
      <c r="E4" s="3258"/>
      <c r="F4" s="3256"/>
      <c r="G4" s="3256"/>
    </row>
    <row r="5" spans="1:10" ht="16.5">
      <c r="A5" s="3259" t="s">
        <v>2976</v>
      </c>
      <c r="B5" s="3259">
        <f ca="1">SUM(D14:D23)</f>
        <v>1315</v>
      </c>
      <c r="C5" s="3259">
        <f ca="1">ROUND(B5*10000/$B$1,0)</f>
        <v>3921</v>
      </c>
      <c r="D5" s="3259" t="e">
        <f ca="1">ROUND(B5*10000/$B$2,0)</f>
        <v>#DIV/0!</v>
      </c>
      <c r="E5" s="3258"/>
      <c r="F5" s="3256"/>
      <c r="G5" s="3256"/>
    </row>
    <row r="6" spans="1:10" ht="16.5">
      <c r="A6" s="3259" t="s">
        <v>2975</v>
      </c>
      <c r="B6" s="3259">
        <f ca="1">SUM(G14:G23)</f>
        <v>1315</v>
      </c>
      <c r="C6" s="3259">
        <f ca="1">ROUND(B6*10000/$B$1,0)</f>
        <v>3921</v>
      </c>
      <c r="D6" s="3259" t="e">
        <f ca="1">ROUND(B6*10000/$B$2,0)</f>
        <v>#DIV/0!</v>
      </c>
      <c r="E6" s="3258"/>
      <c r="F6" s="3256"/>
      <c r="G6" s="3256"/>
    </row>
    <row r="7" spans="1:10" ht="16.5">
      <c r="A7" s="3259" t="s">
        <v>2983</v>
      </c>
      <c r="B7" s="3259">
        <f>SUM(H14:H23)</f>
        <v>0</v>
      </c>
      <c r="C7" s="3259">
        <f>ROUND(B7*10000/$B$1,0)</f>
        <v>0</v>
      </c>
      <c r="D7" s="3259" t="e">
        <f>ROUND(B7*10000/$B$2,0)</f>
        <v>#DIV/0!</v>
      </c>
      <c r="E7" s="3258"/>
      <c r="F7" s="3256"/>
      <c r="G7" s="3256"/>
    </row>
    <row r="8" spans="1:10" ht="16.5">
      <c r="A8" s="3259" t="s">
        <v>2872</v>
      </c>
      <c r="B8" s="3259">
        <f>SUM(I14:I23)</f>
        <v>0</v>
      </c>
      <c r="C8" s="3259">
        <f>ROUND(B8*10000/$B$1,0)</f>
        <v>0</v>
      </c>
      <c r="D8" s="3259" t="e">
        <f>ROUND(B8*10000/$B$2,0)</f>
        <v>#DIV/0!</v>
      </c>
      <c r="E8" s="3258"/>
      <c r="F8" s="3256"/>
      <c r="G8" s="3256"/>
    </row>
    <row r="9" spans="1:10" ht="16.5">
      <c r="A9" s="3259" t="s">
        <v>2974</v>
      </c>
      <c r="B9" s="3261"/>
      <c r="C9" s="3258"/>
      <c r="D9" s="3258"/>
      <c r="E9" s="3258"/>
      <c r="F9" s="3256"/>
      <c r="G9" s="3256"/>
    </row>
    <row r="10" spans="1:10" ht="16.5">
      <c r="A10" s="3259" t="s">
        <v>2973</v>
      </c>
      <c r="B10" s="3261"/>
      <c r="C10" s="3258"/>
      <c r="D10" s="3258"/>
      <c r="E10" s="3258"/>
      <c r="F10" s="3256"/>
      <c r="G10" s="3256"/>
    </row>
    <row r="11" spans="1:10" ht="16.5">
      <c r="A11" s="3259" t="s">
        <v>2989</v>
      </c>
      <c r="B11" s="3261"/>
      <c r="C11" s="3258"/>
      <c r="D11" s="3258"/>
      <c r="E11" s="3258"/>
      <c r="F11" s="3256"/>
      <c r="G11" s="3256"/>
    </row>
    <row r="12" spans="1:10" ht="16.5">
      <c r="A12" s="3258"/>
      <c r="B12" s="3258"/>
      <c r="C12" s="3258"/>
      <c r="D12" s="3258"/>
      <c r="E12" s="3258"/>
      <c r="F12" s="3256"/>
      <c r="G12" s="3256"/>
    </row>
    <row r="13" spans="1:10" ht="33">
      <c r="A13" s="3264" t="s">
        <v>2988</v>
      </c>
      <c r="B13" s="3257" t="s">
        <v>2985</v>
      </c>
      <c r="C13" s="3257" t="s">
        <v>2987</v>
      </c>
      <c r="D13" s="3257" t="s">
        <v>2986</v>
      </c>
      <c r="E13" s="3259" t="s">
        <v>2978</v>
      </c>
      <c r="F13" s="3259" t="s">
        <v>2977</v>
      </c>
      <c r="G13" s="3257" t="s">
        <v>2971</v>
      </c>
      <c r="H13" s="3257" t="s">
        <v>2982</v>
      </c>
      <c r="I13" s="3257" t="s">
        <v>2970</v>
      </c>
      <c r="J13" s="3256"/>
    </row>
    <row r="14" spans="1:10" ht="16.5">
      <c r="A14" s="3255" t="s">
        <v>2969</v>
      </c>
      <c r="B14" s="3257">
        <f>'数据-汇总表'!E3</f>
        <v>3353.7699999999995</v>
      </c>
      <c r="C14" s="3257">
        <f>'数据-汇总表'!D3</f>
        <v>0</v>
      </c>
      <c r="D14" s="3257">
        <f ca="1">'结果表（办公）'!H118</f>
        <v>1315</v>
      </c>
      <c r="E14" s="3257">
        <f ca="1">ROUND(D14*10000/B14,0)</f>
        <v>3921</v>
      </c>
      <c r="F14" s="3257" t="e">
        <f ca="1">ROUND(D14*10000/C14,0)</f>
        <v>#DIV/0!</v>
      </c>
      <c r="G14" s="3257">
        <f ca="1">'结果表（办公）'!D122</f>
        <v>1315</v>
      </c>
      <c r="H14" s="3257" t="str">
        <f>'结果表（办公）'!D124</f>
        <v>——</v>
      </c>
      <c r="I14" s="3257" t="str">
        <f>'结果表（办公）'!D126</f>
        <v>——</v>
      </c>
      <c r="J14" s="3256"/>
    </row>
    <row r="15" spans="1:10" ht="16.5">
      <c r="A15" s="3255" t="s">
        <v>2968</v>
      </c>
      <c r="B15" s="3262"/>
      <c r="C15" s="3262"/>
      <c r="D15" s="3262"/>
      <c r="E15" s="3257" t="e">
        <f t="shared" ref="E15:E23" si="0">ROUND(D15*10000/B15,0)</f>
        <v>#DIV/0!</v>
      </c>
      <c r="F15" s="3257" t="e">
        <f t="shared" ref="F15:F23" si="1">ROUND(D15*10000/C15,0)</f>
        <v>#DIV/0!</v>
      </c>
      <c r="G15" s="3263"/>
      <c r="H15" s="3263"/>
      <c r="I15" s="3262"/>
      <c r="J15" s="3256"/>
    </row>
    <row r="16" spans="1:10" ht="16.5">
      <c r="A16" s="3255" t="s">
        <v>2967</v>
      </c>
      <c r="B16" s="3262"/>
      <c r="C16" s="3262"/>
      <c r="D16" s="3262"/>
      <c r="E16" s="3257" t="e">
        <f t="shared" si="0"/>
        <v>#DIV/0!</v>
      </c>
      <c r="F16" s="3257" t="e">
        <f t="shared" si="1"/>
        <v>#DIV/0!</v>
      </c>
      <c r="G16" s="3263"/>
      <c r="H16" s="3263"/>
      <c r="I16" s="3262"/>
    </row>
    <row r="17" spans="1:9" ht="16.5">
      <c r="A17" s="3255" t="s">
        <v>2966</v>
      </c>
      <c r="B17" s="3262"/>
      <c r="C17" s="3262"/>
      <c r="D17" s="3262"/>
      <c r="E17" s="3257" t="e">
        <f t="shared" si="0"/>
        <v>#DIV/0!</v>
      </c>
      <c r="F17" s="3257" t="e">
        <f t="shared" si="1"/>
        <v>#DIV/0!</v>
      </c>
      <c r="G17" s="3263"/>
      <c r="H17" s="3263"/>
      <c r="I17" s="3262"/>
    </row>
    <row r="18" spans="1:9" ht="16.5">
      <c r="A18" s="3255" t="s">
        <v>2965</v>
      </c>
      <c r="B18" s="3262"/>
      <c r="C18" s="3262"/>
      <c r="D18" s="3262"/>
      <c r="E18" s="3257" t="e">
        <f t="shared" si="0"/>
        <v>#DIV/0!</v>
      </c>
      <c r="F18" s="3257" t="e">
        <f t="shared" si="1"/>
        <v>#DIV/0!</v>
      </c>
      <c r="G18" s="3262"/>
      <c r="H18" s="3262"/>
      <c r="I18" s="3262"/>
    </row>
    <row r="19" spans="1:9" ht="16.5">
      <c r="A19" s="3255" t="s">
        <v>2964</v>
      </c>
      <c r="B19" s="3262"/>
      <c r="C19" s="3262"/>
      <c r="D19" s="3262"/>
      <c r="E19" s="3257" t="e">
        <f t="shared" si="0"/>
        <v>#DIV/0!</v>
      </c>
      <c r="F19" s="3257" t="e">
        <f t="shared" si="1"/>
        <v>#DIV/0!</v>
      </c>
      <c r="G19" s="3262"/>
      <c r="H19" s="3262"/>
      <c r="I19" s="3262"/>
    </row>
    <row r="20" spans="1:9" ht="16.5">
      <c r="A20" s="3255" t="s">
        <v>2963</v>
      </c>
      <c r="B20" s="3262"/>
      <c r="C20" s="3262"/>
      <c r="D20" s="3262"/>
      <c r="E20" s="3257" t="e">
        <f t="shared" si="0"/>
        <v>#DIV/0!</v>
      </c>
      <c r="F20" s="3257" t="e">
        <f t="shared" si="1"/>
        <v>#DIV/0!</v>
      </c>
      <c r="G20" s="3262"/>
      <c r="H20" s="3262"/>
      <c r="I20" s="3262"/>
    </row>
    <row r="21" spans="1:9" ht="16.5">
      <c r="A21" s="3255" t="s">
        <v>2962</v>
      </c>
      <c r="B21" s="3262"/>
      <c r="C21" s="3262"/>
      <c r="D21" s="3262"/>
      <c r="E21" s="3257" t="e">
        <f t="shared" si="0"/>
        <v>#DIV/0!</v>
      </c>
      <c r="F21" s="3257" t="e">
        <f t="shared" si="1"/>
        <v>#DIV/0!</v>
      </c>
      <c r="G21" s="3262"/>
      <c r="H21" s="3262"/>
      <c r="I21" s="3262"/>
    </row>
    <row r="22" spans="1:9" ht="16.5">
      <c r="A22" s="3255" t="s">
        <v>2961</v>
      </c>
      <c r="B22" s="3262"/>
      <c r="C22" s="3262"/>
      <c r="D22" s="3262"/>
      <c r="E22" s="3257" t="e">
        <f t="shared" si="0"/>
        <v>#DIV/0!</v>
      </c>
      <c r="F22" s="3257" t="e">
        <f t="shared" si="1"/>
        <v>#DIV/0!</v>
      </c>
      <c r="G22" s="3262"/>
      <c r="H22" s="3262"/>
      <c r="I22" s="3262"/>
    </row>
    <row r="23" spans="1:9" ht="16.5">
      <c r="A23" s="3255" t="s">
        <v>2960</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H29" sqref="H29"/>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3213</v>
      </c>
      <c r="D1" s="1241"/>
      <c r="E1" s="1241"/>
      <c r="F1" s="2081" t="s">
        <v>2105</v>
      </c>
      <c r="G1" s="2054"/>
      <c r="H1" s="2110" t="str">
        <f>IF(G1="现房","——","估价对象范围")</f>
        <v>估价对象范围</v>
      </c>
      <c r="I1" s="2087"/>
    </row>
    <row r="2" spans="1:12" ht="21.75" customHeight="1" thickBot="1">
      <c r="A2" s="3481" t="str">
        <f>项目基本情况!S2</f>
        <v>新疆伊宁市经济合作区上海路以西山东路以南（万荣广场）房地产</v>
      </c>
      <c r="B2" s="3482"/>
      <c r="C2" s="3482"/>
      <c r="D2" s="3482"/>
      <c r="E2" s="3482"/>
      <c r="F2" s="3482"/>
      <c r="G2" s="3482"/>
      <c r="H2" s="3482"/>
      <c r="I2" s="3483"/>
    </row>
    <row r="3" spans="1:12" ht="12">
      <c r="A3" s="3484" t="s">
        <v>10</v>
      </c>
      <c r="B3" s="3485"/>
      <c r="C3" s="3485"/>
      <c r="D3" s="3485"/>
      <c r="E3" s="3485"/>
      <c r="F3" s="3485"/>
      <c r="G3" s="3485"/>
      <c r="H3" s="3485"/>
      <c r="I3" s="3485"/>
    </row>
    <row r="4" spans="1:12" ht="13.5">
      <c r="A4" s="428" t="s">
        <v>11</v>
      </c>
      <c r="B4" s="429" t="s">
        <v>12</v>
      </c>
      <c r="C4" s="430" t="s">
        <v>3149</v>
      </c>
      <c r="D4" s="430" t="s">
        <v>3195</v>
      </c>
      <c r="E4" s="3486" t="s">
        <v>759</v>
      </c>
      <c r="F4" s="3487"/>
      <c r="G4" s="3487"/>
      <c r="H4" s="3487"/>
      <c r="I4" s="3488"/>
      <c r="K4" s="2183" t="str">
        <f>IF(ISNUMBER(FIND("比较法",'结果表 (商业)'!C4)),"比较法",IF(ISNUMBER(FIND("成本法",'结果表 (商业)'!C4)),"成本法",IF(ISNUMBER(FIND("假设开发法",'结果表 (商业)'!C4)),"假设开发法",IF(ISNUMBER(FIND("收益法",'结果表 (商业)'!C4)),"收益法","基准地价系数修正法"))))</f>
        <v>比较法</v>
      </c>
      <c r="L4" s="2183"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476" t="s">
        <v>13</v>
      </c>
      <c r="B5" s="3477">
        <v>25</v>
      </c>
      <c r="C5" s="3478"/>
      <c r="D5" s="3480"/>
      <c r="E5" s="470" t="s">
        <v>803</v>
      </c>
      <c r="F5" s="431"/>
      <c r="G5" s="431"/>
      <c r="H5" s="431"/>
      <c r="I5" s="432"/>
    </row>
    <row r="6" spans="1:12" ht="12.75">
      <c r="A6" s="3476"/>
      <c r="B6" s="3477"/>
      <c r="C6" s="3489"/>
      <c r="D6" s="3480"/>
      <c r="E6" s="470" t="s">
        <v>804</v>
      </c>
      <c r="F6" s="431"/>
      <c r="G6" s="431"/>
      <c r="H6" s="431"/>
      <c r="I6" s="432"/>
    </row>
    <row r="7" spans="1:12" ht="12.75">
      <c r="A7" s="3476"/>
      <c r="B7" s="3477"/>
      <c r="C7" s="3479"/>
      <c r="D7" s="3480"/>
      <c r="E7" s="470" t="s">
        <v>805</v>
      </c>
      <c r="F7" s="431"/>
      <c r="G7" s="431"/>
      <c r="H7" s="431"/>
      <c r="I7" s="432"/>
    </row>
    <row r="8" spans="1:12" ht="12.75">
      <c r="A8" s="3476" t="s">
        <v>14</v>
      </c>
      <c r="B8" s="3477">
        <v>15</v>
      </c>
      <c r="C8" s="3478"/>
      <c r="D8" s="3480"/>
      <c r="E8" s="470" t="s">
        <v>806</v>
      </c>
      <c r="F8" s="431"/>
      <c r="G8" s="431"/>
      <c r="H8" s="431"/>
      <c r="I8" s="432"/>
    </row>
    <row r="9" spans="1:12" ht="12.75">
      <c r="A9" s="3476"/>
      <c r="B9" s="3477"/>
      <c r="C9" s="3479"/>
      <c r="D9" s="3480"/>
      <c r="E9" s="470" t="s">
        <v>807</v>
      </c>
      <c r="F9" s="431"/>
      <c r="G9" s="431"/>
      <c r="H9" s="431"/>
      <c r="I9" s="432"/>
    </row>
    <row r="10" spans="1:12" ht="12.75">
      <c r="A10" s="3476" t="s">
        <v>15</v>
      </c>
      <c r="B10" s="3477">
        <v>15</v>
      </c>
      <c r="C10" s="3478"/>
      <c r="D10" s="3480"/>
      <c r="E10" s="470" t="s">
        <v>808</v>
      </c>
      <c r="F10" s="431"/>
      <c r="G10" s="431"/>
      <c r="H10" s="431"/>
      <c r="I10" s="432"/>
    </row>
    <row r="11" spans="1:12" ht="12.75">
      <c r="A11" s="3476"/>
      <c r="B11" s="3477"/>
      <c r="C11" s="3479"/>
      <c r="D11" s="3480"/>
      <c r="E11" s="470" t="s">
        <v>809</v>
      </c>
      <c r="F11" s="431"/>
      <c r="G11" s="431"/>
      <c r="H11" s="431"/>
      <c r="I11" s="432"/>
    </row>
    <row r="12" spans="1:12" ht="12.75">
      <c r="A12" s="3476" t="s">
        <v>16</v>
      </c>
      <c r="B12" s="3477">
        <v>15</v>
      </c>
      <c r="C12" s="3478"/>
      <c r="D12" s="3480"/>
      <c r="E12" s="470" t="s">
        <v>810</v>
      </c>
      <c r="F12" s="431"/>
      <c r="G12" s="431"/>
      <c r="H12" s="431"/>
      <c r="I12" s="432"/>
    </row>
    <row r="13" spans="1:12" ht="12.75">
      <c r="A13" s="3476"/>
      <c r="B13" s="3477"/>
      <c r="C13" s="3479"/>
      <c r="D13" s="3480"/>
      <c r="E13" s="470" t="s">
        <v>811</v>
      </c>
      <c r="F13" s="431"/>
      <c r="G13" s="431"/>
      <c r="H13" s="431"/>
      <c r="I13" s="432"/>
    </row>
    <row r="14" spans="1:12" ht="12.75">
      <c r="A14" s="3476" t="s">
        <v>17</v>
      </c>
      <c r="B14" s="3477">
        <v>30</v>
      </c>
      <c r="C14" s="3478">
        <v>5</v>
      </c>
      <c r="D14" s="3480">
        <v>5</v>
      </c>
      <c r="E14" s="470" t="s">
        <v>812</v>
      </c>
      <c r="F14" s="431"/>
      <c r="G14" s="431"/>
      <c r="H14" s="431"/>
      <c r="I14" s="432"/>
    </row>
    <row r="15" spans="1:12" ht="12.75">
      <c r="A15" s="3476"/>
      <c r="B15" s="3477"/>
      <c r="C15" s="3489"/>
      <c r="D15" s="3480"/>
      <c r="E15" s="470" t="s">
        <v>813</v>
      </c>
      <c r="F15" s="431"/>
      <c r="G15" s="431"/>
      <c r="H15" s="431"/>
      <c r="I15" s="432"/>
    </row>
    <row r="16" spans="1:12" ht="12.75">
      <c r="A16" s="3476"/>
      <c r="B16" s="3477"/>
      <c r="C16" s="3479"/>
      <c r="D16" s="3480"/>
      <c r="E16" s="470" t="s">
        <v>814</v>
      </c>
      <c r="F16" s="431"/>
      <c r="G16" s="431"/>
      <c r="H16" s="431"/>
      <c r="I16" s="432"/>
    </row>
    <row r="17" spans="1:35" ht="14.25">
      <c r="A17" s="433" t="s">
        <v>18</v>
      </c>
      <c r="B17" s="38"/>
      <c r="C17" s="471">
        <f>SUM(C5:C16)</f>
        <v>5</v>
      </c>
      <c r="D17" s="471">
        <f>SUM(D5:D16)</f>
        <v>5</v>
      </c>
      <c r="E17" s="2276"/>
      <c r="F17" s="2276"/>
      <c r="G17" s="2276"/>
      <c r="H17" s="2276"/>
      <c r="I17" s="2276"/>
      <c r="K17" s="2183"/>
      <c r="L17" s="2184" t="s">
        <v>2313</v>
      </c>
      <c r="M17" s="2184" t="s">
        <v>2314</v>
      </c>
    </row>
    <row r="18" spans="1:35" ht="15" thickBot="1">
      <c r="A18" s="434" t="s">
        <v>19</v>
      </c>
      <c r="B18" s="18"/>
      <c r="C18" s="472">
        <f>ROUND(C17/SUM(C17:D17),2)</f>
        <v>0.5</v>
      </c>
      <c r="D18" s="472">
        <f>1-C18</f>
        <v>0.5</v>
      </c>
      <c r="E18" s="2276"/>
      <c r="F18" s="2276"/>
      <c r="G18" s="2276"/>
      <c r="H18" s="2276"/>
      <c r="I18" s="2276"/>
      <c r="K18" s="2183" t="s">
        <v>2127</v>
      </c>
      <c r="L18" s="2183">
        <f>IF(C1="",'数据-汇总表'!E3,SUMIF(项目类型,C1,'数据-汇总表'!E17:E26)+SUMIF(项目类型,C1,'数据-汇总表'!I17:I26))</f>
        <v>301.2</v>
      </c>
      <c r="M18" s="2183">
        <f>IF(C1="",'数据-汇总表'!E3,SUMIF(项目类型,C1,'数据-汇总表'!E17:E26))</f>
        <v>301.2</v>
      </c>
    </row>
    <row r="19" spans="1:35" ht="14.25">
      <c r="A19" s="435" t="s">
        <v>177</v>
      </c>
      <c r="B19" s="436" t="s">
        <v>20</v>
      </c>
      <c r="C19" s="473">
        <f ca="1">SUMIF(INDIRECT("'"&amp;C4&amp;"'"&amp;"!A:A"),'结果表 (商业)'!B19,INDIRECT("'"&amp;C4&amp;"'"&amp;"!B:B"))</f>
        <v>851</v>
      </c>
      <c r="D19" s="474">
        <f ca="1">SUMIF(INDIRECT("'"&amp;D4&amp;"'"&amp;"!A:A"),'结果表 (商业)'!B19,INDIRECT("'"&amp;D4&amp;"'"&amp;"!B:B"))</f>
        <v>856</v>
      </c>
      <c r="E19" s="435" t="s">
        <v>176</v>
      </c>
      <c r="F19" s="436" t="s">
        <v>20</v>
      </c>
      <c r="G19" s="475">
        <f ca="1">ROUND(C19*$C$18+D19*$D$18,0)</f>
        <v>854</v>
      </c>
      <c r="H19" s="437" t="s">
        <v>225</v>
      </c>
      <c r="I19" s="2276"/>
      <c r="K19" s="2183" t="s">
        <v>2128</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 (商业)'!B20,INDIRECT("'"&amp;C4&amp;"'"&amp;"!B:B"))</f>
        <v>28246</v>
      </c>
      <c r="D20" s="477">
        <f ca="1">SUMIF(INDIRECT("'"&amp;D4&amp;"'"&amp;"!A:A"),'结果表 (商业)'!B20,INDIRECT("'"&amp;D4&amp;"'"&amp;"!B:B"))</f>
        <v>28422</v>
      </c>
      <c r="E20" s="438"/>
      <c r="F20" s="439" t="s">
        <v>21</v>
      </c>
      <c r="G20" s="478">
        <f ca="1">ROUND(C20*$C$18+D20*$D$18,0)</f>
        <v>28334</v>
      </c>
      <c r="H20" s="440" t="s">
        <v>224</v>
      </c>
      <c r="I20" s="2276"/>
    </row>
    <row r="21" spans="1:35" ht="15" customHeight="1" thickBot="1">
      <c r="A21" s="442"/>
      <c r="B21" s="443" t="s">
        <v>22</v>
      </c>
      <c r="C21" s="1420" t="e">
        <f ca="1">ROUND(C19*10000/L19,0)</f>
        <v>#DIV/0!</v>
      </c>
      <c r="D21" s="1421" t="e">
        <f ca="1">ROUND(D19*10000/L19,0)</f>
        <v>#DIV/0!</v>
      </c>
      <c r="E21" s="442"/>
      <c r="F21" s="443" t="s">
        <v>22</v>
      </c>
      <c r="G21" s="479" t="e">
        <f ca="1">ROUND(G19*10000/L19,0)</f>
        <v>#DIV/0!</v>
      </c>
      <c r="H21" s="444" t="s">
        <v>224</v>
      </c>
      <c r="I21" s="2276"/>
    </row>
    <row r="22" spans="1:35" ht="15" thickBot="1">
      <c r="A22" s="275" t="s">
        <v>178</v>
      </c>
      <c r="B22" s="1422"/>
      <c r="C22" s="1423"/>
      <c r="D22" s="1424">
        <f ca="1">IF(C19&lt;D19,D19/C19-1,C19/D19-1)</f>
        <v>5.8754406580494578E-3</v>
      </c>
      <c r="E22" s="2276"/>
      <c r="F22" s="2276"/>
      <c r="G22" s="2276"/>
      <c r="H22" s="2276"/>
      <c r="I22" s="2276"/>
    </row>
    <row r="23" spans="1:35" ht="12.75" thickBot="1">
      <c r="A23" s="1241"/>
      <c r="B23" s="1241"/>
      <c r="C23" s="1241"/>
      <c r="D23" s="1241"/>
      <c r="E23" s="2276"/>
      <c r="F23" s="2276"/>
      <c r="G23" s="2276"/>
      <c r="H23" s="2276"/>
      <c r="I23" s="2276"/>
    </row>
    <row r="24" spans="1:35" ht="14.25">
      <c r="A24" s="3490" t="s">
        <v>174</v>
      </c>
      <c r="B24" s="436" t="s">
        <v>20</v>
      </c>
      <c r="C24" s="475">
        <f>IF(B30=0,0,D30)</f>
        <v>0</v>
      </c>
      <c r="D24" s="445"/>
      <c r="E24" s="2276"/>
      <c r="F24" s="2276"/>
      <c r="G24" s="2276"/>
      <c r="H24" s="2276"/>
      <c r="I24" s="2276"/>
    </row>
    <row r="25" spans="1:35" ht="14.25">
      <c r="A25" s="3491"/>
      <c r="B25" s="439" t="s">
        <v>21</v>
      </c>
      <c r="C25" s="480">
        <f>IF(B30=0,0,C30)</f>
        <v>0</v>
      </c>
      <c r="D25" s="446"/>
      <c r="E25" s="2276"/>
      <c r="F25" s="2276"/>
      <c r="G25" s="2276"/>
      <c r="H25" s="2276"/>
      <c r="I25" s="2276"/>
    </row>
    <row r="26" spans="1:35" ht="13.5" customHeight="1">
      <c r="A26" s="447" t="s">
        <v>175</v>
      </c>
      <c r="B26" s="448" t="s">
        <v>117</v>
      </c>
      <c r="C26" s="448" t="s">
        <v>118</v>
      </c>
      <c r="D26" s="449" t="s">
        <v>119</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173</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854</v>
      </c>
      <c r="D32" s="2091" t="s">
        <v>207</v>
      </c>
      <c r="E32" s="2276"/>
      <c r="F32" s="2276"/>
      <c r="G32" s="2276"/>
      <c r="H32" s="2276"/>
      <c r="I32" s="2276"/>
    </row>
    <row r="33" spans="1:15" ht="13.5">
      <c r="A33" s="456" t="s">
        <v>760</v>
      </c>
      <c r="B33" s="2090"/>
      <c r="C33" s="2875"/>
      <c r="D33" s="2878"/>
      <c r="E33" s="2088" t="s">
        <v>2107</v>
      </c>
      <c r="F33" s="3340" t="str">
        <f>IF(D32="楼面单价","取值（单价）","取值（总价）")</f>
        <v>取值（总价）</v>
      </c>
      <c r="G33" s="2276"/>
      <c r="H33" s="2276"/>
      <c r="I33" s="2276"/>
    </row>
    <row r="34" spans="1:15" ht="15">
      <c r="A34" s="457"/>
      <c r="B34" s="458" t="s">
        <v>763</v>
      </c>
      <c r="C34" s="488" t="e">
        <f ca="1">IF(C33="自定义",F34,C32-C35)</f>
        <v>#REF!</v>
      </c>
      <c r="D34" s="2092" t="e">
        <f ca="1">IF(C33="自定义",ROUND(C34/C32,3),IF(C33="收益比率",SUMIF(INDIRECT("'"&amp;D33&amp;"'"&amp;"!b:b"),"土地收益比率",INDIRECT("'"&amp;D33&amp;"'"&amp;"!c:c")),SUMIF(INDIRECT("'"&amp;D33&amp;"'"&amp;"!b:b"),"土地成本比率",INDIRECT("'"&amp;D33&amp;"'"&amp;"!c:c"))))</f>
        <v>#REF!</v>
      </c>
      <c r="E34" s="2876" t="s">
        <v>2108</v>
      </c>
      <c r="F34" s="3252"/>
      <c r="G34" s="2276"/>
      <c r="H34" s="2276"/>
      <c r="I34" s="2276"/>
    </row>
    <row r="35" spans="1:15" ht="15.75" thickBot="1">
      <c r="A35" s="460"/>
      <c r="B35" s="2879" t="s">
        <v>765</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2109</v>
      </c>
      <c r="F35" s="494"/>
      <c r="G35" s="2276"/>
      <c r="H35" s="2276"/>
      <c r="I35" s="2276"/>
    </row>
    <row r="36" spans="1:15" ht="15.75" thickBot="1">
      <c r="A36" s="3492" t="s">
        <v>761</v>
      </c>
      <c r="B36" s="454" t="s">
        <v>762</v>
      </c>
      <c r="C36" s="485"/>
      <c r="D36" s="455"/>
      <c r="E36" s="1244"/>
      <c r="F36" s="2277"/>
      <c r="G36" s="2276"/>
      <c r="H36" s="2276"/>
      <c r="I36" s="2276"/>
    </row>
    <row r="37" spans="1:15" ht="15.75" thickBot="1">
      <c r="A37" s="3493"/>
      <c r="B37" s="13" t="s">
        <v>764</v>
      </c>
      <c r="C37" s="487"/>
      <c r="D37" s="2225"/>
      <c r="E37" s="2225"/>
      <c r="F37" s="2277"/>
      <c r="G37" s="2276"/>
      <c r="H37" s="2276"/>
      <c r="I37" s="2276"/>
    </row>
    <row r="38" spans="1:15" ht="15.75" thickBot="1">
      <c r="A38" s="3494"/>
      <c r="B38" s="459" t="s">
        <v>766</v>
      </c>
      <c r="C38" s="1135"/>
      <c r="D38" s="1245" t="s">
        <v>767</v>
      </c>
      <c r="E38" s="2225"/>
      <c r="F38" s="2277"/>
      <c r="G38" s="2276"/>
      <c r="H38" s="2276"/>
      <c r="I38" s="2276"/>
    </row>
    <row r="39" spans="1:15" ht="13.5">
      <c r="A39" s="438" t="s">
        <v>768</v>
      </c>
      <c r="B39" s="461" t="s">
        <v>117</v>
      </c>
      <c r="C39" s="462" t="s">
        <v>118</v>
      </c>
      <c r="D39" s="462" t="s">
        <v>771</v>
      </c>
      <c r="E39" s="463" t="s">
        <v>119</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9" t="s">
        <v>211</v>
      </c>
      <c r="K44" s="3270"/>
      <c r="L44" s="3270"/>
      <c r="M44" s="3270"/>
      <c r="N44" s="3270"/>
      <c r="O44" s="3270"/>
    </row>
    <row r="45" spans="1:15" ht="14.25" customHeight="1" thickBot="1">
      <c r="A45" s="3495" t="s">
        <v>795</v>
      </c>
      <c r="B45" s="3496"/>
      <c r="C45" s="3497"/>
      <c r="D45" s="495">
        <f ca="1">ROUND(H101*F45,0)</f>
        <v>854</v>
      </c>
      <c r="E45" s="496" t="s">
        <v>796</v>
      </c>
      <c r="F45" s="497">
        <v>1</v>
      </c>
      <c r="G45" s="498" t="s">
        <v>797</v>
      </c>
      <c r="H45" s="2276"/>
      <c r="I45" s="2276"/>
      <c r="J45" s="3498" t="s">
        <v>212</v>
      </c>
      <c r="K45" s="3498"/>
      <c r="L45" s="3498"/>
      <c r="M45" s="3498"/>
      <c r="N45" s="3498"/>
      <c r="O45" s="3498"/>
    </row>
    <row r="46" spans="1:15" ht="14.25" customHeight="1">
      <c r="A46" s="3499" t="s">
        <v>284</v>
      </c>
      <c r="B46" s="3500"/>
      <c r="C46" s="3500"/>
      <c r="D46" s="3500"/>
      <c r="E46" s="3500"/>
      <c r="F46" s="3500"/>
      <c r="G46" s="3501"/>
      <c r="H46" s="2278"/>
      <c r="I46" s="2231"/>
      <c r="J46" s="3353">
        <v>1</v>
      </c>
      <c r="K46" s="3498" t="s">
        <v>213</v>
      </c>
      <c r="L46" s="3498"/>
      <c r="M46" s="3502"/>
      <c r="N46" s="3502"/>
      <c r="O46" s="3502"/>
    </row>
    <row r="47" spans="1:15" ht="12" customHeight="1">
      <c r="A47" s="500" t="s">
        <v>285</v>
      </c>
      <c r="B47" s="501"/>
      <c r="C47" s="502"/>
      <c r="D47" s="503" t="s">
        <v>286</v>
      </c>
      <c r="E47" s="313" t="s">
        <v>287</v>
      </c>
      <c r="F47" s="504" t="s">
        <v>798</v>
      </c>
      <c r="G47" s="505" t="s">
        <v>799</v>
      </c>
      <c r="H47" s="2278"/>
      <c r="I47" s="2231"/>
      <c r="J47" s="3353">
        <v>2</v>
      </c>
      <c r="K47" s="3498" t="s">
        <v>214</v>
      </c>
      <c r="L47" s="3498"/>
      <c r="M47" s="3503">
        <f>'数据-取费表'!B2</f>
        <v>43003</v>
      </c>
      <c r="N47" s="3503"/>
      <c r="O47" s="3503"/>
    </row>
    <row r="48" spans="1:15" ht="25.5">
      <c r="A48" s="3504" t="s">
        <v>288</v>
      </c>
      <c r="B48" s="3505"/>
      <c r="C48" s="3505"/>
      <c r="D48" s="470">
        <f>IF(H48="情况1",0,IF(H48="情况2",D52,IF(H48="情况3",D53,IF(H48="情况4",D54))))</f>
        <v>0</v>
      </c>
      <c r="E48" s="3345" t="str">
        <f>IF(H48="情况4","(销售额-原购置价)×税（费）率","销售额×税（费）率")</f>
        <v>销售额×税（费）率</v>
      </c>
      <c r="F48" s="506" t="str">
        <f>IF(H48="情况1","免征",'数据-取费表'!B41)</f>
        <v>免征</v>
      </c>
      <c r="G48" s="464" t="s">
        <v>167</v>
      </c>
      <c r="H48" s="1430" t="s">
        <v>2410</v>
      </c>
      <c r="I48" s="2278"/>
      <c r="J48" s="3353">
        <v>3</v>
      </c>
      <c r="K48" s="3498" t="s">
        <v>777</v>
      </c>
      <c r="L48" s="3498"/>
      <c r="M48" s="3506">
        <f ca="1">H101</f>
        <v>854</v>
      </c>
      <c r="N48" s="3506"/>
      <c r="O48" s="3506"/>
    </row>
    <row r="49" spans="1:35" ht="25.5" customHeight="1">
      <c r="A49" s="507" t="s">
        <v>289</v>
      </c>
      <c r="B49" s="3507" t="s">
        <v>801</v>
      </c>
      <c r="C49" s="3507"/>
      <c r="D49" s="508">
        <v>0</v>
      </c>
      <c r="E49" s="312" t="s">
        <v>290</v>
      </c>
      <c r="F49" s="317" t="s">
        <v>168</v>
      </c>
      <c r="G49" s="3508"/>
      <c r="H49" s="2276"/>
      <c r="I49" s="2279"/>
      <c r="J49" s="3353">
        <v>4</v>
      </c>
      <c r="K49" s="3498" t="str">
        <f>IF(项目基本情况!E8="房地产抵押价值","房地产抵押价值","抵押担保权已注销时的房地产抵押价值")</f>
        <v>房地产抵押价值</v>
      </c>
      <c r="L49" s="3498"/>
      <c r="M49" s="3506">
        <f ca="1">IF(项目基本情况!E8="房地产抵押价值",H107,H109)</f>
        <v>854</v>
      </c>
      <c r="N49" s="3506"/>
      <c r="O49" s="3506"/>
    </row>
    <row r="50" spans="1:35" ht="25.5" customHeight="1">
      <c r="A50" s="509"/>
      <c r="B50" s="3507" t="s">
        <v>291</v>
      </c>
      <c r="C50" s="3507"/>
      <c r="D50" s="510"/>
      <c r="E50" s="320"/>
      <c r="F50" s="511"/>
      <c r="G50" s="3509"/>
      <c r="H50" s="2276"/>
      <c r="I50" s="2279"/>
      <c r="J50" s="3498" t="s">
        <v>215</v>
      </c>
      <c r="K50" s="3498"/>
      <c r="L50" s="3498"/>
      <c r="M50" s="3498"/>
      <c r="N50" s="3498"/>
      <c r="O50" s="3498"/>
    </row>
    <row r="51" spans="1:35" ht="12" customHeight="1">
      <c r="A51" s="512"/>
      <c r="B51" s="3507" t="s">
        <v>292</v>
      </c>
      <c r="C51" s="3507"/>
      <c r="D51" s="513"/>
      <c r="E51" s="319"/>
      <c r="F51" s="511"/>
      <c r="G51" s="3510"/>
      <c r="H51" s="2276"/>
      <c r="I51" s="2279"/>
      <c r="J51" s="3351" t="s">
        <v>216</v>
      </c>
      <c r="K51" s="3498" t="s">
        <v>217</v>
      </c>
      <c r="L51" s="3498"/>
      <c r="M51" s="3351" t="s">
        <v>2997</v>
      </c>
      <c r="N51" s="3351" t="s">
        <v>218</v>
      </c>
      <c r="O51" s="3351" t="s">
        <v>219</v>
      </c>
    </row>
    <row r="52" spans="1:35" ht="24" customHeight="1">
      <c r="A52" s="514" t="s">
        <v>293</v>
      </c>
      <c r="B52" s="3507" t="s">
        <v>294</v>
      </c>
      <c r="C52" s="3507"/>
      <c r="D52" s="513">
        <f ca="1">ROUND(D45*'数据-取费表'!B41/(1+'数据-取费表'!C42),0)</f>
        <v>46</v>
      </c>
      <c r="E52" s="299" t="s">
        <v>295</v>
      </c>
      <c r="F52" s="515">
        <f>'数据-取费表'!B41</f>
        <v>5.6000000000000001E-2</v>
      </c>
      <c r="G52" s="465"/>
      <c r="H52" s="2276"/>
      <c r="I52" s="2279"/>
      <c r="J52" s="3353">
        <v>1</v>
      </c>
      <c r="K52" s="3513" t="s">
        <v>778</v>
      </c>
      <c r="L52" s="3513"/>
      <c r="M52" s="3272">
        <f>D48</f>
        <v>0</v>
      </c>
      <c r="N52" s="3352" t="str">
        <f>E48</f>
        <v>销售额×税（费）率</v>
      </c>
      <c r="O52" s="3273" t="str">
        <f>F48</f>
        <v>免征</v>
      </c>
    </row>
    <row r="53" spans="1:35" ht="12" customHeight="1">
      <c r="A53" s="514" t="s">
        <v>296</v>
      </c>
      <c r="B53" s="3511" t="s">
        <v>297</v>
      </c>
      <c r="C53" s="3512"/>
      <c r="D53" s="513">
        <f ca="1">ROUND(D45*'数据-取费表'!B41/(1+'数据-取费表'!C42),0)</f>
        <v>46</v>
      </c>
      <c r="E53" s="299" t="s">
        <v>295</v>
      </c>
      <c r="F53" s="515">
        <f>'数据-取费表'!B41</f>
        <v>5.6000000000000001E-2</v>
      </c>
      <c r="G53" s="465"/>
      <c r="H53" s="2276"/>
      <c r="I53" s="2279"/>
      <c r="J53" s="3353">
        <v>2</v>
      </c>
      <c r="K53" s="3513" t="s">
        <v>779</v>
      </c>
      <c r="L53" s="3513"/>
      <c r="M53" s="3272">
        <f t="shared" ref="M53:O54" ca="1" si="0">D55</f>
        <v>0</v>
      </c>
      <c r="N53" s="3352" t="str">
        <f t="shared" si="0"/>
        <v>销售额×税（费）率</v>
      </c>
      <c r="O53" s="3273">
        <f t="shared" si="0"/>
        <v>5.0000000000000001E-4</v>
      </c>
    </row>
    <row r="54" spans="1:35" ht="12" customHeight="1">
      <c r="A54" s="514" t="s">
        <v>298</v>
      </c>
      <c r="B54" s="3511" t="s">
        <v>299</v>
      </c>
      <c r="C54" s="3512"/>
      <c r="D54" s="513">
        <f ca="1">C68</f>
        <v>46</v>
      </c>
      <c r="E54" s="319" t="s">
        <v>300</v>
      </c>
      <c r="F54" s="515">
        <f>'数据-取费表'!B41</f>
        <v>5.6000000000000001E-2</v>
      </c>
      <c r="G54" s="465"/>
      <c r="H54" s="2280"/>
      <c r="I54" s="2279"/>
      <c r="J54" s="3353">
        <v>3</v>
      </c>
      <c r="K54" s="3513" t="s">
        <v>780</v>
      </c>
      <c r="L54" s="3513"/>
      <c r="M54" s="3272">
        <f t="shared" ca="1" si="0"/>
        <v>483</v>
      </c>
      <c r="N54" s="3352" t="str">
        <f t="shared" si="0"/>
        <v>增值额×税（费）率</v>
      </c>
      <c r="O54" s="3274" t="str">
        <f t="shared" si="0"/>
        <v>——</v>
      </c>
    </row>
    <row r="55" spans="1:35" ht="24" customHeight="1">
      <c r="A55" s="3514" t="s">
        <v>301</v>
      </c>
      <c r="B55" s="3505"/>
      <c r="C55" s="3505"/>
      <c r="D55" s="516">
        <f ca="1">IF(H55="个人住宅",0,ROUND(D45*I55,0))</f>
        <v>0</v>
      </c>
      <c r="E55" s="299" t="s">
        <v>302</v>
      </c>
      <c r="F55" s="515">
        <f>IF(H55="正常",I55,"免征")</f>
        <v>5.0000000000000001E-4</v>
      </c>
      <c r="G55" s="465"/>
      <c r="H55" s="1430" t="s">
        <v>152</v>
      </c>
      <c r="I55" s="517">
        <f>'数据-取费表'!B49</f>
        <v>5.0000000000000001E-4</v>
      </c>
      <c r="J55" s="3353" t="str">
        <f>IF(H59="非个人房产","",4)</f>
        <v/>
      </c>
      <c r="K55" s="3513" t="str">
        <f>IF(H59="非个人房产","——","个人所得税")</f>
        <v>——</v>
      </c>
      <c r="L55" s="3513"/>
      <c r="M55" s="3275" t="str">
        <f>D59</f>
        <v>——</v>
      </c>
      <c r="N55" s="3276" t="str">
        <f>E59</f>
        <v>——</v>
      </c>
      <c r="O55" s="3277" t="str">
        <f>F59</f>
        <v>——</v>
      </c>
    </row>
    <row r="56" spans="1:35" ht="24.75">
      <c r="A56" s="3514" t="s">
        <v>303</v>
      </c>
      <c r="B56" s="3505"/>
      <c r="C56" s="3505"/>
      <c r="D56" s="516">
        <f ca="1">IF(H56="个人住宅",D57,D58)</f>
        <v>483</v>
      </c>
      <c r="E56" s="299" t="s">
        <v>304</v>
      </c>
      <c r="F56" s="515" t="str">
        <f>IF(H56="正常",F58,"免征")</f>
        <v>——</v>
      </c>
      <c r="G56" s="1254" t="s">
        <v>167</v>
      </c>
      <c r="H56" s="1429" t="s">
        <v>152</v>
      </c>
      <c r="I56" s="2281"/>
      <c r="J56" s="3353" t="str">
        <f>IF(项目基本情况!K6="上海银行",IF(J55="",4,J55+1),"")</f>
        <v/>
      </c>
      <c r="K56" s="3515" t="str">
        <f>IF(项目基本情况!K6="上海银行","其他处置费用","")</f>
        <v/>
      </c>
      <c r="L56" s="3516"/>
      <c r="M56" s="3272" t="str">
        <f>IF(项目基本情况!K6="上海银行",M69,"")</f>
        <v/>
      </c>
      <c r="N56" s="3523" t="str">
        <f>IF(项目基本情况!K6="上海银行","包含处置中涉及的律师、诉讼、拍卖、评估等费用","")</f>
        <v/>
      </c>
      <c r="O56" s="3524"/>
    </row>
    <row r="57" spans="1:35" ht="12.75">
      <c r="A57" s="514" t="s">
        <v>289</v>
      </c>
      <c r="B57" s="3525" t="s">
        <v>305</v>
      </c>
      <c r="C57" s="3526"/>
      <c r="D57" s="518">
        <v>0</v>
      </c>
      <c r="E57" s="312" t="s">
        <v>290</v>
      </c>
      <c r="F57" s="486"/>
      <c r="G57" s="465"/>
      <c r="H57" s="2281"/>
      <c r="I57" s="2281"/>
      <c r="J57" s="3527">
        <f>IF(AND(J55="",J56=""),4,IF(项目基本情况!K6="上海银行",'结果表 (商业)'!J56+1,'结果表 (商业)'!J55+1))</f>
        <v>4</v>
      </c>
      <c r="K57" s="3513" t="s">
        <v>173</v>
      </c>
      <c r="L57" s="3278" t="s">
        <v>220</v>
      </c>
      <c r="M57" s="3279"/>
      <c r="N57" s="3280">
        <f ca="1">SUMIF(M52:M56,"&lt;9e307")</f>
        <v>483</v>
      </c>
      <c r="O57" s="3281"/>
      <c r="P57" s="3268">
        <f ca="1">N57/M49</f>
        <v>0.56557377049180324</v>
      </c>
    </row>
    <row r="58" spans="1:35" ht="24.75">
      <c r="A58" s="514" t="s">
        <v>293</v>
      </c>
      <c r="B58" s="3525" t="s">
        <v>306</v>
      </c>
      <c r="C58" s="3528"/>
      <c r="D58" s="516">
        <f ca="1">IF(H58="转让取得",C81,C97)</f>
        <v>483</v>
      </c>
      <c r="E58" s="299" t="s">
        <v>304</v>
      </c>
      <c r="F58" s="313" t="s">
        <v>168</v>
      </c>
      <c r="G58" s="465"/>
      <c r="H58" s="1429" t="s">
        <v>1127</v>
      </c>
      <c r="I58" s="2281"/>
      <c r="J58" s="3527"/>
      <c r="K58" s="3513"/>
      <c r="L58" s="3278" t="s">
        <v>221</v>
      </c>
      <c r="M58" s="3282"/>
      <c r="N58" s="3283" t="str">
        <f ca="1">NUMBERSTRING(INT(N57*10000),2)&amp;"元整"</f>
        <v>肆佰捌拾叁万元整</v>
      </c>
      <c r="O58" s="3284"/>
    </row>
    <row r="59" spans="1:35" ht="24.75" thickBot="1">
      <c r="A59" s="3529" t="s">
        <v>307</v>
      </c>
      <c r="B59" s="3530"/>
      <c r="C59" s="3530"/>
      <c r="D59" s="519" t="str">
        <f>IF(H59="非个人房产","——",IF(H59="个人住宅",0,ROUND(D45*I59,0)))</f>
        <v>——</v>
      </c>
      <c r="E59" s="520" t="str">
        <f>IF(H59="非个人房产","——","销售额×税（费）率")</f>
        <v>——</v>
      </c>
      <c r="F59" s="521" t="str">
        <f>IF(H59="非个人房产","——",IF(H59="个人住宅","免征",I59))</f>
        <v>——</v>
      </c>
      <c r="G59" s="1255" t="s">
        <v>167</v>
      </c>
      <c r="H59" s="1429" t="s">
        <v>1126</v>
      </c>
      <c r="I59" s="522">
        <v>0.01</v>
      </c>
      <c r="J59" s="3531">
        <f>J57+1</f>
        <v>5</v>
      </c>
      <c r="K59" s="3513" t="s">
        <v>169</v>
      </c>
      <c r="L59" s="3352" t="s">
        <v>220</v>
      </c>
      <c r="M59" s="3285"/>
      <c r="N59" s="3286">
        <f ca="1">M49-N57</f>
        <v>371</v>
      </c>
      <c r="O59" s="3287"/>
    </row>
    <row r="60" spans="1:35" ht="12" customHeight="1">
      <c r="A60" s="1256"/>
      <c r="B60" s="1241"/>
      <c r="C60" s="1241"/>
      <c r="D60" s="1241"/>
      <c r="E60" s="229"/>
      <c r="F60" s="2281"/>
      <c r="G60" s="2281"/>
      <c r="H60" s="2282"/>
      <c r="I60" s="2276"/>
      <c r="J60" s="3532"/>
      <c r="K60" s="3513"/>
      <c r="L60" s="3278" t="s">
        <v>221</v>
      </c>
      <c r="M60" s="3282"/>
      <c r="N60" s="3283" t="str">
        <f ca="1">NUMBERSTRING(INT(N59*10000),2)&amp;"元整"</f>
        <v>叁佰柒拾壹万元整</v>
      </c>
      <c r="O60" s="3284"/>
    </row>
    <row r="61" spans="1:35" ht="13.5" thickBot="1">
      <c r="A61" s="3517" t="s">
        <v>308</v>
      </c>
      <c r="B61" s="3517"/>
      <c r="C61" s="3517"/>
      <c r="D61" s="3517"/>
      <c r="E61" s="3517"/>
      <c r="F61" s="2281"/>
      <c r="G61" s="2281"/>
      <c r="H61" s="2282"/>
      <c r="I61" s="2276"/>
      <c r="J61" s="3353">
        <f>J59+1</f>
        <v>6</v>
      </c>
      <c r="K61" s="3513" t="s">
        <v>222</v>
      </c>
      <c r="L61" s="3513"/>
      <c r="M61" s="3288"/>
      <c r="N61" s="3289">
        <f ca="1">ROUND(N59*10000/'数据-汇总表'!E3,0)</f>
        <v>1106</v>
      </c>
      <c r="O61" s="3290"/>
    </row>
    <row r="62" spans="1:35" ht="12.75">
      <c r="A62" s="3518" t="s">
        <v>309</v>
      </c>
      <c r="B62" s="3519"/>
      <c r="C62" s="3348"/>
      <c r="D62" s="3348" t="s">
        <v>317</v>
      </c>
      <c r="E62" s="523" t="s">
        <v>318</v>
      </c>
      <c r="F62" s="2281"/>
      <c r="G62" s="2281"/>
      <c r="H62" s="2282"/>
      <c r="I62" s="2276"/>
    </row>
    <row r="63" spans="1:35" ht="12.75">
      <c r="A63" s="534" t="s">
        <v>1889</v>
      </c>
      <c r="B63" s="524" t="s">
        <v>310</v>
      </c>
      <c r="C63" s="525">
        <f ca="1">ROUND((C64+C65)/(1+'数据-取费表'!C42),0)</f>
        <v>813</v>
      </c>
      <c r="D63" s="526"/>
      <c r="E63" s="527"/>
      <c r="F63" s="2281"/>
      <c r="G63" s="2281"/>
      <c r="H63" s="2282"/>
      <c r="I63" s="2276"/>
      <c r="J63" s="3520" t="s">
        <v>2990</v>
      </c>
      <c r="K63" s="3354" t="s">
        <v>2991</v>
      </c>
      <c r="L63" s="3265">
        <f ca="1">IF(M49&gt;10000,M49*0.5%,IF(AND(M49&gt;1000,M49&lt;=10000),M49*1%,IF(AND(M49&gt;100,M49&lt;=1000),M49*3%,IF(AND(M49&gt;10,M49&lt;=100),M49*5%,M49*8%))))</f>
        <v>25.619999999999997</v>
      </c>
      <c r="M63" s="313">
        <f ca="1">ROUND(L63,1)</f>
        <v>25.6</v>
      </c>
      <c r="Z63" s="1432"/>
      <c r="AI63" s="1242"/>
    </row>
    <row r="64" spans="1:35" ht="14.25" customHeight="1">
      <c r="A64" s="528" t="s">
        <v>1884</v>
      </c>
      <c r="B64" s="529" t="s">
        <v>311</v>
      </c>
      <c r="C64" s="530">
        <f ca="1">D45</f>
        <v>854</v>
      </c>
      <c r="D64" s="531" t="s">
        <v>164</v>
      </c>
      <c r="E64" s="532"/>
      <c r="F64" s="2281"/>
      <c r="G64" s="2281"/>
      <c r="H64" s="2282"/>
      <c r="I64" s="2276"/>
      <c r="J64" s="3520"/>
      <c r="K64" s="3354" t="s">
        <v>2992</v>
      </c>
      <c r="L64" s="3265">
        <f ca="1">IF(M49&gt;2000,M49*0.5%,IF(AND(M49&gt;1000,M49&lt;=2000),M49*0.6%,IF(AND(M49&gt;500,M49&lt;=1000),M49*0.7%,IF(AND(M49&gt;200,M49&lt;=500),M49*0.8%,IF(AND(M49&gt;100,M49&lt;=200),M49*0.9%,IF(AND(M49&gt;50,M49&lt;=100),M49*1%,IF(AND(M49&gt;20,M49&lt;=50),M49*1.5%,IF(AND(M49&gt;10,M49&lt;=20),M49*2%,IF(AND(M49&gt;1,M49&lt;=10),M49*2.5%)))))))))</f>
        <v>5.9779999999999998</v>
      </c>
      <c r="M64" s="313">
        <f t="shared" ref="M64:M65" ca="1" si="1">ROUND(L64,1)</f>
        <v>6</v>
      </c>
      <c r="N64" s="468" t="s">
        <v>2998</v>
      </c>
      <c r="Z64" s="1432"/>
      <c r="AI64" s="1242"/>
    </row>
    <row r="65" spans="1:35" ht="14.25" customHeight="1">
      <c r="A65" s="528" t="s">
        <v>1885</v>
      </c>
      <c r="B65" s="529" t="s">
        <v>312</v>
      </c>
      <c r="C65" s="533"/>
      <c r="D65" s="531"/>
      <c r="E65" s="532"/>
      <c r="F65" s="2281"/>
      <c r="G65" s="2281"/>
      <c r="H65" s="2282"/>
      <c r="I65" s="2276"/>
      <c r="J65" s="3520"/>
      <c r="K65" s="3354" t="s">
        <v>2993</v>
      </c>
      <c r="L65" s="3265">
        <f ca="1">IF(M49&gt;1000,M49*0.1%,IF(AND(M49&gt;500,M49&lt;=1000),M49*0.5%,IF(AND(M49&gt;50,M49&lt;=500),M49*1%,IF(AND(M49&gt;1,M49&lt;=50),M49*1.5%))))</f>
        <v>4.2700000000000005</v>
      </c>
      <c r="M65" s="313">
        <f t="shared" ca="1" si="1"/>
        <v>4.3</v>
      </c>
      <c r="N65" s="468" t="s">
        <v>2998</v>
      </c>
      <c r="Z65" s="1432"/>
      <c r="AI65" s="1242"/>
    </row>
    <row r="66" spans="1:35" ht="14.25" customHeight="1">
      <c r="A66" s="534" t="s">
        <v>1886</v>
      </c>
      <c r="B66" s="535" t="s">
        <v>313</v>
      </c>
      <c r="C66" s="536"/>
      <c r="D66" s="537" t="s">
        <v>164</v>
      </c>
      <c r="E66" s="3318" t="s">
        <v>3036</v>
      </c>
      <c r="F66" s="2281"/>
      <c r="G66" s="2281"/>
      <c r="H66" s="2282"/>
      <c r="I66" s="2276"/>
      <c r="J66" s="3520"/>
      <c r="K66" s="3354" t="s">
        <v>2994</v>
      </c>
      <c r="L66" s="3265">
        <f ca="1">M49*0.5%</f>
        <v>4.2700000000000005</v>
      </c>
      <c r="M66" s="313">
        <f ca="1">IF(L66&gt;0.5,0.5,ROUND(L66,0))</f>
        <v>0.5</v>
      </c>
      <c r="N66" s="468" t="s">
        <v>3000</v>
      </c>
      <c r="Z66" s="1432"/>
      <c r="AI66" s="1242"/>
    </row>
    <row r="67" spans="1:35" ht="14.25" customHeight="1">
      <c r="A67" s="534" t="s">
        <v>1887</v>
      </c>
      <c r="B67" s="535" t="s">
        <v>314</v>
      </c>
      <c r="C67" s="538">
        <f ca="1">C63-C66</f>
        <v>813</v>
      </c>
      <c r="D67" s="531" t="s">
        <v>164</v>
      </c>
      <c r="E67" s="532"/>
      <c r="F67" s="2281"/>
      <c r="G67" s="2281"/>
      <c r="H67" s="2282"/>
      <c r="I67" s="2276"/>
      <c r="J67" s="3520"/>
      <c r="K67" s="3354" t="s">
        <v>2995</v>
      </c>
      <c r="L67" s="3265">
        <f ca="1">IF(M49&gt;=10000,(8.25+(M49-10000)*0.01%),IF(AND(M49&gt;=8000,M49&lt;10000),(7.85+(M49-8000)*0.02%),IF(AND(M49&gt;=5000,M49&lt;8000),(6.65+(M49-5000)*0.04%),IF(AND(M49&gt;=2000,M49&lt;5000),(4.25+(PM49-2000)*0.08%),IF(AND(M49&gt;=1000,M49&lt;2000),(2.75+(M49-1000)*0.15%),IF(AND(M49&gt;=100,M49&lt;1000),(0.5+(M49-100)*0.25%),IF(AND(M49&gt;0,M49&lt;100),M49*0.5%)))))))</f>
        <v>2.3849999999999998</v>
      </c>
      <c r="M67" s="313">
        <f ca="1">ROUND(L67*0.9,1)</f>
        <v>2.1</v>
      </c>
      <c r="Z67" s="1432"/>
      <c r="AI67" s="1242"/>
    </row>
    <row r="68" spans="1:35" ht="14.25" customHeight="1" thickBot="1">
      <c r="A68" s="539" t="s">
        <v>1888</v>
      </c>
      <c r="B68" s="540" t="s">
        <v>315</v>
      </c>
      <c r="C68" s="541">
        <f ca="1">IF(C67&lt;=0,0,ROUND(C67*D68,0))</f>
        <v>46</v>
      </c>
      <c r="D68" s="542">
        <f>'数据-取费表'!B41</f>
        <v>5.6000000000000001E-2</v>
      </c>
      <c r="E68" s="543"/>
      <c r="F68" s="2281"/>
      <c r="G68" s="2281"/>
      <c r="H68" s="2282"/>
      <c r="I68" s="2276"/>
      <c r="J68" s="3520"/>
      <c r="K68" s="3354" t="s">
        <v>2996</v>
      </c>
      <c r="L68" s="3265">
        <f ca="1">IF(M49&gt;10000,M49*0.5%,IF(AND(M49&gt;5000,M49&lt;=10000),M49*1%,IF(AND(M49&gt;1000,M49&lt;=5000),M49*2%,IF(AND(M49&gt;200,M49&lt;=1000),M49*3%,M49*5%))))</f>
        <v>25.619999999999997</v>
      </c>
      <c r="M68" s="313">
        <f ca="1">ROUND(L68,1)</f>
        <v>25.6</v>
      </c>
      <c r="Z68" s="1432"/>
      <c r="AI68" s="1242"/>
    </row>
    <row r="69" spans="1:35" s="1243" customFormat="1" ht="16.5" customHeight="1">
      <c r="A69" s="1257"/>
      <c r="B69" s="1258"/>
      <c r="C69" s="1259"/>
      <c r="D69" s="1260"/>
      <c r="E69" s="1261"/>
      <c r="F69" s="229"/>
      <c r="G69" s="229"/>
      <c r="H69" s="241"/>
      <c r="I69" s="1241"/>
      <c r="J69" s="3520"/>
      <c r="K69" s="3354" t="s">
        <v>184</v>
      </c>
      <c r="L69" s="3266"/>
      <c r="M69" s="313">
        <f ca="1">ROUND(SUM(M63:M68),0)</f>
        <v>64</v>
      </c>
      <c r="N69" s="3268">
        <f ca="1">M69/M49</f>
        <v>7.4941451990632318E-2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1" t="s">
        <v>316</v>
      </c>
      <c r="B70" s="3522"/>
      <c r="C70" s="3522"/>
      <c r="D70" s="3522"/>
      <c r="E70" s="3522"/>
      <c r="F70" s="3522"/>
      <c r="G70" s="3522"/>
      <c r="H70" s="3522"/>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18" t="s">
        <v>309</v>
      </c>
      <c r="B71" s="3519"/>
      <c r="C71" s="3348"/>
      <c r="D71" s="3348" t="s">
        <v>317</v>
      </c>
      <c r="E71" s="544" t="s">
        <v>318</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1889</v>
      </c>
      <c r="B72" s="535" t="s">
        <v>319</v>
      </c>
      <c r="C72" s="538">
        <f ca="1">ROUND(D45/(1+'数据-取费表'!C42),0)</f>
        <v>813</v>
      </c>
      <c r="D72" s="531" t="s">
        <v>164</v>
      </c>
      <c r="E72" s="3347"/>
      <c r="F72" s="3341"/>
      <c r="G72" s="3341"/>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1886</v>
      </c>
      <c r="B73" s="504" t="s">
        <v>320</v>
      </c>
      <c r="C73" s="538">
        <f ca="1">C74+C78</f>
        <v>5</v>
      </c>
      <c r="D73" s="531" t="s">
        <v>164</v>
      </c>
      <c r="E73" s="3347"/>
      <c r="F73" s="3341"/>
      <c r="G73" s="3341"/>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1884</v>
      </c>
      <c r="B74" s="529" t="s">
        <v>321</v>
      </c>
      <c r="C74" s="531">
        <f>ROUND(IF(G77="2016年5月1日后购买",C75/(1+'数据-取费表'!C42)+C76+C77,C75+C76+C77),0)</f>
        <v>0</v>
      </c>
      <c r="D74" s="531" t="s">
        <v>164</v>
      </c>
      <c r="E74" s="3347"/>
      <c r="F74" s="3341"/>
      <c r="G74" s="3341"/>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1891</v>
      </c>
      <c r="B75" s="529" t="s">
        <v>322</v>
      </c>
      <c r="C75" s="549"/>
      <c r="D75" s="531" t="s">
        <v>164</v>
      </c>
      <c r="E75" s="550" t="s">
        <v>323</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1893</v>
      </c>
      <c r="B76" s="552" t="s">
        <v>324</v>
      </c>
      <c r="C76" s="531">
        <f>IF(F75="购房发票",ROUND(C75*H75*D76,0),0)</f>
        <v>0</v>
      </c>
      <c r="D76" s="553">
        <v>0.05</v>
      </c>
      <c r="E76" s="3511" t="s">
        <v>325</v>
      </c>
      <c r="F76" s="3507"/>
      <c r="G76" s="3507"/>
      <c r="H76" s="3547"/>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1894</v>
      </c>
      <c r="B77" s="529" t="s">
        <v>326</v>
      </c>
      <c r="C77" s="531">
        <f>ROUND(IF(G77="个人住宅",0,IF(G77="2016年5月1日前购买",C75*D77,C75*D77/(1+'数据-取费表'!C42))),0)</f>
        <v>0</v>
      </c>
      <c r="D77" s="554">
        <f>'数据-取费表'!B48+'数据-取费表'!B49</f>
        <v>3.0499999999999999E-2</v>
      </c>
      <c r="E77" s="303" t="s">
        <v>793</v>
      </c>
      <c r="F77" s="555"/>
      <c r="G77" s="1426" t="s">
        <v>2502</v>
      </c>
      <c r="H77" s="3349"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1885</v>
      </c>
      <c r="B78" s="529" t="s">
        <v>327</v>
      </c>
      <c r="C78" s="556">
        <f ca="1">ROUND(D45*D78/(1+'数据-取费表'!C42),0)</f>
        <v>5</v>
      </c>
      <c r="D78" s="557">
        <f>'数据-取费表'!B43</f>
        <v>6.000000000000001E-3</v>
      </c>
      <c r="E78" s="3533" t="s">
        <v>2503</v>
      </c>
      <c r="F78" s="3534"/>
      <c r="G78" s="3534"/>
      <c r="H78" s="3535"/>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9" t="s">
        <v>1887</v>
      </c>
      <c r="B79" s="535" t="s">
        <v>328</v>
      </c>
      <c r="C79" s="538">
        <f ca="1">C72-C73</f>
        <v>808</v>
      </c>
      <c r="D79" s="531" t="s">
        <v>164</v>
      </c>
      <c r="E79" s="3347"/>
      <c r="F79" s="3341"/>
      <c r="G79" s="3341"/>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9" t="s">
        <v>1896</v>
      </c>
      <c r="B80" s="535" t="s">
        <v>329</v>
      </c>
      <c r="C80" s="558">
        <f ca="1">IF(C79&lt;=0,0,C79/C73)</f>
        <v>161.6</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41"/>
      <c r="G80" s="3341"/>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800" t="s">
        <v>1897</v>
      </c>
      <c r="B81" s="540" t="s">
        <v>330</v>
      </c>
      <c r="C81" s="559">
        <f ca="1">ROUND(IF(C79&lt;=0,0,IF(C80&gt;=200%,C79*60%-C73*35%,IF(C80&gt;=100%,C79*50%-C73*15%,IF(C80&gt;=50%,C79*40%-C73*5%,IF(C80&lt;50%,C79*30%,0))))),0)</f>
        <v>483</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21" t="s">
        <v>331</v>
      </c>
      <c r="B83" s="3522"/>
      <c r="C83" s="3522"/>
      <c r="D83" s="3522"/>
      <c r="E83" s="3522"/>
      <c r="F83" s="3522"/>
      <c r="G83" s="3522"/>
      <c r="H83" s="3522"/>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18" t="s">
        <v>309</v>
      </c>
      <c r="B84" s="3519"/>
      <c r="C84" s="3348"/>
      <c r="D84" s="3348" t="s">
        <v>317</v>
      </c>
      <c r="E84" s="544" t="s">
        <v>318</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1889</v>
      </c>
      <c r="B85" s="535" t="s">
        <v>319</v>
      </c>
      <c r="C85" s="538">
        <f ca="1">ROUND(D45/(1+'数据-取费表'!C42),0)</f>
        <v>813</v>
      </c>
      <c r="D85" s="531" t="s">
        <v>164</v>
      </c>
      <c r="E85" s="3347"/>
      <c r="F85" s="3341"/>
      <c r="G85" s="3341"/>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1886</v>
      </c>
      <c r="B86" s="504" t="s">
        <v>320</v>
      </c>
      <c r="C86" s="538">
        <f ca="1">IF(H88="仅含出让金",C87+C90+C91+C92+C93+C94,C87+C91+C92+C93+C94)</f>
        <v>5</v>
      </c>
      <c r="D86" s="566"/>
      <c r="E86" s="3347"/>
      <c r="F86" s="3341"/>
      <c r="G86" s="3341"/>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1884</v>
      </c>
      <c r="B87" s="529" t="s">
        <v>332</v>
      </c>
      <c r="C87" s="556">
        <f>C88+C89</f>
        <v>0</v>
      </c>
      <c r="D87" s="557"/>
      <c r="E87" s="3343"/>
      <c r="F87" s="3344"/>
      <c r="G87" s="3344"/>
      <c r="H87" s="3346"/>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1891</v>
      </c>
      <c r="B88" s="529" t="s">
        <v>333</v>
      </c>
      <c r="C88" s="567"/>
      <c r="D88" s="557"/>
      <c r="E88" s="568" t="s">
        <v>334</v>
      </c>
      <c r="F88" s="3344"/>
      <c r="G88" s="569" t="s">
        <v>335</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1893</v>
      </c>
      <c r="B89" s="529" t="s">
        <v>326</v>
      </c>
      <c r="C89" s="556">
        <f>ROUND(C88*D89,0)</f>
        <v>0</v>
      </c>
      <c r="D89" s="557">
        <f>'数据-取费表'!B48+'数据-取费表'!B49</f>
        <v>3.0499999999999999E-2</v>
      </c>
      <c r="E89" s="568" t="s">
        <v>336</v>
      </c>
      <c r="F89" s="3344"/>
      <c r="G89" s="3344"/>
      <c r="H89" s="3346"/>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1885</v>
      </c>
      <c r="B90" s="529" t="s">
        <v>337</v>
      </c>
      <c r="C90" s="567"/>
      <c r="D90" s="557"/>
      <c r="E90" s="568" t="str">
        <f>IF(H88="-","土地取得成本中已包含该笔费用"," ")</f>
        <v xml:space="preserve"> </v>
      </c>
      <c r="F90" s="3344"/>
      <c r="G90" s="3344"/>
      <c r="H90" s="3346"/>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1" t="s">
        <v>1898</v>
      </c>
      <c r="B91" s="529" t="s">
        <v>338</v>
      </c>
      <c r="C91" s="556">
        <f>IF(H91="——",成本法!C33,I91)</f>
        <v>0</v>
      </c>
      <c r="D91" s="557"/>
      <c r="E91" s="3548" t="s">
        <v>794</v>
      </c>
      <c r="F91" s="3534"/>
      <c r="G91" s="3534"/>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1" t="s">
        <v>1899</v>
      </c>
      <c r="B92" s="529" t="s">
        <v>339</v>
      </c>
      <c r="C92" s="556">
        <f>ROUND((C87+C90+C91)*D92,0)</f>
        <v>0</v>
      </c>
      <c r="D92" s="557">
        <v>0.1</v>
      </c>
      <c r="E92" s="3548" t="s">
        <v>340</v>
      </c>
      <c r="F92" s="3534"/>
      <c r="G92" s="3534"/>
      <c r="H92" s="3535"/>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1" t="s">
        <v>1900</v>
      </c>
      <c r="B93" s="529" t="s">
        <v>327</v>
      </c>
      <c r="C93" s="556">
        <f ca="1">ROUND(D45*D93/(1+'数据-取费表'!C42),0)</f>
        <v>5</v>
      </c>
      <c r="D93" s="557">
        <f>'数据-取费表'!B43</f>
        <v>6.000000000000001E-3</v>
      </c>
      <c r="E93" s="3533" t="s">
        <v>2503</v>
      </c>
      <c r="F93" s="3534"/>
      <c r="G93" s="3534"/>
      <c r="H93" s="3535"/>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1" t="s">
        <v>1901</v>
      </c>
      <c r="B94" s="529" t="s">
        <v>341</v>
      </c>
      <c r="C94" s="567">
        <f>ROUND((C87+C90+C91)*D94,0)</f>
        <v>0</v>
      </c>
      <c r="D94" s="557">
        <v>0.2</v>
      </c>
      <c r="E94" s="3536" t="s">
        <v>3051</v>
      </c>
      <c r="F94" s="3537"/>
      <c r="G94" s="3537"/>
      <c r="H94" s="3538"/>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9" t="s">
        <v>1887</v>
      </c>
      <c r="B95" s="535" t="s">
        <v>328</v>
      </c>
      <c r="C95" s="538">
        <f ca="1">ROUND(C85-C86,0)</f>
        <v>808</v>
      </c>
      <c r="D95" s="531" t="s">
        <v>164</v>
      </c>
      <c r="E95" s="3347"/>
      <c r="F95" s="3341"/>
      <c r="G95" s="3341"/>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9" t="s">
        <v>1896</v>
      </c>
      <c r="B96" s="535" t="s">
        <v>329</v>
      </c>
      <c r="C96" s="558">
        <f ca="1">IF(C95&lt;=0,0,C95/C86)</f>
        <v>161.6</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41"/>
      <c r="G96" s="3341"/>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800" t="s">
        <v>1897</v>
      </c>
      <c r="B97" s="540" t="s">
        <v>330</v>
      </c>
      <c r="C97" s="559">
        <f ca="1">ROUND(IF(C95&lt;=0,0,IF(C96&gt;=200%,C95*60%-C86*35%,IF(C96&gt;=100%,C95*50%-C86*15%,IF(C96&gt;=50%,C95*40%-C86*5%,IF(C96&lt;50%,C95*30%,0))))),0)</f>
        <v>483</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226</v>
      </c>
      <c r="B99" s="1241"/>
      <c r="C99" s="1241"/>
      <c r="D99" s="1241"/>
      <c r="E99" s="229"/>
      <c r="F99" s="229"/>
      <c r="G99" s="229"/>
      <c r="H99" s="241"/>
      <c r="I99" s="2276"/>
    </row>
    <row r="100" spans="1:35" ht="18.75" customHeight="1">
      <c r="A100" s="3470" t="s">
        <v>227</v>
      </c>
      <c r="B100" s="3471"/>
      <c r="C100" s="3471"/>
      <c r="D100" s="3539"/>
      <c r="E100" s="3471" t="s">
        <v>2903</v>
      </c>
      <c r="F100" s="3471"/>
      <c r="G100" s="3471"/>
      <c r="H100" s="3539"/>
      <c r="I100" s="2276"/>
    </row>
    <row r="101" spans="1:35" ht="18.75" customHeight="1">
      <c r="A101" s="3540" t="s">
        <v>205</v>
      </c>
      <c r="B101" s="3541"/>
      <c r="C101" s="1264" t="str">
        <f>C4</f>
        <v>比较法-商业</v>
      </c>
      <c r="D101" s="1265" t="str">
        <f>D4</f>
        <v>收益法(商业元)</v>
      </c>
      <c r="E101" s="3542" t="s">
        <v>1903</v>
      </c>
      <c r="F101" s="3543"/>
      <c r="G101" s="1266" t="s">
        <v>207</v>
      </c>
      <c r="H101" s="1985">
        <f ca="1">H118</f>
        <v>854</v>
      </c>
      <c r="I101" s="2276"/>
    </row>
    <row r="102" spans="1:35" ht="18.75" customHeight="1">
      <c r="A102" s="3544" t="s">
        <v>206</v>
      </c>
      <c r="B102" s="1266" t="s">
        <v>207</v>
      </c>
      <c r="C102" s="1233">
        <f ca="1">C19</f>
        <v>851</v>
      </c>
      <c r="D102" s="1234">
        <f ca="1">D19</f>
        <v>856</v>
      </c>
      <c r="E102" s="3542"/>
      <c r="F102" s="3543"/>
      <c r="G102" s="1266" t="s">
        <v>208</v>
      </c>
      <c r="H102" s="710">
        <f ca="1">I118</f>
        <v>28353</v>
      </c>
      <c r="I102" s="2276"/>
    </row>
    <row r="103" spans="1:35" ht="42.75" customHeight="1">
      <c r="A103" s="3544"/>
      <c r="B103" s="1266" t="s">
        <v>208</v>
      </c>
      <c r="C103" s="1235">
        <f ca="1">C20</f>
        <v>28246</v>
      </c>
      <c r="D103" s="1236">
        <f ca="1">D20</f>
        <v>28422</v>
      </c>
      <c r="E103" s="3545" t="s">
        <v>3013</v>
      </c>
      <c r="F103" s="3546"/>
      <c r="G103" s="1267" t="s">
        <v>210</v>
      </c>
      <c r="H103" s="1985">
        <f>IF(D36="正常操作",H104+H105+H106,H105+H106)</f>
        <v>0</v>
      </c>
      <c r="I103" s="2276"/>
    </row>
    <row r="104" spans="1:35" ht="18.75" customHeight="1">
      <c r="A104" s="3544" t="s">
        <v>209</v>
      </c>
      <c r="B104" s="1268" t="s">
        <v>207</v>
      </c>
      <c r="C104" s="1237">
        <f ca="1">H118</f>
        <v>854</v>
      </c>
      <c r="D104" s="1238"/>
      <c r="E104" s="13" t="s">
        <v>1902</v>
      </c>
      <c r="F104" s="6"/>
      <c r="G104" s="1267" t="s">
        <v>210</v>
      </c>
      <c r="H104" s="1986">
        <f>IF(D36="同一抵押权人同一抵押物续贷",C36&amp;"（未扣减，详见特别提示）",C36)</f>
        <v>0</v>
      </c>
      <c r="I104" s="2276"/>
    </row>
    <row r="105" spans="1:35" ht="18.75" customHeight="1" thickBot="1">
      <c r="A105" s="3554"/>
      <c r="B105" s="1269" t="s">
        <v>208</v>
      </c>
      <c r="C105" s="1239">
        <f ca="1">I118</f>
        <v>28353</v>
      </c>
      <c r="D105" s="1240"/>
      <c r="E105" s="13" t="s">
        <v>1904</v>
      </c>
      <c r="F105" s="6"/>
      <c r="G105" s="1267" t="s">
        <v>210</v>
      </c>
      <c r="H105" s="1986">
        <f>C37</f>
        <v>0</v>
      </c>
      <c r="I105" s="2276"/>
    </row>
    <row r="106" spans="1:35" ht="18.75" customHeight="1">
      <c r="A106" s="1241" t="s">
        <v>2000</v>
      </c>
      <c r="B106" s="1241"/>
      <c r="C106" s="1241"/>
      <c r="D106" s="1241"/>
      <c r="E106" s="466" t="s">
        <v>1905</v>
      </c>
      <c r="F106" s="6"/>
      <c r="G106" s="1267" t="s">
        <v>210</v>
      </c>
      <c r="H106" s="1986">
        <f>C38</f>
        <v>0</v>
      </c>
      <c r="I106" s="2276"/>
    </row>
    <row r="107" spans="1:35" ht="18.75" customHeight="1">
      <c r="A107" s="2276"/>
      <c r="B107" s="2276"/>
      <c r="C107" s="2276"/>
      <c r="D107" s="2276"/>
      <c r="E107" s="3555" t="str">
        <f>IF(项目基本情况!E8="已注销","——","3.房地产抵押价值")</f>
        <v>3.房地产抵押价值</v>
      </c>
      <c r="F107" s="3543"/>
      <c r="G107" s="1266" t="s">
        <v>207</v>
      </c>
      <c r="H107" s="1985">
        <f ca="1">IF(E107="——","——",H101-H103)</f>
        <v>854</v>
      </c>
      <c r="I107" s="2276"/>
    </row>
    <row r="108" spans="1:35" ht="18.75" customHeight="1">
      <c r="A108" s="2276"/>
      <c r="B108" s="2276"/>
      <c r="C108" s="2276"/>
      <c r="D108" s="2276"/>
      <c r="E108" s="3555"/>
      <c r="F108" s="3543"/>
      <c r="G108" s="1266" t="s">
        <v>208</v>
      </c>
      <c r="H108" s="710">
        <f ca="1">ROUND(H107*10000/'数据-汇总表'!E3,0)</f>
        <v>2546</v>
      </c>
      <c r="I108" s="2276"/>
    </row>
    <row r="109" spans="1:35" ht="18.75" customHeight="1">
      <c r="A109" s="2276"/>
      <c r="B109" s="2276"/>
      <c r="C109" s="2276"/>
      <c r="D109" s="2276"/>
      <c r="E109" s="3555" t="str">
        <f>IF(项目基本情况!E8="已注销及未注销","4.抵押担保权已注销时的房地产抵押价值",IF(项目基本情况!E8="已注销","3.抵押担保权已注销时的房地产抵押价值","——"))</f>
        <v>——</v>
      </c>
      <c r="F109" s="3543"/>
      <c r="G109" s="1266" t="s">
        <v>207</v>
      </c>
      <c r="H109" s="684" t="str">
        <f>IF(E109="——","——",H101-H105-H106)</f>
        <v>——</v>
      </c>
      <c r="I109" s="2276"/>
    </row>
    <row r="110" spans="1:35" ht="18.75" customHeight="1">
      <c r="A110" s="2276"/>
      <c r="B110" s="2276"/>
      <c r="C110" s="2276"/>
      <c r="D110" s="2276"/>
      <c r="E110" s="3555"/>
      <c r="F110" s="3543"/>
      <c r="G110" s="1266" t="s">
        <v>208</v>
      </c>
      <c r="H110" s="710" t="str">
        <f>IF(H109="——","——",ROUND(H109*10000/'数据-汇总表'!E3,0))</f>
        <v>——</v>
      </c>
      <c r="I110" s="2276"/>
    </row>
    <row r="111" spans="1:35" ht="18.75" customHeight="1">
      <c r="A111" s="2276"/>
      <c r="B111" s="2276"/>
      <c r="C111" s="2276"/>
      <c r="D111" s="2276"/>
      <c r="E111" s="3556" t="str">
        <f>IF(项目基本情况!E9="抵押净值",IF(OR(项目基本情况!E8="已注销",项目基本情况!E8="房地产抵押价值"),"4.抵押净值","5.抵押净值"),"——")</f>
        <v>——</v>
      </c>
      <c r="F111" s="3557"/>
      <c r="G111" s="1266" t="s">
        <v>207</v>
      </c>
      <c r="H111" s="1985" t="str">
        <f>IF(E111="——","——",N59)</f>
        <v>——</v>
      </c>
      <c r="I111" s="2276"/>
    </row>
    <row r="112" spans="1:35" ht="18.75" customHeight="1" thickBot="1">
      <c r="A112" s="2276"/>
      <c r="B112" s="2276"/>
      <c r="C112" s="2276"/>
      <c r="D112" s="2276"/>
      <c r="E112" s="3558"/>
      <c r="F112" s="3559"/>
      <c r="G112" s="1270" t="s">
        <v>208</v>
      </c>
      <c r="H112" s="1421" t="str">
        <f>IF(E111="——","——",N61)</f>
        <v>——</v>
      </c>
      <c r="I112" s="2276"/>
    </row>
    <row r="113" spans="1:11" ht="18.75" customHeight="1">
      <c r="A113" s="2276"/>
      <c r="B113" s="2276"/>
      <c r="C113" s="2276"/>
      <c r="D113" s="2276"/>
      <c r="E113" s="3560" t="s">
        <v>2000</v>
      </c>
      <c r="F113" s="3560"/>
      <c r="G113" s="3560"/>
      <c r="H113" s="3560"/>
      <c r="I113" s="2276"/>
    </row>
    <row r="114" spans="1:11" ht="3.75" customHeight="1">
      <c r="A114" s="1241"/>
      <c r="B114" s="1241"/>
      <c r="C114" s="1241"/>
      <c r="D114" s="1241"/>
      <c r="E114" s="1256"/>
      <c r="F114" s="1256"/>
      <c r="G114" s="1256"/>
      <c r="H114" s="1256"/>
      <c r="I114" s="1241"/>
    </row>
    <row r="115" spans="1:11" ht="18.75" customHeight="1">
      <c r="A115" s="3561" t="s">
        <v>223</v>
      </c>
      <c r="B115" s="3562"/>
      <c r="C115" s="3562"/>
      <c r="D115" s="3562"/>
      <c r="E115" s="3562"/>
      <c r="F115" s="3562"/>
      <c r="G115" s="3562"/>
      <c r="H115" s="3562"/>
      <c r="I115" s="3563"/>
    </row>
    <row r="116" spans="1:11" ht="27" customHeight="1">
      <c r="A116" s="3450" t="s">
        <v>5</v>
      </c>
      <c r="B116" s="3549" t="s">
        <v>783</v>
      </c>
      <c r="C116" s="3549" t="s">
        <v>784</v>
      </c>
      <c r="D116" s="3551" t="s">
        <v>203</v>
      </c>
      <c r="E116" s="3552"/>
      <c r="F116" s="3553" t="s">
        <v>2380</v>
      </c>
      <c r="G116" s="3553"/>
      <c r="H116" s="3450" t="s">
        <v>6</v>
      </c>
      <c r="I116" s="3450"/>
    </row>
    <row r="117" spans="1:11" ht="18.75" customHeight="1">
      <c r="A117" s="3450"/>
      <c r="B117" s="3550"/>
      <c r="C117" s="3550"/>
      <c r="D117" s="3339" t="s">
        <v>7</v>
      </c>
      <c r="E117" s="3339" t="s">
        <v>785</v>
      </c>
      <c r="F117" s="3339" t="s">
        <v>7</v>
      </c>
      <c r="G117" s="3339" t="s">
        <v>8</v>
      </c>
      <c r="H117" s="3339" t="s">
        <v>7</v>
      </c>
      <c r="I117" s="3339" t="s">
        <v>8</v>
      </c>
    </row>
    <row r="118" spans="1:11" ht="24.75" customHeight="1">
      <c r="A118" s="2032" t="str">
        <f>项目基本情况!S2</f>
        <v>新疆伊宁市经济合作区上海路以西山东路以南（万荣广场）房地产</v>
      </c>
      <c r="B118" s="3342">
        <f>M18</f>
        <v>301.2</v>
      </c>
      <c r="C118" s="3342">
        <f>M19</f>
        <v>0</v>
      </c>
      <c r="D118" s="3342" t="e">
        <f ca="1">ROUND(IF(D32="总价",C34,E118*B118/10000),0)</f>
        <v>#REF!</v>
      </c>
      <c r="E118" s="3342" t="e">
        <f ca="1">ROUND(IF(C33="自定义",IF(D32="楼面单价",C34,D118*10000/B118),I118-G118),0)</f>
        <v>#REF!</v>
      </c>
      <c r="F118" s="3342" t="e">
        <f ca="1">ROUND(IF(D32="总价",C35,G118*B118/10000),0)</f>
        <v>#REF!</v>
      </c>
      <c r="G118" s="3342" t="e">
        <f ca="1">ROUND(IF(D32="楼面单价",C35,F118*10000/B118),0)</f>
        <v>#REF!</v>
      </c>
      <c r="H118" s="3342">
        <f ca="1">ROUND(IF(D32="总价",C32,I118*B118/10000),0)</f>
        <v>854</v>
      </c>
      <c r="I118" s="3342">
        <f ca="1">ROUND(IF(D32="楼面单价",C32,H118*10000/B118),0)</f>
        <v>28353</v>
      </c>
    </row>
    <row r="119" spans="1:11" ht="18.75" customHeight="1">
      <c r="A119" s="3450" t="s">
        <v>9</v>
      </c>
      <c r="B119" s="3450"/>
      <c r="C119" s="3450"/>
      <c r="D119" s="3567" t="e">
        <f ca="1">NUMBERSTRING(INT(D118*10000),2)&amp;"元整"</f>
        <v>#REF!</v>
      </c>
      <c r="E119" s="3569"/>
      <c r="F119" s="3567" t="e">
        <f ca="1">NUMBERSTRING(INT(F118*10000),2)&amp;"元整"</f>
        <v>#REF!</v>
      </c>
      <c r="G119" s="3569"/>
      <c r="H119" s="3567" t="str">
        <f ca="1">NUMBERSTRING(INT(H118*10000),2)&amp;"元整"</f>
        <v>捌佰伍拾肆万元整</v>
      </c>
      <c r="I119" s="3569"/>
    </row>
    <row r="120" spans="1:11" ht="18.75" customHeight="1">
      <c r="A120" s="3574" t="str">
        <f>MID(E103,3,LEN(E103)-2)</f>
        <v>估价师知悉的法定优先受偿款</v>
      </c>
      <c r="B120" s="3575"/>
      <c r="C120" s="3576"/>
      <c r="D120" s="3571">
        <f>H103</f>
        <v>0</v>
      </c>
      <c r="E120" s="3572"/>
      <c r="F120" s="3572"/>
      <c r="G120" s="3572"/>
      <c r="H120" s="3572"/>
      <c r="I120" s="3573"/>
      <c r="K120" s="1432" t="str">
        <f>IF(D120=0,"故，本次评估不存在"&amp;A120,"故，本次评估"&amp;A120&amp;"为人民币"&amp;D120&amp;"万元整。")</f>
        <v>故，本次评估不存在估价师知悉的法定优先受偿款</v>
      </c>
    </row>
    <row r="121" spans="1:11" ht="18.75" customHeight="1">
      <c r="A121" s="3564" t="s">
        <v>9</v>
      </c>
      <c r="B121" s="3565"/>
      <c r="C121" s="3566"/>
      <c r="D121" s="3567" t="str">
        <f>IF(D120=0,"零元整",NUMBERSTRING(INT(D120*10000),2)&amp;"元整")</f>
        <v>零元整</v>
      </c>
      <c r="E121" s="3568"/>
      <c r="F121" s="3568"/>
      <c r="G121" s="3568"/>
      <c r="H121" s="3568"/>
      <c r="I121" s="3569"/>
    </row>
    <row r="122" spans="1:11" ht="18.75" customHeight="1">
      <c r="A122" s="3570" t="str">
        <f>MID(E107,3,LEN(E107)-2)</f>
        <v>房地产抵押价值</v>
      </c>
      <c r="B122" s="3570"/>
      <c r="C122" s="3570"/>
      <c r="D122" s="3571">
        <f ca="1">H107</f>
        <v>854</v>
      </c>
      <c r="E122" s="3572"/>
      <c r="F122" s="3572"/>
      <c r="G122" s="3572"/>
      <c r="H122" s="3572"/>
      <c r="I122" s="3573"/>
    </row>
    <row r="123" spans="1:11" ht="18.75" customHeight="1">
      <c r="A123" s="3450" t="s">
        <v>9</v>
      </c>
      <c r="B123" s="3450"/>
      <c r="C123" s="3450"/>
      <c r="D123" s="3567" t="str">
        <f ca="1">NUMBERSTRING(INT(D122*10000),2)&amp;"元整"</f>
        <v>捌佰伍拾肆万元整</v>
      </c>
      <c r="E123" s="3568"/>
      <c r="F123" s="3568"/>
      <c r="G123" s="3568"/>
      <c r="H123" s="3568"/>
      <c r="I123" s="3569"/>
    </row>
    <row r="124" spans="1:11" ht="18.75" customHeight="1">
      <c r="A124" s="3570" t="str">
        <f>MID(E109,3,LEN(E109)-2)</f>
        <v/>
      </c>
      <c r="B124" s="3570"/>
      <c r="C124" s="3570"/>
      <c r="D124" s="3571" t="str">
        <f>H109</f>
        <v>——</v>
      </c>
      <c r="E124" s="3572"/>
      <c r="F124" s="3572"/>
      <c r="G124" s="3572"/>
      <c r="H124" s="3572"/>
      <c r="I124" s="3573"/>
    </row>
    <row r="125" spans="1:11" ht="18.75" customHeight="1">
      <c r="A125" s="3450" t="s">
        <v>9</v>
      </c>
      <c r="B125" s="3450"/>
      <c r="C125" s="3450"/>
      <c r="D125" s="3567" t="e">
        <f>NUMBERSTRING(INT(D124*10000),2)&amp;"元整"</f>
        <v>#VALUE!</v>
      </c>
      <c r="E125" s="3568"/>
      <c r="F125" s="3568"/>
      <c r="G125" s="3568"/>
      <c r="H125" s="3568"/>
      <c r="I125" s="3569"/>
    </row>
    <row r="126" spans="1:11" ht="18.75" customHeight="1">
      <c r="A126" s="3570" t="str">
        <f>MID(E111,3,LEN(E111)-2)</f>
        <v/>
      </c>
      <c r="B126" s="3570"/>
      <c r="C126" s="3570"/>
      <c r="D126" s="3571" t="str">
        <f>H111</f>
        <v>——</v>
      </c>
      <c r="E126" s="3572"/>
      <c r="F126" s="3572"/>
      <c r="G126" s="3572"/>
      <c r="H126" s="3572"/>
      <c r="I126" s="3573"/>
    </row>
    <row r="127" spans="1:11" ht="18.75" customHeight="1">
      <c r="A127" s="3450" t="s">
        <v>9</v>
      </c>
      <c r="B127" s="3450"/>
      <c r="C127" s="3450"/>
      <c r="D127" s="3567" t="e">
        <f>NUMBERSTRING(INT(D126*10000),2)&amp;"元整"</f>
        <v>#VALUE!</v>
      </c>
      <c r="E127" s="3568"/>
      <c r="F127" s="3568"/>
      <c r="G127" s="3568"/>
      <c r="H127" s="3568"/>
      <c r="I127" s="3569"/>
    </row>
    <row r="128" spans="1:11" ht="21.75" customHeight="1">
      <c r="A128" s="3577" t="s">
        <v>1999</v>
      </c>
      <c r="B128" s="3577"/>
      <c r="C128" s="3577"/>
      <c r="D128" s="3577"/>
      <c r="E128" s="3577"/>
      <c r="F128" s="3577"/>
      <c r="G128" s="3577"/>
      <c r="H128" s="3577"/>
      <c r="I128" s="3577"/>
    </row>
    <row r="129" spans="1:35" ht="21.75" customHeight="1">
      <c r="A129" s="2027" t="s">
        <v>786</v>
      </c>
      <c r="B129" s="2028"/>
      <c r="C129" s="467" t="s">
        <v>147</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94" priority="10" stopIfTrue="1" operator="equal">
      <formula>25</formula>
    </cfRule>
  </conditionalFormatting>
  <conditionalFormatting sqref="C8:C9">
    <cfRule type="cellIs" dxfId="193" priority="9" stopIfTrue="1" operator="equal">
      <formula>15</formula>
    </cfRule>
  </conditionalFormatting>
  <conditionalFormatting sqref="C14:C16">
    <cfRule type="cellIs" dxfId="192" priority="8" stopIfTrue="1" operator="equal">
      <formula>30</formula>
    </cfRule>
  </conditionalFormatting>
  <conditionalFormatting sqref="D5:D7">
    <cfRule type="cellIs" dxfId="191" priority="7" stopIfTrue="1" operator="equal">
      <formula>25</formula>
    </cfRule>
  </conditionalFormatting>
  <conditionalFormatting sqref="D8:D9">
    <cfRule type="cellIs" dxfId="190" priority="6" stopIfTrue="1" operator="equal">
      <formula>15</formula>
    </cfRule>
  </conditionalFormatting>
  <conditionalFormatting sqref="C10:D13">
    <cfRule type="cellIs" dxfId="189" priority="5" stopIfTrue="1" operator="equal">
      <formula>15</formula>
    </cfRule>
  </conditionalFormatting>
  <conditionalFormatting sqref="D14:D16">
    <cfRule type="cellIs" dxfId="188" priority="4"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3154</v>
      </c>
      <c r="D1" s="1241"/>
      <c r="E1" s="1241"/>
      <c r="F1" s="2081" t="s">
        <v>2105</v>
      </c>
      <c r="G1" s="2054"/>
      <c r="H1" s="2110" t="str">
        <f>IF(G1="现房","——","估价对象范围")</f>
        <v>估价对象范围</v>
      </c>
      <c r="I1" s="2087"/>
    </row>
    <row r="2" spans="1:12" ht="21.75" customHeight="1" thickBot="1">
      <c r="A2" s="3481" t="str">
        <f>项目基本情况!S2</f>
        <v>新疆伊宁市经济合作区上海路以西山东路以南（万荣广场）房地产</v>
      </c>
      <c r="B2" s="3482"/>
      <c r="C2" s="3482"/>
      <c r="D2" s="3482"/>
      <c r="E2" s="3482"/>
      <c r="F2" s="3482"/>
      <c r="G2" s="3482"/>
      <c r="H2" s="3482"/>
      <c r="I2" s="3483"/>
    </row>
    <row r="3" spans="1:12" ht="12">
      <c r="A3" s="3484" t="s">
        <v>10</v>
      </c>
      <c r="B3" s="3485"/>
      <c r="C3" s="3485"/>
      <c r="D3" s="3485"/>
      <c r="E3" s="3485"/>
      <c r="F3" s="3485"/>
      <c r="G3" s="3485"/>
      <c r="H3" s="3485"/>
      <c r="I3" s="3485"/>
    </row>
    <row r="4" spans="1:12" ht="13.5">
      <c r="A4" s="428" t="s">
        <v>11</v>
      </c>
      <c r="B4" s="429" t="s">
        <v>12</v>
      </c>
      <c r="C4" s="430" t="s">
        <v>3124</v>
      </c>
      <c r="D4" s="430" t="s">
        <v>3206</v>
      </c>
      <c r="E4" s="3486" t="s">
        <v>759</v>
      </c>
      <c r="F4" s="3487"/>
      <c r="G4" s="3487"/>
      <c r="H4" s="3487"/>
      <c r="I4" s="3488"/>
      <c r="K4" s="2183" t="str">
        <f>IF(ISNUMBER(FIND("比较法",'结果表（办公）'!C4)),"比较法",IF(ISNUMBER(FIND("成本法",'结果表（办公）'!C4)),"成本法",IF(ISNUMBER(FIND("假设开发法",'结果表（办公）'!C4)),"假设开发法",IF(ISNUMBER(FIND("收益法",'结果表（办公）'!C4)),"收益法","基准地价系数修正法"))))</f>
        <v>比较法</v>
      </c>
      <c r="L4" s="218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76" t="s">
        <v>13</v>
      </c>
      <c r="B5" s="3477">
        <v>25</v>
      </c>
      <c r="C5" s="3478"/>
      <c r="D5" s="3480"/>
      <c r="E5" s="470" t="s">
        <v>803</v>
      </c>
      <c r="F5" s="431"/>
      <c r="G5" s="431"/>
      <c r="H5" s="431"/>
      <c r="I5" s="432"/>
    </row>
    <row r="6" spans="1:12" ht="12.75">
      <c r="A6" s="3476"/>
      <c r="B6" s="3477"/>
      <c r="C6" s="3489"/>
      <c r="D6" s="3480"/>
      <c r="E6" s="470" t="s">
        <v>804</v>
      </c>
      <c r="F6" s="431"/>
      <c r="G6" s="431"/>
      <c r="H6" s="431"/>
      <c r="I6" s="432"/>
    </row>
    <row r="7" spans="1:12" ht="12.75">
      <c r="A7" s="3476"/>
      <c r="B7" s="3477"/>
      <c r="C7" s="3479"/>
      <c r="D7" s="3480"/>
      <c r="E7" s="470" t="s">
        <v>805</v>
      </c>
      <c r="F7" s="431"/>
      <c r="G7" s="431"/>
      <c r="H7" s="431"/>
      <c r="I7" s="432"/>
    </row>
    <row r="8" spans="1:12" ht="12.75">
      <c r="A8" s="3476" t="s">
        <v>14</v>
      </c>
      <c r="B8" s="3477">
        <v>15</v>
      </c>
      <c r="C8" s="3478"/>
      <c r="D8" s="3480"/>
      <c r="E8" s="470" t="s">
        <v>806</v>
      </c>
      <c r="F8" s="431"/>
      <c r="G8" s="431"/>
      <c r="H8" s="431"/>
      <c r="I8" s="432"/>
    </row>
    <row r="9" spans="1:12" ht="12.75">
      <c r="A9" s="3476"/>
      <c r="B9" s="3477"/>
      <c r="C9" s="3479"/>
      <c r="D9" s="3480"/>
      <c r="E9" s="470" t="s">
        <v>807</v>
      </c>
      <c r="F9" s="431"/>
      <c r="G9" s="431"/>
      <c r="H9" s="431"/>
      <c r="I9" s="432"/>
    </row>
    <row r="10" spans="1:12" ht="12.75">
      <c r="A10" s="3476" t="s">
        <v>15</v>
      </c>
      <c r="B10" s="3477">
        <v>15</v>
      </c>
      <c r="C10" s="3478"/>
      <c r="D10" s="3480"/>
      <c r="E10" s="470" t="s">
        <v>808</v>
      </c>
      <c r="F10" s="431"/>
      <c r="G10" s="431"/>
      <c r="H10" s="431"/>
      <c r="I10" s="432"/>
    </row>
    <row r="11" spans="1:12" ht="12.75">
      <c r="A11" s="3476"/>
      <c r="B11" s="3477"/>
      <c r="C11" s="3479"/>
      <c r="D11" s="3480"/>
      <c r="E11" s="470" t="s">
        <v>809</v>
      </c>
      <c r="F11" s="431"/>
      <c r="G11" s="431"/>
      <c r="H11" s="431"/>
      <c r="I11" s="432"/>
    </row>
    <row r="12" spans="1:12" ht="12.75">
      <c r="A12" s="3476" t="s">
        <v>16</v>
      </c>
      <c r="B12" s="3477">
        <v>15</v>
      </c>
      <c r="C12" s="3478"/>
      <c r="D12" s="3480"/>
      <c r="E12" s="470" t="s">
        <v>810</v>
      </c>
      <c r="F12" s="431"/>
      <c r="G12" s="431"/>
      <c r="H12" s="431"/>
      <c r="I12" s="432"/>
    </row>
    <row r="13" spans="1:12" ht="12.75">
      <c r="A13" s="3476"/>
      <c r="B13" s="3477"/>
      <c r="C13" s="3479"/>
      <c r="D13" s="3480"/>
      <c r="E13" s="470" t="s">
        <v>811</v>
      </c>
      <c r="F13" s="431"/>
      <c r="G13" s="431"/>
      <c r="H13" s="431"/>
      <c r="I13" s="432"/>
    </row>
    <row r="14" spans="1:12" ht="12.75">
      <c r="A14" s="3476" t="s">
        <v>17</v>
      </c>
      <c r="B14" s="3477">
        <v>30</v>
      </c>
      <c r="C14" s="3478">
        <v>5</v>
      </c>
      <c r="D14" s="3480">
        <v>5</v>
      </c>
      <c r="E14" s="470" t="s">
        <v>812</v>
      </c>
      <c r="F14" s="431"/>
      <c r="G14" s="431"/>
      <c r="H14" s="431"/>
      <c r="I14" s="432"/>
    </row>
    <row r="15" spans="1:12" ht="12.75">
      <c r="A15" s="3476"/>
      <c r="B15" s="3477"/>
      <c r="C15" s="3489"/>
      <c r="D15" s="3480"/>
      <c r="E15" s="470" t="s">
        <v>813</v>
      </c>
      <c r="F15" s="431"/>
      <c r="G15" s="431"/>
      <c r="H15" s="431"/>
      <c r="I15" s="432"/>
    </row>
    <row r="16" spans="1:12" ht="12.75">
      <c r="A16" s="3476"/>
      <c r="B16" s="3477"/>
      <c r="C16" s="3479"/>
      <c r="D16" s="3480"/>
      <c r="E16" s="470" t="s">
        <v>814</v>
      </c>
      <c r="F16" s="431"/>
      <c r="G16" s="431"/>
      <c r="H16" s="431"/>
      <c r="I16" s="432"/>
    </row>
    <row r="17" spans="1:35" ht="14.25">
      <c r="A17" s="433" t="s">
        <v>18</v>
      </c>
      <c r="B17" s="38"/>
      <c r="C17" s="471">
        <f>SUM(C5:C16)</f>
        <v>5</v>
      </c>
      <c r="D17" s="471">
        <f>SUM(D5:D16)</f>
        <v>5</v>
      </c>
      <c r="E17" s="2276"/>
      <c r="F17" s="2276"/>
      <c r="G17" s="2276"/>
      <c r="H17" s="2276"/>
      <c r="I17" s="2276"/>
      <c r="K17" s="2183"/>
      <c r="L17" s="2184" t="s">
        <v>2313</v>
      </c>
      <c r="M17" s="2184" t="s">
        <v>2314</v>
      </c>
    </row>
    <row r="18" spans="1:35" ht="15" thickBot="1">
      <c r="A18" s="434" t="s">
        <v>19</v>
      </c>
      <c r="B18" s="18"/>
      <c r="C18" s="472">
        <f>ROUND(C17/SUM(C17:D17),2)</f>
        <v>0.5</v>
      </c>
      <c r="D18" s="472">
        <f>1-C18</f>
        <v>0.5</v>
      </c>
      <c r="E18" s="2276"/>
      <c r="F18" s="2276"/>
      <c r="G18" s="2276"/>
      <c r="H18" s="2276"/>
      <c r="I18" s="2276"/>
      <c r="K18" s="2183" t="s">
        <v>2127</v>
      </c>
      <c r="L18" s="2183">
        <f>IF(C1="",'数据-汇总表'!E3,SUMIF(项目类型,C1,'数据-汇总表'!E17:E26)+SUMIF(项目类型,C1,'数据-汇总表'!I17:I26))</f>
        <v>2035.05</v>
      </c>
      <c r="M18" s="2183">
        <f>IF(C1="",'数据-汇总表'!E3,SUMIF(项目类型,C1,'数据-汇总表'!E17:E26))</f>
        <v>2035.05</v>
      </c>
    </row>
    <row r="19" spans="1:35" ht="14.25">
      <c r="A19" s="435" t="s">
        <v>177</v>
      </c>
      <c r="B19" s="436" t="s">
        <v>20</v>
      </c>
      <c r="C19" s="473">
        <f ca="1">SUMIF(INDIRECT("'"&amp;C4&amp;"'"&amp;"!A:A"),'结果表（办公）'!B19,INDIRECT("'"&amp;C4&amp;"'"&amp;"!B:B"))</f>
        <v>1246</v>
      </c>
      <c r="D19" s="474">
        <f ca="1">SUMIF(INDIRECT("'"&amp;D4&amp;"'"&amp;"!A:A"),'结果表（办公）'!B19,INDIRECT("'"&amp;D4&amp;"'"&amp;"!B:B"))</f>
        <v>1383</v>
      </c>
      <c r="E19" s="435" t="s">
        <v>176</v>
      </c>
      <c r="F19" s="436" t="s">
        <v>20</v>
      </c>
      <c r="G19" s="475">
        <f ca="1">ROUND(C19*$C$18+D19*$D$18,0)</f>
        <v>1315</v>
      </c>
      <c r="H19" s="437" t="s">
        <v>225</v>
      </c>
      <c r="I19" s="2276"/>
      <c r="K19" s="2183" t="s">
        <v>2128</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SUMIF(INDIRECT("'"&amp;C4&amp;"'"&amp;"!A:A"),'结果表（办公）'!B20,INDIRECT("'"&amp;C4&amp;"'"&amp;"!B:B"))</f>
        <v>6124</v>
      </c>
      <c r="D20" s="477">
        <f ca="1">SUMIF(INDIRECT("'"&amp;D4&amp;"'"&amp;"!A:A"),'结果表（办公）'!B20,INDIRECT("'"&amp;D4&amp;"'"&amp;"!B:B"))</f>
        <v>6794</v>
      </c>
      <c r="E20" s="438"/>
      <c r="F20" s="439" t="s">
        <v>21</v>
      </c>
      <c r="G20" s="478">
        <f ca="1">ROUND(C20*$C$18+D20*$D$18,0)</f>
        <v>6459</v>
      </c>
      <c r="H20" s="440" t="s">
        <v>224</v>
      </c>
      <c r="I20" s="2276"/>
    </row>
    <row r="21" spans="1:35" ht="15" customHeight="1" thickBot="1">
      <c r="A21" s="442"/>
      <c r="B21" s="443" t="s">
        <v>22</v>
      </c>
      <c r="C21" s="1420" t="e">
        <f ca="1">ROUND(C19*10000/L19,0)</f>
        <v>#DIV/0!</v>
      </c>
      <c r="D21" s="1421" t="e">
        <f ca="1">ROUND(D19*10000/L19,0)</f>
        <v>#DIV/0!</v>
      </c>
      <c r="E21" s="442"/>
      <c r="F21" s="443" t="s">
        <v>22</v>
      </c>
      <c r="G21" s="479" t="e">
        <f ca="1">ROUND(G19*10000/L19,0)</f>
        <v>#DIV/0!</v>
      </c>
      <c r="H21" s="444" t="s">
        <v>224</v>
      </c>
      <c r="I21" s="2276"/>
    </row>
    <row r="22" spans="1:35" ht="15" thickBot="1">
      <c r="A22" s="275" t="s">
        <v>178</v>
      </c>
      <c r="B22" s="1422"/>
      <c r="C22" s="1423"/>
      <c r="D22" s="1424">
        <f ca="1">IF(C19&lt;D19,D19/C19-1,C19/D19-1)</f>
        <v>0.10995184590690199</v>
      </c>
      <c r="E22" s="2276"/>
      <c r="F22" s="2276"/>
      <c r="G22" s="2276"/>
      <c r="H22" s="2276"/>
      <c r="I22" s="2276"/>
    </row>
    <row r="23" spans="1:35" ht="12.75" thickBot="1">
      <c r="A23" s="1241"/>
      <c r="B23" s="1241"/>
      <c r="C23" s="1241"/>
      <c r="D23" s="1241"/>
      <c r="E23" s="2276"/>
      <c r="F23" s="2276"/>
      <c r="G23" s="2276"/>
      <c r="H23" s="2276"/>
      <c r="I23" s="2276"/>
    </row>
    <row r="24" spans="1:35" ht="14.25">
      <c r="A24" s="3490" t="s">
        <v>174</v>
      </c>
      <c r="B24" s="436" t="s">
        <v>20</v>
      </c>
      <c r="C24" s="475">
        <f>IF(B30=0,0,D30)</f>
        <v>0</v>
      </c>
      <c r="D24" s="445"/>
      <c r="E24" s="2276"/>
      <c r="F24" s="2276"/>
      <c r="G24" s="2276"/>
      <c r="H24" s="2276"/>
      <c r="I24" s="2276"/>
    </row>
    <row r="25" spans="1:35" ht="14.25">
      <c r="A25" s="3491"/>
      <c r="B25" s="439" t="s">
        <v>21</v>
      </c>
      <c r="C25" s="480">
        <f>IF(B30=0,0,C30)</f>
        <v>0</v>
      </c>
      <c r="D25" s="446"/>
      <c r="E25" s="2276"/>
      <c r="F25" s="2276"/>
      <c r="G25" s="2276"/>
      <c r="H25" s="2276"/>
      <c r="I25" s="2276"/>
    </row>
    <row r="26" spans="1:35" ht="13.5" customHeight="1">
      <c r="A26" s="447" t="s">
        <v>175</v>
      </c>
      <c r="B26" s="448" t="s">
        <v>117</v>
      </c>
      <c r="C26" s="448" t="s">
        <v>118</v>
      </c>
      <c r="D26" s="449" t="s">
        <v>119</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173</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1315</v>
      </c>
      <c r="D32" s="2091" t="s">
        <v>207</v>
      </c>
      <c r="E32" s="2276"/>
      <c r="F32" s="2276"/>
      <c r="G32" s="2276"/>
      <c r="H32" s="2276"/>
      <c r="I32" s="2276"/>
    </row>
    <row r="33" spans="1:15" ht="13.5">
      <c r="A33" s="456" t="s">
        <v>760</v>
      </c>
      <c r="B33" s="2090"/>
      <c r="C33" s="2875"/>
      <c r="D33" s="2878"/>
      <c r="E33" s="2088" t="s">
        <v>2107</v>
      </c>
      <c r="F33" s="2089" t="str">
        <f>IF(D32="楼面单价","取值（单价）","取值（总价）")</f>
        <v>取值（总价）</v>
      </c>
      <c r="G33" s="2276"/>
      <c r="H33" s="2276"/>
      <c r="I33" s="2276"/>
    </row>
    <row r="34" spans="1:15" ht="15">
      <c r="A34" s="457"/>
      <c r="B34" s="458" t="s">
        <v>763</v>
      </c>
      <c r="C34" s="488" t="e">
        <f ca="1">IF(C33="自定义",F34,C32-C35)</f>
        <v>#REF!</v>
      </c>
      <c r="D34" s="2092" t="e">
        <f ca="1">IF(C33="自定义",ROUND(C34/C32,3),IF(C33="收益比率",SUMIF(INDIRECT("'"&amp;D33&amp;"'"&amp;"!b:b"),"土地收益比率",INDIRECT("'"&amp;D33&amp;"'"&amp;"!c:c")),SUMIF(INDIRECT("'"&amp;D33&amp;"'"&amp;"!b:b"),"土地成本比率",INDIRECT("'"&amp;D33&amp;"'"&amp;"!c:c"))))</f>
        <v>#REF!</v>
      </c>
      <c r="E34" s="2876" t="s">
        <v>2108</v>
      </c>
      <c r="F34" s="3252"/>
      <c r="G34" s="2276"/>
      <c r="H34" s="2276"/>
      <c r="I34" s="2276"/>
    </row>
    <row r="35" spans="1:15" ht="15.75" thickBot="1">
      <c r="A35" s="460"/>
      <c r="B35" s="2879" t="s">
        <v>765</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2109</v>
      </c>
      <c r="F35" s="494"/>
      <c r="G35" s="2276"/>
      <c r="H35" s="2276"/>
      <c r="I35" s="2276"/>
    </row>
    <row r="36" spans="1:15" ht="15.75" thickBot="1">
      <c r="A36" s="3492" t="s">
        <v>761</v>
      </c>
      <c r="B36" s="454" t="s">
        <v>762</v>
      </c>
      <c r="C36" s="485"/>
      <c r="D36" s="455"/>
      <c r="E36" s="1244"/>
      <c r="F36" s="2277"/>
      <c r="G36" s="2276"/>
      <c r="H36" s="2276"/>
      <c r="I36" s="2276"/>
    </row>
    <row r="37" spans="1:15" ht="15.75" thickBot="1">
      <c r="A37" s="3493"/>
      <c r="B37" s="13" t="s">
        <v>764</v>
      </c>
      <c r="C37" s="487"/>
      <c r="D37" s="2225"/>
      <c r="E37" s="2225"/>
      <c r="F37" s="2277"/>
      <c r="G37" s="2276"/>
      <c r="H37" s="2276"/>
      <c r="I37" s="2276"/>
    </row>
    <row r="38" spans="1:15" ht="15.75" thickBot="1">
      <c r="A38" s="3494"/>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9" t="s">
        <v>211</v>
      </c>
      <c r="K44" s="3270"/>
      <c r="L44" s="3270"/>
      <c r="M44" s="3270"/>
      <c r="N44" s="3270"/>
      <c r="O44" s="3270"/>
    </row>
    <row r="45" spans="1:15" ht="14.25" customHeight="1" thickBot="1">
      <c r="A45" s="3495" t="s">
        <v>795</v>
      </c>
      <c r="B45" s="3496"/>
      <c r="C45" s="3497"/>
      <c r="D45" s="495">
        <f ca="1">ROUND(H101*F45,0)</f>
        <v>1315</v>
      </c>
      <c r="E45" s="496" t="s">
        <v>796</v>
      </c>
      <c r="F45" s="497">
        <v>1</v>
      </c>
      <c r="G45" s="498" t="s">
        <v>797</v>
      </c>
      <c r="H45" s="2276"/>
      <c r="I45" s="2276"/>
      <c r="J45" s="3498" t="s">
        <v>212</v>
      </c>
      <c r="K45" s="3498"/>
      <c r="L45" s="3498"/>
      <c r="M45" s="3498"/>
      <c r="N45" s="3498"/>
      <c r="O45" s="3498"/>
    </row>
    <row r="46" spans="1:15" ht="14.25" customHeight="1">
      <c r="A46" s="3499" t="s">
        <v>284</v>
      </c>
      <c r="B46" s="3500"/>
      <c r="C46" s="3500"/>
      <c r="D46" s="3500"/>
      <c r="E46" s="3500"/>
      <c r="F46" s="3500"/>
      <c r="G46" s="3501"/>
      <c r="H46" s="2278"/>
      <c r="I46" s="2231"/>
      <c r="J46" s="1499">
        <v>1</v>
      </c>
      <c r="K46" s="3498" t="s">
        <v>213</v>
      </c>
      <c r="L46" s="3498"/>
      <c r="M46" s="3502"/>
      <c r="N46" s="3502"/>
      <c r="O46" s="3502"/>
    </row>
    <row r="47" spans="1:15" ht="12" customHeight="1">
      <c r="A47" s="500" t="s">
        <v>285</v>
      </c>
      <c r="B47" s="501"/>
      <c r="C47" s="502"/>
      <c r="D47" s="503" t="s">
        <v>286</v>
      </c>
      <c r="E47" s="313" t="s">
        <v>287</v>
      </c>
      <c r="F47" s="504" t="s">
        <v>798</v>
      </c>
      <c r="G47" s="505" t="s">
        <v>799</v>
      </c>
      <c r="H47" s="2278"/>
      <c r="I47" s="2231"/>
      <c r="J47" s="1499">
        <v>2</v>
      </c>
      <c r="K47" s="3498" t="s">
        <v>214</v>
      </c>
      <c r="L47" s="3498"/>
      <c r="M47" s="3503">
        <f>'数据-取费表'!B2</f>
        <v>43003</v>
      </c>
      <c r="N47" s="3503"/>
      <c r="O47" s="3503"/>
    </row>
    <row r="48" spans="1:15" ht="25.5">
      <c r="A48" s="3504" t="s">
        <v>288</v>
      </c>
      <c r="B48" s="3505"/>
      <c r="C48" s="3505"/>
      <c r="D48" s="470">
        <f>IF(H48="情况1",0,IF(H48="情况2",D52,IF(H48="情况3",D53,IF(H48="情况4",D54))))</f>
        <v>0</v>
      </c>
      <c r="E48" s="1923" t="str">
        <f>IF(H48="情况4","(销售额-原购置价)×税（费）率","销售额×税（费）率")</f>
        <v>销售额×税（费）率</v>
      </c>
      <c r="F48" s="506" t="str">
        <f>IF(H48="情况1","免征",'数据-取费表'!B41)</f>
        <v>免征</v>
      </c>
      <c r="G48" s="464" t="s">
        <v>776</v>
      </c>
      <c r="H48" s="1430" t="s">
        <v>2410</v>
      </c>
      <c r="I48" s="2278"/>
      <c r="J48" s="1499">
        <v>3</v>
      </c>
      <c r="K48" s="3498" t="s">
        <v>777</v>
      </c>
      <c r="L48" s="3498"/>
      <c r="M48" s="3506">
        <f ca="1">H101</f>
        <v>1315</v>
      </c>
      <c r="N48" s="3506"/>
      <c r="O48" s="3506"/>
    </row>
    <row r="49" spans="1:35" ht="25.5" customHeight="1">
      <c r="A49" s="507" t="s">
        <v>800</v>
      </c>
      <c r="B49" s="3507" t="s">
        <v>801</v>
      </c>
      <c r="C49" s="3507"/>
      <c r="D49" s="508">
        <v>0</v>
      </c>
      <c r="E49" s="312" t="s">
        <v>802</v>
      </c>
      <c r="F49" s="317" t="s">
        <v>168</v>
      </c>
      <c r="G49" s="3508"/>
      <c r="H49" s="2276"/>
      <c r="I49" s="2279"/>
      <c r="J49" s="1499">
        <v>4</v>
      </c>
      <c r="K49" s="3498" t="str">
        <f>IF(项目基本情况!E8="房地产抵押价值","房地产抵押价值","抵押担保权已注销时的房地产抵押价值")</f>
        <v>房地产抵押价值</v>
      </c>
      <c r="L49" s="3498"/>
      <c r="M49" s="3506">
        <f ca="1">IF(项目基本情况!E8="房地产抵押价值",H107,H109)</f>
        <v>1315</v>
      </c>
      <c r="N49" s="3506"/>
      <c r="O49" s="3506"/>
    </row>
    <row r="50" spans="1:35" ht="25.5" customHeight="1">
      <c r="A50" s="509"/>
      <c r="B50" s="3507" t="s">
        <v>291</v>
      </c>
      <c r="C50" s="3507"/>
      <c r="D50" s="510"/>
      <c r="E50" s="320"/>
      <c r="F50" s="511"/>
      <c r="G50" s="3509"/>
      <c r="H50" s="2276"/>
      <c r="I50" s="2279"/>
      <c r="J50" s="3498" t="s">
        <v>215</v>
      </c>
      <c r="K50" s="3498"/>
      <c r="L50" s="3498"/>
      <c r="M50" s="3498"/>
      <c r="N50" s="3498"/>
      <c r="O50" s="3498"/>
    </row>
    <row r="51" spans="1:35" ht="12" customHeight="1">
      <c r="A51" s="512"/>
      <c r="B51" s="3507" t="s">
        <v>292</v>
      </c>
      <c r="C51" s="3507"/>
      <c r="D51" s="513"/>
      <c r="E51" s="319"/>
      <c r="F51" s="511"/>
      <c r="G51" s="3510"/>
      <c r="H51" s="2276"/>
      <c r="I51" s="2279"/>
      <c r="J51" s="3271" t="s">
        <v>216</v>
      </c>
      <c r="K51" s="3498" t="s">
        <v>217</v>
      </c>
      <c r="L51" s="3498"/>
      <c r="M51" s="3271" t="s">
        <v>2997</v>
      </c>
      <c r="N51" s="3271" t="s">
        <v>218</v>
      </c>
      <c r="O51" s="3271" t="s">
        <v>219</v>
      </c>
    </row>
    <row r="52" spans="1:35" ht="24" customHeight="1">
      <c r="A52" s="514" t="s">
        <v>293</v>
      </c>
      <c r="B52" s="3507" t="s">
        <v>294</v>
      </c>
      <c r="C52" s="3507"/>
      <c r="D52" s="513">
        <f ca="1">ROUND(D45*'数据-取费表'!B41/(1+'数据-取费表'!C42),0)</f>
        <v>70</v>
      </c>
      <c r="E52" s="299" t="s">
        <v>295</v>
      </c>
      <c r="F52" s="515">
        <f>'数据-取费表'!B41</f>
        <v>5.6000000000000001E-2</v>
      </c>
      <c r="G52" s="465"/>
      <c r="H52" s="2276"/>
      <c r="I52" s="2279"/>
      <c r="J52" s="1499">
        <v>1</v>
      </c>
      <c r="K52" s="3513" t="s">
        <v>778</v>
      </c>
      <c r="L52" s="3513"/>
      <c r="M52" s="3272">
        <f>D48</f>
        <v>0</v>
      </c>
      <c r="N52" s="1498" t="str">
        <f>E48</f>
        <v>销售额×税（费）率</v>
      </c>
      <c r="O52" s="3273" t="str">
        <f>F48</f>
        <v>免征</v>
      </c>
    </row>
    <row r="53" spans="1:35" ht="12" customHeight="1">
      <c r="A53" s="514" t="s">
        <v>296</v>
      </c>
      <c r="B53" s="3511" t="s">
        <v>297</v>
      </c>
      <c r="C53" s="3512"/>
      <c r="D53" s="513">
        <f ca="1">ROUND(D45*'数据-取费表'!B41/(1+'数据-取费表'!C42),0)</f>
        <v>70</v>
      </c>
      <c r="E53" s="299" t="s">
        <v>295</v>
      </c>
      <c r="F53" s="515">
        <f>'数据-取费表'!B41</f>
        <v>5.6000000000000001E-2</v>
      </c>
      <c r="G53" s="465"/>
      <c r="H53" s="2276"/>
      <c r="I53" s="2279"/>
      <c r="J53" s="1499">
        <v>2</v>
      </c>
      <c r="K53" s="3513" t="s">
        <v>779</v>
      </c>
      <c r="L53" s="3513"/>
      <c r="M53" s="3272">
        <f t="shared" ref="M53:O54" ca="1" si="0">D55</f>
        <v>1</v>
      </c>
      <c r="N53" s="1498" t="str">
        <f t="shared" si="0"/>
        <v>销售额×税（费）率</v>
      </c>
      <c r="O53" s="3273">
        <f t="shared" si="0"/>
        <v>5.0000000000000001E-4</v>
      </c>
    </row>
    <row r="54" spans="1:35" ht="12" customHeight="1">
      <c r="A54" s="514" t="s">
        <v>298</v>
      </c>
      <c r="B54" s="3511" t="s">
        <v>299</v>
      </c>
      <c r="C54" s="3512"/>
      <c r="D54" s="513">
        <f ca="1">C68</f>
        <v>70</v>
      </c>
      <c r="E54" s="319" t="s">
        <v>300</v>
      </c>
      <c r="F54" s="515">
        <f>'数据-取费表'!B41</f>
        <v>5.6000000000000001E-2</v>
      </c>
      <c r="G54" s="465"/>
      <c r="H54" s="2280"/>
      <c r="I54" s="2279"/>
      <c r="J54" s="1499">
        <v>3</v>
      </c>
      <c r="K54" s="3513" t="s">
        <v>780</v>
      </c>
      <c r="L54" s="3513"/>
      <c r="M54" s="3272">
        <f t="shared" ca="1" si="0"/>
        <v>744</v>
      </c>
      <c r="N54" s="1498" t="str">
        <f t="shared" si="0"/>
        <v>增值额×税（费）率</v>
      </c>
      <c r="O54" s="3274" t="str">
        <f t="shared" si="0"/>
        <v>——</v>
      </c>
    </row>
    <row r="55" spans="1:35" ht="24" customHeight="1">
      <c r="A55" s="3514" t="s">
        <v>301</v>
      </c>
      <c r="B55" s="3505"/>
      <c r="C55" s="3505"/>
      <c r="D55" s="516">
        <f ca="1">IF(H55="个人住宅",0,ROUND(D45*I55,0))</f>
        <v>1</v>
      </c>
      <c r="E55" s="299" t="s">
        <v>302</v>
      </c>
      <c r="F55" s="515">
        <f>IF(H55="正常",I55,"免征")</f>
        <v>5.0000000000000001E-4</v>
      </c>
      <c r="G55" s="465"/>
      <c r="H55" s="1430" t="s">
        <v>152</v>
      </c>
      <c r="I55" s="517">
        <f>'数据-取费表'!B49</f>
        <v>5.0000000000000001E-4</v>
      </c>
      <c r="J55" s="1499" t="str">
        <f>IF(H59="非个人房产","",4)</f>
        <v/>
      </c>
      <c r="K55" s="3513" t="str">
        <f>IF(H59="非个人房产","——","个人所得税")</f>
        <v>——</v>
      </c>
      <c r="L55" s="3513"/>
      <c r="M55" s="3275" t="str">
        <f>D59</f>
        <v>——</v>
      </c>
      <c r="N55" s="3276" t="str">
        <f>E59</f>
        <v>——</v>
      </c>
      <c r="O55" s="3277" t="str">
        <f>F59</f>
        <v>——</v>
      </c>
    </row>
    <row r="56" spans="1:35" ht="24.75">
      <c r="A56" s="3514" t="s">
        <v>303</v>
      </c>
      <c r="B56" s="3505"/>
      <c r="C56" s="3505"/>
      <c r="D56" s="516">
        <f ca="1">IF(H56="个人住宅",D57,D58)</f>
        <v>744</v>
      </c>
      <c r="E56" s="299" t="s">
        <v>304</v>
      </c>
      <c r="F56" s="515" t="str">
        <f>IF(H56="正常",F58,"免征")</f>
        <v>——</v>
      </c>
      <c r="G56" s="1254" t="s">
        <v>781</v>
      </c>
      <c r="H56" s="1429" t="s">
        <v>152</v>
      </c>
      <c r="I56" s="2281"/>
      <c r="J56" s="1499" t="str">
        <f>IF(项目基本情况!K6="上海银行",IF(J55="",4,J55+1),"")</f>
        <v/>
      </c>
      <c r="K56" s="3515" t="str">
        <f>IF(项目基本情况!K6="上海银行","其他处置费用","")</f>
        <v/>
      </c>
      <c r="L56" s="3516"/>
      <c r="M56" s="3272" t="str">
        <f>IF(项目基本情况!K6="上海银行",M69,"")</f>
        <v/>
      </c>
      <c r="N56" s="3523" t="str">
        <f>IF(项目基本情况!K6="上海银行","包含处置中涉及的律师、诉讼、拍卖、评估等费用","")</f>
        <v/>
      </c>
      <c r="O56" s="3524"/>
    </row>
    <row r="57" spans="1:35" ht="12.75">
      <c r="A57" s="514" t="s">
        <v>289</v>
      </c>
      <c r="B57" s="3525" t="s">
        <v>305</v>
      </c>
      <c r="C57" s="3526"/>
      <c r="D57" s="518">
        <v>0</v>
      </c>
      <c r="E57" s="312" t="s">
        <v>290</v>
      </c>
      <c r="F57" s="486"/>
      <c r="G57" s="465"/>
      <c r="H57" s="2281"/>
      <c r="I57" s="2281"/>
      <c r="J57" s="3527">
        <f>IF(AND(J55="",J56=""),4,IF(项目基本情况!K6="上海银行",'结果表（办公）'!J56+1,'结果表（办公）'!J55+1))</f>
        <v>4</v>
      </c>
      <c r="K57" s="3513" t="s">
        <v>782</v>
      </c>
      <c r="L57" s="3278" t="s">
        <v>220</v>
      </c>
      <c r="M57" s="3279"/>
      <c r="N57" s="3280">
        <f ca="1">SUMIF(M52:M56,"&lt;9e307")</f>
        <v>745</v>
      </c>
      <c r="O57" s="3281"/>
      <c r="P57" s="3268">
        <f ca="1">N57/M49</f>
        <v>0.56653992395437258</v>
      </c>
    </row>
    <row r="58" spans="1:35" ht="24.75">
      <c r="A58" s="514" t="s">
        <v>293</v>
      </c>
      <c r="B58" s="3525" t="s">
        <v>306</v>
      </c>
      <c r="C58" s="3528"/>
      <c r="D58" s="516">
        <f ca="1">IF(H58="转让取得",C81,C97)</f>
        <v>744</v>
      </c>
      <c r="E58" s="299" t="s">
        <v>304</v>
      </c>
      <c r="F58" s="313" t="s">
        <v>168</v>
      </c>
      <c r="G58" s="465"/>
      <c r="H58" s="1429" t="s">
        <v>1127</v>
      </c>
      <c r="I58" s="2281"/>
      <c r="J58" s="3527"/>
      <c r="K58" s="3513"/>
      <c r="L58" s="3278" t="s">
        <v>221</v>
      </c>
      <c r="M58" s="3282"/>
      <c r="N58" s="3283" t="str">
        <f ca="1">NUMBERSTRING(INT(N57*10000),2)&amp;"元整"</f>
        <v>柒佰肆拾伍万元整</v>
      </c>
      <c r="O58" s="3284"/>
    </row>
    <row r="59" spans="1:35" ht="24.75" thickBot="1">
      <c r="A59" s="3529" t="s">
        <v>307</v>
      </c>
      <c r="B59" s="3530"/>
      <c r="C59" s="3530"/>
      <c r="D59" s="519" t="str">
        <f>IF(H59="非个人房产","——",IF(H59="个人住宅",0,ROUND(D45*I59,0)))</f>
        <v>——</v>
      </c>
      <c r="E59" s="520" t="str">
        <f>IF(H59="非个人房产","——","销售额×税（费）率")</f>
        <v>——</v>
      </c>
      <c r="F59" s="521" t="str">
        <f>IF(H59="非个人房产","——",IF(H59="个人住宅","免征",I59))</f>
        <v>——</v>
      </c>
      <c r="G59" s="1255" t="s">
        <v>167</v>
      </c>
      <c r="H59" s="1429" t="s">
        <v>1126</v>
      </c>
      <c r="I59" s="522">
        <v>0.01</v>
      </c>
      <c r="J59" s="3531">
        <f>J57+1</f>
        <v>5</v>
      </c>
      <c r="K59" s="3513" t="s">
        <v>169</v>
      </c>
      <c r="L59" s="1498" t="s">
        <v>220</v>
      </c>
      <c r="M59" s="3285"/>
      <c r="N59" s="3286">
        <f ca="1">M49-N57</f>
        <v>570</v>
      </c>
      <c r="O59" s="3287"/>
    </row>
    <row r="60" spans="1:35" ht="12" customHeight="1">
      <c r="A60" s="1256"/>
      <c r="B60" s="1241"/>
      <c r="C60" s="1241"/>
      <c r="D60" s="1241"/>
      <c r="E60" s="229"/>
      <c r="F60" s="2281"/>
      <c r="G60" s="2281"/>
      <c r="H60" s="2282"/>
      <c r="I60" s="2276"/>
      <c r="J60" s="3532"/>
      <c r="K60" s="3513"/>
      <c r="L60" s="3278" t="s">
        <v>221</v>
      </c>
      <c r="M60" s="3282"/>
      <c r="N60" s="3283" t="str">
        <f ca="1">NUMBERSTRING(INT(N59*10000),2)&amp;"元整"</f>
        <v>伍佰柒拾万元整</v>
      </c>
      <c r="O60" s="3284"/>
    </row>
    <row r="61" spans="1:35" ht="13.5" thickBot="1">
      <c r="A61" s="3517" t="s">
        <v>308</v>
      </c>
      <c r="B61" s="3517"/>
      <c r="C61" s="3517"/>
      <c r="D61" s="3517"/>
      <c r="E61" s="3517"/>
      <c r="F61" s="2281"/>
      <c r="G61" s="2281"/>
      <c r="H61" s="2282"/>
      <c r="I61" s="2276"/>
      <c r="J61" s="1499">
        <f>J59+1</f>
        <v>6</v>
      </c>
      <c r="K61" s="3513" t="s">
        <v>222</v>
      </c>
      <c r="L61" s="3513"/>
      <c r="M61" s="3288"/>
      <c r="N61" s="3289">
        <f ca="1">ROUND(N59*10000/'数据-汇总表'!E3,0)</f>
        <v>1700</v>
      </c>
      <c r="O61" s="3290"/>
    </row>
    <row r="62" spans="1:35" ht="12.75">
      <c r="A62" s="3518" t="s">
        <v>309</v>
      </c>
      <c r="B62" s="3519"/>
      <c r="C62" s="1917"/>
      <c r="D62" s="1917" t="s">
        <v>317</v>
      </c>
      <c r="E62" s="523" t="s">
        <v>318</v>
      </c>
      <c r="F62" s="2281"/>
      <c r="G62" s="2281"/>
      <c r="H62" s="2282"/>
      <c r="I62" s="2276"/>
    </row>
    <row r="63" spans="1:35" ht="12.75">
      <c r="A63" s="534" t="s">
        <v>1889</v>
      </c>
      <c r="B63" s="524" t="s">
        <v>310</v>
      </c>
      <c r="C63" s="525">
        <f ca="1">ROUND((C64+C65)/(1+'数据-取费表'!C42),0)</f>
        <v>1252</v>
      </c>
      <c r="D63" s="526"/>
      <c r="E63" s="527"/>
      <c r="F63" s="2281"/>
      <c r="G63" s="2281"/>
      <c r="H63" s="2282"/>
      <c r="I63" s="2276"/>
      <c r="J63" s="3520" t="s">
        <v>2990</v>
      </c>
      <c r="K63" s="3267" t="s">
        <v>2991</v>
      </c>
      <c r="L63" s="3265">
        <f ca="1">IF(M49&gt;10000,M49*0.5%,IF(AND(M49&gt;1000,M49&lt;=10000),M49*1%,IF(AND(M49&gt;100,M49&lt;=1000),M49*3%,IF(AND(M49&gt;10,M49&lt;=100),M49*5%,M49*8%))))</f>
        <v>13.15</v>
      </c>
      <c r="M63" s="313">
        <f ca="1">ROUND(L63,1)</f>
        <v>13.2</v>
      </c>
      <c r="Z63" s="1432"/>
      <c r="AI63" s="1242"/>
    </row>
    <row r="64" spans="1:35" ht="14.25" customHeight="1">
      <c r="A64" s="528" t="s">
        <v>1884</v>
      </c>
      <c r="B64" s="529" t="s">
        <v>311</v>
      </c>
      <c r="C64" s="530">
        <f ca="1">D45</f>
        <v>1315</v>
      </c>
      <c r="D64" s="531" t="s">
        <v>164</v>
      </c>
      <c r="E64" s="532"/>
      <c r="F64" s="2281"/>
      <c r="G64" s="2281"/>
      <c r="H64" s="2282"/>
      <c r="I64" s="2276"/>
      <c r="J64" s="3520"/>
      <c r="K64" s="3267" t="s">
        <v>2992</v>
      </c>
      <c r="L64" s="3265">
        <f ca="1">IF(M49&gt;2000,M49*0.5%,IF(AND(M49&gt;1000,M49&lt;=2000),M49*0.6%,IF(AND(M49&gt;500,M49&lt;=1000),M49*0.7%,IF(AND(M49&gt;200,M49&lt;=500),M49*0.8%,IF(AND(M49&gt;100,M49&lt;=200),M49*0.9%,IF(AND(M49&gt;50,M49&lt;=100),M49*1%,IF(AND(M49&gt;20,M49&lt;=50),M49*1.5%,IF(AND(M49&gt;10,M49&lt;=20),M49*2%,IF(AND(M49&gt;1,M49&lt;=10),M49*2.5%)))))))))</f>
        <v>7.8900000000000006</v>
      </c>
      <c r="M64" s="313">
        <f t="shared" ref="M64:M65" ca="1" si="1">ROUND(L64,1)</f>
        <v>7.9</v>
      </c>
      <c r="N64" s="468" t="s">
        <v>2998</v>
      </c>
      <c r="Z64" s="1432"/>
      <c r="AI64" s="1242"/>
    </row>
    <row r="65" spans="1:35" ht="14.25" customHeight="1">
      <c r="A65" s="528" t="s">
        <v>1885</v>
      </c>
      <c r="B65" s="529" t="s">
        <v>312</v>
      </c>
      <c r="C65" s="533"/>
      <c r="D65" s="531"/>
      <c r="E65" s="532"/>
      <c r="F65" s="2281"/>
      <c r="G65" s="2281"/>
      <c r="H65" s="2282"/>
      <c r="I65" s="2276"/>
      <c r="J65" s="3520"/>
      <c r="K65" s="3267" t="s">
        <v>2993</v>
      </c>
      <c r="L65" s="3265">
        <f ca="1">IF(M49&gt;1000,M49*0.1%,IF(AND(M49&gt;500,M49&lt;=1000),M49*0.5%,IF(AND(M49&gt;50,M49&lt;=500),M49*1%,IF(AND(M49&gt;1,M49&lt;=50),M49*1.5%))))</f>
        <v>1.3149999999999999</v>
      </c>
      <c r="M65" s="313">
        <f t="shared" ca="1" si="1"/>
        <v>1.3</v>
      </c>
      <c r="N65" s="468" t="s">
        <v>2999</v>
      </c>
      <c r="Z65" s="1432"/>
      <c r="AI65" s="1242"/>
    </row>
    <row r="66" spans="1:35" ht="14.25" customHeight="1">
      <c r="A66" s="534" t="s">
        <v>1886</v>
      </c>
      <c r="B66" s="535" t="s">
        <v>313</v>
      </c>
      <c r="C66" s="536"/>
      <c r="D66" s="537" t="s">
        <v>164</v>
      </c>
      <c r="E66" s="3318" t="s">
        <v>3036</v>
      </c>
      <c r="F66" s="2281"/>
      <c r="G66" s="2281"/>
      <c r="H66" s="2282"/>
      <c r="I66" s="2276"/>
      <c r="J66" s="3520"/>
      <c r="K66" s="3267" t="s">
        <v>2994</v>
      </c>
      <c r="L66" s="3265">
        <f ca="1">M49*0.5%</f>
        <v>6.5750000000000002</v>
      </c>
      <c r="M66" s="313">
        <f ca="1">IF(L66&gt;0.5,0.5,ROUND(L66,0))</f>
        <v>0.5</v>
      </c>
      <c r="N66" s="468" t="s">
        <v>3000</v>
      </c>
      <c r="Z66" s="1432"/>
      <c r="AI66" s="1242"/>
    </row>
    <row r="67" spans="1:35" ht="14.25" customHeight="1">
      <c r="A67" s="534" t="s">
        <v>1887</v>
      </c>
      <c r="B67" s="535" t="s">
        <v>314</v>
      </c>
      <c r="C67" s="538">
        <f ca="1">C63-C66</f>
        <v>1252</v>
      </c>
      <c r="D67" s="531" t="s">
        <v>164</v>
      </c>
      <c r="E67" s="532"/>
      <c r="F67" s="2281"/>
      <c r="G67" s="2281"/>
      <c r="H67" s="2282"/>
      <c r="I67" s="2276"/>
      <c r="J67" s="3520"/>
      <c r="K67" s="3267" t="s">
        <v>2995</v>
      </c>
      <c r="L67" s="3265">
        <f ca="1">IF(M49&gt;=10000,(8.25+(M49-10000)*0.01%),IF(AND(M49&gt;=8000,M49&lt;10000),(7.85+(M49-8000)*0.02%),IF(AND(M49&gt;=5000,M49&lt;8000),(6.65+(M49-5000)*0.04%),IF(AND(M49&gt;=2000,M49&lt;5000),(4.25+(PM49-2000)*0.08%),IF(AND(M49&gt;=1000,M49&lt;2000),(2.75+(M49-1000)*0.15%),IF(AND(M49&gt;=100,M49&lt;1000),(0.5+(M49-100)*0.25%),IF(AND(M49&gt;0,M49&lt;100),M49*0.5%)))))))</f>
        <v>3.2225000000000001</v>
      </c>
      <c r="M67" s="313">
        <f ca="1">ROUND(L67*0.9,1)</f>
        <v>2.9</v>
      </c>
      <c r="Z67" s="1432"/>
      <c r="AI67" s="1242"/>
    </row>
    <row r="68" spans="1:35" ht="14.25" customHeight="1" thickBot="1">
      <c r="A68" s="539" t="s">
        <v>1888</v>
      </c>
      <c r="B68" s="540" t="s">
        <v>315</v>
      </c>
      <c r="C68" s="541">
        <f ca="1">IF(C67&lt;=0,0,ROUND(C67*D68,0))</f>
        <v>70</v>
      </c>
      <c r="D68" s="542">
        <f>'数据-取费表'!B41</f>
        <v>5.6000000000000001E-2</v>
      </c>
      <c r="E68" s="543"/>
      <c r="F68" s="2281"/>
      <c r="G68" s="2281"/>
      <c r="H68" s="2282"/>
      <c r="I68" s="2276"/>
      <c r="J68" s="3520"/>
      <c r="K68" s="3267" t="s">
        <v>2996</v>
      </c>
      <c r="L68" s="3265">
        <f ca="1">IF(M49&gt;10000,M49*0.5%,IF(AND(M49&gt;5000,M49&lt;=10000),M49*1%,IF(AND(M49&gt;1000,M49&lt;=5000),M49*2%,IF(AND(M49&gt;200,M49&lt;=1000),M49*3%,M49*5%))))</f>
        <v>26.3</v>
      </c>
      <c r="M68" s="313">
        <f ca="1">ROUND(L68,1)</f>
        <v>26.3</v>
      </c>
      <c r="Z68" s="1432"/>
      <c r="AI68" s="1242"/>
    </row>
    <row r="69" spans="1:35" s="1243" customFormat="1" ht="16.5" customHeight="1">
      <c r="A69" s="1257"/>
      <c r="B69" s="1258"/>
      <c r="C69" s="1259"/>
      <c r="D69" s="1260"/>
      <c r="E69" s="1261"/>
      <c r="F69" s="229"/>
      <c r="G69" s="229"/>
      <c r="H69" s="241"/>
      <c r="I69" s="1241"/>
      <c r="J69" s="3520"/>
      <c r="K69" s="3267" t="s">
        <v>184</v>
      </c>
      <c r="L69" s="3266"/>
      <c r="M69" s="313">
        <f ca="1">ROUND(SUM(M63:M68),0)</f>
        <v>52</v>
      </c>
      <c r="N69" s="3268">
        <f ca="1">M69/M49</f>
        <v>3.9543726235741442E-2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1" t="s">
        <v>316</v>
      </c>
      <c r="B70" s="3522"/>
      <c r="C70" s="3522"/>
      <c r="D70" s="3522"/>
      <c r="E70" s="3522"/>
      <c r="F70" s="3522"/>
      <c r="G70" s="3522"/>
      <c r="H70" s="3522"/>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18" t="s">
        <v>309</v>
      </c>
      <c r="B71" s="3519"/>
      <c r="C71" s="1917"/>
      <c r="D71" s="1917" t="s">
        <v>317</v>
      </c>
      <c r="E71" s="544" t="s">
        <v>318</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1889</v>
      </c>
      <c r="B72" s="535" t="s">
        <v>319</v>
      </c>
      <c r="C72" s="538">
        <f ca="1">ROUND(D45/(1+'数据-取费表'!C42),0)</f>
        <v>1252</v>
      </c>
      <c r="D72" s="531" t="s">
        <v>164</v>
      </c>
      <c r="E72" s="1920"/>
      <c r="F72" s="1921"/>
      <c r="G72" s="1921"/>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1886</v>
      </c>
      <c r="B73" s="504" t="s">
        <v>320</v>
      </c>
      <c r="C73" s="538">
        <f ca="1">C74+C78</f>
        <v>8</v>
      </c>
      <c r="D73" s="531" t="s">
        <v>164</v>
      </c>
      <c r="E73" s="1920"/>
      <c r="F73" s="1921"/>
      <c r="G73" s="1921"/>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1890</v>
      </c>
      <c r="B74" s="529" t="s">
        <v>321</v>
      </c>
      <c r="C74" s="531">
        <f>ROUND(IF(G77="2016年5月1日后购买",C75/(1+'数据-取费表'!C42)+C76+C77,C75+C76+C77),0)</f>
        <v>0</v>
      </c>
      <c r="D74" s="531" t="s">
        <v>164</v>
      </c>
      <c r="E74" s="1920"/>
      <c r="F74" s="1921"/>
      <c r="G74" s="1921"/>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1891</v>
      </c>
      <c r="B75" s="529" t="s">
        <v>322</v>
      </c>
      <c r="C75" s="549"/>
      <c r="D75" s="531" t="s">
        <v>164</v>
      </c>
      <c r="E75" s="550" t="s">
        <v>323</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1893</v>
      </c>
      <c r="B76" s="552" t="s">
        <v>324</v>
      </c>
      <c r="C76" s="531">
        <f>IF(F75="购房发票",ROUND(C75*H75*D76,0),0)</f>
        <v>0</v>
      </c>
      <c r="D76" s="553">
        <v>0.05</v>
      </c>
      <c r="E76" s="3511" t="s">
        <v>325</v>
      </c>
      <c r="F76" s="3507"/>
      <c r="G76" s="3507"/>
      <c r="H76" s="3547"/>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1894</v>
      </c>
      <c r="B77" s="529" t="s">
        <v>326</v>
      </c>
      <c r="C77" s="531">
        <f>ROUND(IF(G77="个人住宅",0,IF(G77="2016年5月1日前购买",C75*D77,C75*D77/(1+'数据-取费表'!C42))),0)</f>
        <v>0</v>
      </c>
      <c r="D77" s="554">
        <f>'数据-取费表'!B48+'数据-取费表'!B49</f>
        <v>3.0499999999999999E-2</v>
      </c>
      <c r="E77" s="303" t="s">
        <v>793</v>
      </c>
      <c r="F77" s="555"/>
      <c r="G77" s="1426" t="s">
        <v>2502</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1892</v>
      </c>
      <c r="B78" s="529" t="s">
        <v>327</v>
      </c>
      <c r="C78" s="556">
        <f ca="1">ROUND(D45*D78/(1+'数据-取费表'!C42),0)</f>
        <v>8</v>
      </c>
      <c r="D78" s="557">
        <f>'数据-取费表'!B43</f>
        <v>6.000000000000001E-3</v>
      </c>
      <c r="E78" s="3533" t="s">
        <v>2503</v>
      </c>
      <c r="F78" s="3534"/>
      <c r="G78" s="3534"/>
      <c r="H78" s="3535"/>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9" t="s">
        <v>1895</v>
      </c>
      <c r="B79" s="535" t="s">
        <v>328</v>
      </c>
      <c r="C79" s="538">
        <f ca="1">C72-C73</f>
        <v>1244</v>
      </c>
      <c r="D79" s="531" t="s">
        <v>164</v>
      </c>
      <c r="E79" s="1920"/>
      <c r="F79" s="1921"/>
      <c r="G79" s="1921"/>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9" t="s">
        <v>1896</v>
      </c>
      <c r="B80" s="535" t="s">
        <v>329</v>
      </c>
      <c r="C80" s="558">
        <f ca="1">IF(C79&lt;=0,0,C79/C73)</f>
        <v>155.5</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800" t="s">
        <v>1897</v>
      </c>
      <c r="B81" s="540" t="s">
        <v>330</v>
      </c>
      <c r="C81" s="559">
        <f ca="1">ROUND(IF(C79&lt;=0,0,IF(C80&gt;=200%,C79*60%-C73*35%,IF(C80&gt;=100%,C79*50%-C73*15%,IF(C80&gt;=50%,C79*40%-C73*5%,IF(C80&lt;50%,C79*30%,0))))),0)</f>
        <v>744</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21" t="s">
        <v>331</v>
      </c>
      <c r="B83" s="3522"/>
      <c r="C83" s="3522"/>
      <c r="D83" s="3522"/>
      <c r="E83" s="3522"/>
      <c r="F83" s="3522"/>
      <c r="G83" s="3522"/>
      <c r="H83" s="3522"/>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18" t="s">
        <v>309</v>
      </c>
      <c r="B84" s="3519"/>
      <c r="C84" s="1917"/>
      <c r="D84" s="1917" t="s">
        <v>317</v>
      </c>
      <c r="E84" s="544" t="s">
        <v>318</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1889</v>
      </c>
      <c r="B85" s="535" t="s">
        <v>319</v>
      </c>
      <c r="C85" s="538">
        <f ca="1">ROUND(D45/(1+'数据-取费表'!C42),0)</f>
        <v>1252</v>
      </c>
      <c r="D85" s="531" t="s">
        <v>164</v>
      </c>
      <c r="E85" s="1920"/>
      <c r="F85" s="1921"/>
      <c r="G85" s="1921"/>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1886</v>
      </c>
      <c r="B86" s="504" t="s">
        <v>320</v>
      </c>
      <c r="C86" s="538">
        <f ca="1">IF(H88="仅含出让金",C87+C90+C91+C92+C93+C94,C87+C91+C92+C93+C94)</f>
        <v>8</v>
      </c>
      <c r="D86" s="566"/>
      <c r="E86" s="1920"/>
      <c r="F86" s="1921"/>
      <c r="G86" s="1921"/>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1890</v>
      </c>
      <c r="B87" s="529" t="s">
        <v>332</v>
      </c>
      <c r="C87" s="556">
        <f>C88+C89</f>
        <v>0</v>
      </c>
      <c r="D87" s="557"/>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1891</v>
      </c>
      <c r="B88" s="529" t="s">
        <v>333</v>
      </c>
      <c r="C88" s="567"/>
      <c r="D88" s="557"/>
      <c r="E88" s="568" t="s">
        <v>334</v>
      </c>
      <c r="F88" s="1916"/>
      <c r="G88" s="569" t="s">
        <v>335</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1893</v>
      </c>
      <c r="B89" s="529" t="s">
        <v>326</v>
      </c>
      <c r="C89" s="556">
        <f>ROUND(C88*D89,0)</f>
        <v>0</v>
      </c>
      <c r="D89" s="557">
        <f>'数据-取费表'!B48+'数据-取费表'!B49</f>
        <v>3.0499999999999999E-2</v>
      </c>
      <c r="E89" s="568" t="s">
        <v>336</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1892</v>
      </c>
      <c r="B90" s="529" t="s">
        <v>337</v>
      </c>
      <c r="C90" s="567"/>
      <c r="D90" s="557"/>
      <c r="E90" s="568"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1" t="s">
        <v>1898</v>
      </c>
      <c r="B91" s="529" t="s">
        <v>338</v>
      </c>
      <c r="C91" s="556">
        <f>IF(H91="——",成本法!C33,I91)</f>
        <v>0</v>
      </c>
      <c r="D91" s="557"/>
      <c r="E91" s="3548" t="s">
        <v>794</v>
      </c>
      <c r="F91" s="3534"/>
      <c r="G91" s="3534"/>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1" t="s">
        <v>1899</v>
      </c>
      <c r="B92" s="529" t="s">
        <v>339</v>
      </c>
      <c r="C92" s="556">
        <f>ROUND((C87+C90+C91)*D92,0)</f>
        <v>0</v>
      </c>
      <c r="D92" s="557">
        <v>0.1</v>
      </c>
      <c r="E92" s="3548" t="s">
        <v>340</v>
      </c>
      <c r="F92" s="3534"/>
      <c r="G92" s="3534"/>
      <c r="H92" s="3535"/>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1" t="s">
        <v>1900</v>
      </c>
      <c r="B93" s="529" t="s">
        <v>327</v>
      </c>
      <c r="C93" s="556">
        <f ca="1">ROUND(D45*D93/(1+'数据-取费表'!C42),0)</f>
        <v>8</v>
      </c>
      <c r="D93" s="557">
        <f>'数据-取费表'!B43</f>
        <v>6.000000000000001E-3</v>
      </c>
      <c r="E93" s="3533" t="s">
        <v>2503</v>
      </c>
      <c r="F93" s="3534"/>
      <c r="G93" s="3534"/>
      <c r="H93" s="3535"/>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1" t="s">
        <v>1901</v>
      </c>
      <c r="B94" s="529" t="s">
        <v>341</v>
      </c>
      <c r="C94" s="567">
        <f>ROUND((C87+C90+C91)*D94,0)</f>
        <v>0</v>
      </c>
      <c r="D94" s="557">
        <v>0.2</v>
      </c>
      <c r="E94" s="3536" t="s">
        <v>3051</v>
      </c>
      <c r="F94" s="3537"/>
      <c r="G94" s="3537"/>
      <c r="H94" s="3538"/>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9" t="s">
        <v>1895</v>
      </c>
      <c r="B95" s="535" t="s">
        <v>328</v>
      </c>
      <c r="C95" s="538">
        <f ca="1">ROUND(C85-C86,0)</f>
        <v>1244</v>
      </c>
      <c r="D95" s="531" t="s">
        <v>164</v>
      </c>
      <c r="E95" s="1920"/>
      <c r="F95" s="1921"/>
      <c r="G95" s="1921"/>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9" t="s">
        <v>1896</v>
      </c>
      <c r="B96" s="535" t="s">
        <v>329</v>
      </c>
      <c r="C96" s="558">
        <f ca="1">IF(C95&lt;=0,0,C95/C86)</f>
        <v>155.5</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800" t="s">
        <v>1897</v>
      </c>
      <c r="B97" s="540" t="s">
        <v>330</v>
      </c>
      <c r="C97" s="559">
        <f ca="1">ROUND(IF(C95&lt;=0,0,IF(C96&gt;=200%,C95*60%-C86*35%,IF(C96&gt;=100%,C95*50%-C86*15%,IF(C96&gt;=50%,C95*40%-C86*5%,IF(C96&lt;50%,C95*30%,0))))),0)</f>
        <v>744</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226</v>
      </c>
      <c r="B99" s="1241"/>
      <c r="C99" s="1241"/>
      <c r="D99" s="1241"/>
      <c r="E99" s="229"/>
      <c r="F99" s="229"/>
      <c r="G99" s="229"/>
      <c r="H99" s="241"/>
      <c r="I99" s="2276"/>
    </row>
    <row r="100" spans="1:35" ht="18.75" customHeight="1">
      <c r="A100" s="3470" t="s">
        <v>227</v>
      </c>
      <c r="B100" s="3471"/>
      <c r="C100" s="3471"/>
      <c r="D100" s="3539"/>
      <c r="E100" s="3471" t="s">
        <v>2903</v>
      </c>
      <c r="F100" s="3471"/>
      <c r="G100" s="3471"/>
      <c r="H100" s="3539"/>
      <c r="I100" s="2276"/>
    </row>
    <row r="101" spans="1:35" ht="18.75" customHeight="1">
      <c r="A101" s="3540" t="s">
        <v>205</v>
      </c>
      <c r="B101" s="3541"/>
      <c r="C101" s="1264" t="str">
        <f>C4</f>
        <v>比较法-办公</v>
      </c>
      <c r="D101" s="1265" t="str">
        <f>D4</f>
        <v>收益法(办公元)</v>
      </c>
      <c r="E101" s="3542" t="s">
        <v>1903</v>
      </c>
      <c r="F101" s="3543"/>
      <c r="G101" s="1266" t="s">
        <v>207</v>
      </c>
      <c r="H101" s="1985">
        <f ca="1">H118</f>
        <v>1315</v>
      </c>
      <c r="I101" s="2276"/>
    </row>
    <row r="102" spans="1:35" ht="18.75" customHeight="1">
      <c r="A102" s="3544" t="s">
        <v>206</v>
      </c>
      <c r="B102" s="1266" t="s">
        <v>207</v>
      </c>
      <c r="C102" s="1233">
        <f ca="1">C19</f>
        <v>1246</v>
      </c>
      <c r="D102" s="1234">
        <f ca="1">D19</f>
        <v>1383</v>
      </c>
      <c r="E102" s="3542"/>
      <c r="F102" s="3543"/>
      <c r="G102" s="1266" t="s">
        <v>208</v>
      </c>
      <c r="H102" s="710">
        <f ca="1">I118</f>
        <v>6462</v>
      </c>
      <c r="I102" s="2276"/>
    </row>
    <row r="103" spans="1:35" ht="42.75" customHeight="1">
      <c r="A103" s="3544"/>
      <c r="B103" s="1266" t="s">
        <v>208</v>
      </c>
      <c r="C103" s="1235">
        <f ca="1">C20</f>
        <v>6124</v>
      </c>
      <c r="D103" s="1236">
        <f ca="1">D20</f>
        <v>6794</v>
      </c>
      <c r="E103" s="3545" t="s">
        <v>3013</v>
      </c>
      <c r="F103" s="3546"/>
      <c r="G103" s="1267" t="s">
        <v>210</v>
      </c>
      <c r="H103" s="1985">
        <f>IF(D36="正常操作",H104+H105+H106,H105+H106)</f>
        <v>0</v>
      </c>
      <c r="I103" s="2276"/>
    </row>
    <row r="104" spans="1:35" ht="18.75" customHeight="1">
      <c r="A104" s="3544" t="s">
        <v>209</v>
      </c>
      <c r="B104" s="1268" t="s">
        <v>207</v>
      </c>
      <c r="C104" s="1237">
        <f ca="1">H118</f>
        <v>1315</v>
      </c>
      <c r="D104" s="1238"/>
      <c r="E104" s="13" t="s">
        <v>1902</v>
      </c>
      <c r="F104" s="6"/>
      <c r="G104" s="1267" t="s">
        <v>210</v>
      </c>
      <c r="H104" s="1986">
        <f>IF(D36="同一抵押权人同一抵押物续贷",C36&amp;"（未扣减，详见特别提示）",C36)</f>
        <v>0</v>
      </c>
      <c r="I104" s="2276"/>
    </row>
    <row r="105" spans="1:35" ht="18.75" customHeight="1" thickBot="1">
      <c r="A105" s="3554"/>
      <c r="B105" s="1269" t="s">
        <v>208</v>
      </c>
      <c r="C105" s="1239">
        <f ca="1">I118</f>
        <v>6462</v>
      </c>
      <c r="D105" s="1240"/>
      <c r="E105" s="13" t="s">
        <v>1904</v>
      </c>
      <c r="F105" s="6"/>
      <c r="G105" s="1267" t="s">
        <v>210</v>
      </c>
      <c r="H105" s="1986">
        <f>C37</f>
        <v>0</v>
      </c>
      <c r="I105" s="2276"/>
    </row>
    <row r="106" spans="1:35" ht="18.75" customHeight="1">
      <c r="A106" s="1241" t="s">
        <v>2000</v>
      </c>
      <c r="B106" s="1241"/>
      <c r="C106" s="1241"/>
      <c r="D106" s="1241"/>
      <c r="E106" s="466" t="s">
        <v>1905</v>
      </c>
      <c r="F106" s="6"/>
      <c r="G106" s="1267" t="s">
        <v>210</v>
      </c>
      <c r="H106" s="1986">
        <f>C38</f>
        <v>0</v>
      </c>
      <c r="I106" s="2276"/>
    </row>
    <row r="107" spans="1:35" ht="18.75" customHeight="1">
      <c r="A107" s="2276"/>
      <c r="B107" s="2276"/>
      <c r="C107" s="2276"/>
      <c r="D107" s="2276"/>
      <c r="E107" s="3555" t="str">
        <f>IF(项目基本情况!E8="已注销","——","3.房地产抵押价值")</f>
        <v>3.房地产抵押价值</v>
      </c>
      <c r="F107" s="3543"/>
      <c r="G107" s="1266" t="s">
        <v>207</v>
      </c>
      <c r="H107" s="1985">
        <f ca="1">IF(E107="——","——",H101-H103)</f>
        <v>1315</v>
      </c>
      <c r="I107" s="2276"/>
    </row>
    <row r="108" spans="1:35" ht="18.75" customHeight="1">
      <c r="A108" s="2276"/>
      <c r="B108" s="2276"/>
      <c r="C108" s="2276"/>
      <c r="D108" s="2276"/>
      <c r="E108" s="3555"/>
      <c r="F108" s="3543"/>
      <c r="G108" s="1266" t="s">
        <v>208</v>
      </c>
      <c r="H108" s="710">
        <f ca="1">ROUND(H107*10000/'数据-汇总表'!E3,0)</f>
        <v>3921</v>
      </c>
      <c r="I108" s="2276"/>
    </row>
    <row r="109" spans="1:35" ht="18.75" customHeight="1">
      <c r="A109" s="2276"/>
      <c r="B109" s="2276"/>
      <c r="C109" s="2276"/>
      <c r="D109" s="2276"/>
      <c r="E109" s="3555" t="str">
        <f>IF(项目基本情况!E8="已注销及未注销","4.抵押担保权已注销时的房地产抵押价值",IF(项目基本情况!E8="已注销","3.抵押担保权已注销时的房地产抵押价值","——"))</f>
        <v>——</v>
      </c>
      <c r="F109" s="3543"/>
      <c r="G109" s="1266" t="s">
        <v>207</v>
      </c>
      <c r="H109" s="684" t="str">
        <f>IF(E109="——","——",H101-H105-H106)</f>
        <v>——</v>
      </c>
      <c r="I109" s="2276"/>
    </row>
    <row r="110" spans="1:35" ht="18.75" customHeight="1">
      <c r="A110" s="2276"/>
      <c r="B110" s="2276"/>
      <c r="C110" s="2276"/>
      <c r="D110" s="2276"/>
      <c r="E110" s="3555"/>
      <c r="F110" s="3543"/>
      <c r="G110" s="1266" t="s">
        <v>208</v>
      </c>
      <c r="H110" s="710" t="str">
        <f>IF(H109="——","——",ROUND(H109*10000/'数据-汇总表'!E3,0))</f>
        <v>——</v>
      </c>
      <c r="I110" s="2276"/>
    </row>
    <row r="111" spans="1:35" ht="18.75" customHeight="1">
      <c r="A111" s="2276"/>
      <c r="B111" s="2276"/>
      <c r="C111" s="2276"/>
      <c r="D111" s="2276"/>
      <c r="E111" s="3556" t="str">
        <f>IF(项目基本情况!E9="抵押净值",IF(OR(项目基本情况!E8="已注销",项目基本情况!E8="房地产抵押价值"),"4.抵押净值","5.抵押净值"),"——")</f>
        <v>——</v>
      </c>
      <c r="F111" s="3557"/>
      <c r="G111" s="1266" t="s">
        <v>207</v>
      </c>
      <c r="H111" s="1985" t="str">
        <f>IF(E111="——","——",N59)</f>
        <v>——</v>
      </c>
      <c r="I111" s="2276"/>
    </row>
    <row r="112" spans="1:35" ht="18.75" customHeight="1" thickBot="1">
      <c r="A112" s="2276"/>
      <c r="B112" s="2276"/>
      <c r="C112" s="2276"/>
      <c r="D112" s="2276"/>
      <c r="E112" s="3558"/>
      <c r="F112" s="3559"/>
      <c r="G112" s="1270" t="s">
        <v>208</v>
      </c>
      <c r="H112" s="1421" t="str">
        <f>IF(E111="——","——",N61)</f>
        <v>——</v>
      </c>
      <c r="I112" s="2276"/>
    </row>
    <row r="113" spans="1:11" ht="18.75" customHeight="1">
      <c r="A113" s="2276"/>
      <c r="B113" s="2276"/>
      <c r="C113" s="2276"/>
      <c r="D113" s="2276"/>
      <c r="E113" s="3560" t="s">
        <v>2000</v>
      </c>
      <c r="F113" s="3560"/>
      <c r="G113" s="3560"/>
      <c r="H113" s="3560"/>
      <c r="I113" s="2276"/>
    </row>
    <row r="114" spans="1:11" ht="3.75" customHeight="1">
      <c r="A114" s="1241"/>
      <c r="B114" s="1241"/>
      <c r="C114" s="1241"/>
      <c r="D114" s="1241"/>
      <c r="E114" s="1256"/>
      <c r="F114" s="1256"/>
      <c r="G114" s="1256"/>
      <c r="H114" s="1256"/>
      <c r="I114" s="1241"/>
    </row>
    <row r="115" spans="1:11" ht="18.75" customHeight="1">
      <c r="A115" s="3561" t="s">
        <v>223</v>
      </c>
      <c r="B115" s="3562"/>
      <c r="C115" s="3562"/>
      <c r="D115" s="3562"/>
      <c r="E115" s="3562"/>
      <c r="F115" s="3562"/>
      <c r="G115" s="3562"/>
      <c r="H115" s="3562"/>
      <c r="I115" s="3563"/>
    </row>
    <row r="116" spans="1:11" ht="27" customHeight="1">
      <c r="A116" s="3450" t="s">
        <v>5</v>
      </c>
      <c r="B116" s="3549" t="s">
        <v>783</v>
      </c>
      <c r="C116" s="3549" t="s">
        <v>784</v>
      </c>
      <c r="D116" s="3551" t="s">
        <v>203</v>
      </c>
      <c r="E116" s="3552"/>
      <c r="F116" s="3553" t="s">
        <v>2380</v>
      </c>
      <c r="G116" s="3553"/>
      <c r="H116" s="3450" t="s">
        <v>6</v>
      </c>
      <c r="I116" s="3450"/>
    </row>
    <row r="117" spans="1:11" ht="18.75" customHeight="1">
      <c r="A117" s="3450"/>
      <c r="B117" s="3550"/>
      <c r="C117" s="3550"/>
      <c r="D117" s="1914" t="s">
        <v>7</v>
      </c>
      <c r="E117" s="1914" t="s">
        <v>785</v>
      </c>
      <c r="F117" s="1914" t="s">
        <v>7</v>
      </c>
      <c r="G117" s="1914" t="s">
        <v>8</v>
      </c>
      <c r="H117" s="1914" t="s">
        <v>7</v>
      </c>
      <c r="I117" s="1914" t="s">
        <v>8</v>
      </c>
    </row>
    <row r="118" spans="1:11" ht="24.75" customHeight="1">
      <c r="A118" s="2032" t="str">
        <f>项目基本情况!S2</f>
        <v>新疆伊宁市经济合作区上海路以西山东路以南（万荣广场）房地产</v>
      </c>
      <c r="B118" s="1919">
        <f>M18</f>
        <v>2035.05</v>
      </c>
      <c r="C118" s="1919">
        <f>M19</f>
        <v>0</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1315</v>
      </c>
      <c r="I118" s="1919">
        <f ca="1">ROUND(IF(D32="楼面单价",C32,H118*10000/B118),0)</f>
        <v>6462</v>
      </c>
    </row>
    <row r="119" spans="1:11" ht="18.75" customHeight="1">
      <c r="A119" s="3450" t="s">
        <v>9</v>
      </c>
      <c r="B119" s="3450"/>
      <c r="C119" s="3450"/>
      <c r="D119" s="3567" t="e">
        <f ca="1">NUMBERSTRING(INT(D118*10000),2)&amp;"元整"</f>
        <v>#REF!</v>
      </c>
      <c r="E119" s="3569"/>
      <c r="F119" s="3567" t="e">
        <f ca="1">NUMBERSTRING(INT(F118*10000),2)&amp;"元整"</f>
        <v>#REF!</v>
      </c>
      <c r="G119" s="3569"/>
      <c r="H119" s="3567" t="str">
        <f ca="1">NUMBERSTRING(INT(H118*10000),2)&amp;"元整"</f>
        <v>壹仟叁佰壹拾伍万元整</v>
      </c>
      <c r="I119" s="3569"/>
    </row>
    <row r="120" spans="1:11" ht="18.75" customHeight="1">
      <c r="A120" s="3574" t="str">
        <f>MID(E103,3,LEN(E103)-2)</f>
        <v>估价师知悉的法定优先受偿款</v>
      </c>
      <c r="B120" s="3575"/>
      <c r="C120" s="3576"/>
      <c r="D120" s="3571">
        <f>H103</f>
        <v>0</v>
      </c>
      <c r="E120" s="3572"/>
      <c r="F120" s="3572"/>
      <c r="G120" s="3572"/>
      <c r="H120" s="3572"/>
      <c r="I120" s="3573"/>
      <c r="K120" s="1432" t="str">
        <f>IF(D120=0,"故，本次评估不存在"&amp;A120,"故，本次评估"&amp;A120&amp;"为人民币"&amp;D120&amp;"万元整。")</f>
        <v>故，本次评估不存在估价师知悉的法定优先受偿款</v>
      </c>
    </row>
    <row r="121" spans="1:11" ht="18.75" customHeight="1">
      <c r="A121" s="3564" t="s">
        <v>9</v>
      </c>
      <c r="B121" s="3565"/>
      <c r="C121" s="3566"/>
      <c r="D121" s="3567" t="str">
        <f>IF(D120=0,"零元整",NUMBERSTRING(INT(D120*10000),2)&amp;"元整")</f>
        <v>零元整</v>
      </c>
      <c r="E121" s="3568"/>
      <c r="F121" s="3568"/>
      <c r="G121" s="3568"/>
      <c r="H121" s="3568"/>
      <c r="I121" s="3569"/>
    </row>
    <row r="122" spans="1:11" ht="18.75" customHeight="1">
      <c r="A122" s="3570" t="str">
        <f>MID(E107,3,LEN(E107)-2)</f>
        <v>房地产抵押价值</v>
      </c>
      <c r="B122" s="3570"/>
      <c r="C122" s="3570"/>
      <c r="D122" s="3571">
        <f ca="1">H107</f>
        <v>1315</v>
      </c>
      <c r="E122" s="3572"/>
      <c r="F122" s="3572"/>
      <c r="G122" s="3572"/>
      <c r="H122" s="3572"/>
      <c r="I122" s="3573"/>
    </row>
    <row r="123" spans="1:11" ht="18.75" customHeight="1">
      <c r="A123" s="3450" t="s">
        <v>9</v>
      </c>
      <c r="B123" s="3450"/>
      <c r="C123" s="3450"/>
      <c r="D123" s="3567" t="str">
        <f ca="1">NUMBERSTRING(INT(D122*10000),2)&amp;"元整"</f>
        <v>壹仟叁佰壹拾伍万元整</v>
      </c>
      <c r="E123" s="3568"/>
      <c r="F123" s="3568"/>
      <c r="G123" s="3568"/>
      <c r="H123" s="3568"/>
      <c r="I123" s="3569"/>
    </row>
    <row r="124" spans="1:11" ht="18.75" customHeight="1">
      <c r="A124" s="3570" t="str">
        <f>MID(E109,3,LEN(E109)-2)</f>
        <v/>
      </c>
      <c r="B124" s="3570"/>
      <c r="C124" s="3570"/>
      <c r="D124" s="3571" t="str">
        <f>H109</f>
        <v>——</v>
      </c>
      <c r="E124" s="3572"/>
      <c r="F124" s="3572"/>
      <c r="G124" s="3572"/>
      <c r="H124" s="3572"/>
      <c r="I124" s="3573"/>
    </row>
    <row r="125" spans="1:11" ht="18.75" customHeight="1">
      <c r="A125" s="3450" t="s">
        <v>9</v>
      </c>
      <c r="B125" s="3450"/>
      <c r="C125" s="3450"/>
      <c r="D125" s="3567" t="e">
        <f>NUMBERSTRING(INT(D124*10000),2)&amp;"元整"</f>
        <v>#VALUE!</v>
      </c>
      <c r="E125" s="3568"/>
      <c r="F125" s="3568"/>
      <c r="G125" s="3568"/>
      <c r="H125" s="3568"/>
      <c r="I125" s="3569"/>
    </row>
    <row r="126" spans="1:11" ht="18.75" customHeight="1">
      <c r="A126" s="3570" t="str">
        <f>MID(E111,3,LEN(E111)-2)</f>
        <v/>
      </c>
      <c r="B126" s="3570"/>
      <c r="C126" s="3570"/>
      <c r="D126" s="3571" t="str">
        <f>H111</f>
        <v>——</v>
      </c>
      <c r="E126" s="3572"/>
      <c r="F126" s="3572"/>
      <c r="G126" s="3572"/>
      <c r="H126" s="3572"/>
      <c r="I126" s="3573"/>
    </row>
    <row r="127" spans="1:11" ht="18.75" customHeight="1">
      <c r="A127" s="3450" t="s">
        <v>9</v>
      </c>
      <c r="B127" s="3450"/>
      <c r="C127" s="3450"/>
      <c r="D127" s="3567" t="e">
        <f>NUMBERSTRING(INT(D126*10000),2)&amp;"元整"</f>
        <v>#VALUE!</v>
      </c>
      <c r="E127" s="3568"/>
      <c r="F127" s="3568"/>
      <c r="G127" s="3568"/>
      <c r="H127" s="3568"/>
      <c r="I127" s="3569"/>
    </row>
    <row r="128" spans="1:11" ht="21.75" customHeight="1">
      <c r="A128" s="3577" t="s">
        <v>1999</v>
      </c>
      <c r="B128" s="3577"/>
      <c r="C128" s="3577"/>
      <c r="D128" s="3577"/>
      <c r="E128" s="3577"/>
      <c r="F128" s="3577"/>
      <c r="G128" s="3577"/>
      <c r="H128" s="3577"/>
      <c r="I128" s="3577"/>
    </row>
    <row r="129" spans="1:35" ht="21.75" customHeight="1">
      <c r="A129" s="2027" t="s">
        <v>786</v>
      </c>
      <c r="B129" s="2028"/>
      <c r="C129" s="467" t="s">
        <v>147</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ColWidth="9"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85" t="str">
        <f>项目基本情况!B1</f>
        <v>新疆伊宁市经济合作区上海路以西山东路以南（万荣广场）房地产市场价值预评估</v>
      </c>
      <c r="C37" s="3385"/>
      <c r="D37" s="3385"/>
      <c r="E37" s="3385"/>
      <c r="F37" s="3385"/>
      <c r="G37" s="3385"/>
      <c r="H37" s="3385"/>
      <c r="I37" s="3385"/>
    </row>
    <row r="38" spans="1:9">
      <c r="A38" s="1889"/>
      <c r="B38" s="1889"/>
    </row>
    <row r="39" spans="1:9">
      <c r="A39" s="1887" t="s">
        <v>1956</v>
      </c>
      <c r="B39" s="1887" t="s">
        <v>1958</v>
      </c>
    </row>
    <row r="40" spans="1:9">
      <c r="A40" s="1887"/>
      <c r="B40" s="1887" t="str">
        <f>项目基本情况!B5</f>
        <v>新华人寿保险股份有限公司新疆分公司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吴薇（注册号：1419970001)、刘梅（注册号：0)</v>
      </c>
    </row>
    <row r="47" spans="1:9">
      <c r="A47" s="1887"/>
      <c r="B47" s="1887" t="str">
        <f>项目基本情况!K5</f>
        <v/>
      </c>
    </row>
    <row r="48" spans="1:9">
      <c r="A48" s="1887" t="s">
        <v>1956</v>
      </c>
      <c r="B48" s="1887" t="s">
        <v>1962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c r="C1" s="573"/>
      <c r="D1" s="573"/>
      <c r="E1" s="573"/>
      <c r="F1" s="573"/>
      <c r="G1" s="2751">
        <f>MATCH(B1,'数据-取费表'!A6:A16,0)+5</f>
        <v>9</v>
      </c>
    </row>
    <row r="2" spans="1:9" s="575" customFormat="1" ht="18" customHeight="1">
      <c r="A2" s="576" t="s">
        <v>443</v>
      </c>
      <c r="B2" s="577">
        <f ca="1">IF(D2="——",C52,C52-E2)</f>
        <v>770</v>
      </c>
      <c r="C2" s="85" t="s">
        <v>865</v>
      </c>
      <c r="D2" s="2871" t="s">
        <v>527</v>
      </c>
      <c r="E2" s="2869" t="e">
        <f ca="1">SUMIF(INDIRECT("'"&amp;G2&amp;"'"&amp;"!A:A"),"承租人权益价值",INDIRECT("'"&amp;G2&amp;"'"&amp;"!c:c"))</f>
        <v>#REF!</v>
      </c>
      <c r="F2" s="2867" t="s">
        <v>865</v>
      </c>
      <c r="G2" s="2870"/>
    </row>
    <row r="3" spans="1:9" s="575" customFormat="1" ht="18" customHeight="1" thickBot="1">
      <c r="A3" s="578" t="s">
        <v>444</v>
      </c>
      <c r="B3" s="579">
        <f ca="1">ROUND(B2*10000/(IF(B1="",'数据-汇总表'!E3,INDIRECT("'数据-取费表'!k"&amp;$G$1))),0)</f>
        <v>2296</v>
      </c>
      <c r="C3" s="85" t="s">
        <v>866</v>
      </c>
      <c r="D3" s="574"/>
      <c r="E3" s="574"/>
      <c r="F3" s="574"/>
      <c r="G3" s="574"/>
    </row>
    <row r="4" spans="1:9" s="583" customFormat="1" ht="15.75">
      <c r="A4" s="580" t="s">
        <v>818</v>
      </c>
      <c r="B4" s="581"/>
      <c r="C4" s="581"/>
      <c r="D4" s="581"/>
      <c r="E4" s="581"/>
      <c r="F4" s="581"/>
      <c r="G4" s="582"/>
    </row>
    <row r="5" spans="1:9" s="589" customFormat="1" ht="13.5" customHeight="1">
      <c r="A5" s="630" t="s">
        <v>2504</v>
      </c>
      <c r="B5" s="585" t="s">
        <v>819</v>
      </c>
      <c r="C5" s="586">
        <f>C6+C7+C8</f>
        <v>0</v>
      </c>
      <c r="D5" s="586" t="s">
        <v>820</v>
      </c>
      <c r="E5" s="587" t="s">
        <v>821</v>
      </c>
      <c r="F5" s="587" t="s">
        <v>822</v>
      </c>
      <c r="G5" s="588"/>
    </row>
    <row r="6" spans="1:9" s="589" customFormat="1" ht="13.5" customHeight="1">
      <c r="A6" s="1803" t="s">
        <v>1915</v>
      </c>
      <c r="B6" s="590" t="s">
        <v>823</v>
      </c>
      <c r="C6" s="591"/>
      <c r="D6" s="592"/>
      <c r="E6" s="593"/>
      <c r="F6" s="593"/>
      <c r="G6" s="594"/>
    </row>
    <row r="7" spans="1:9" s="589" customFormat="1" ht="13.5" customHeight="1">
      <c r="A7" s="1803" t="s">
        <v>1916</v>
      </c>
      <c r="B7" s="590" t="s">
        <v>344</v>
      </c>
      <c r="C7" s="595">
        <f>ROUND(C6*F7,0)</f>
        <v>0</v>
      </c>
      <c r="D7" s="595"/>
      <c r="E7" s="593"/>
      <c r="F7" s="596">
        <f>'数据-取费表'!B48+'数据-取费表'!B49</f>
        <v>3.0499999999999999E-2</v>
      </c>
      <c r="G7" s="594"/>
    </row>
    <row r="8" spans="1:9" s="598" customFormat="1">
      <c r="A8" s="1803" t="s">
        <v>1917</v>
      </c>
      <c r="B8" s="590" t="s">
        <v>824</v>
      </c>
      <c r="C8" s="595">
        <f>IF(G8="已包含在土地购买价格中","0",IF(B1="",'数据-取费表'!B29,IF(G9="全部缴纳",C9+C10,H9)))</f>
        <v>0</v>
      </c>
      <c r="D8" s="597"/>
      <c r="E8" s="595"/>
      <c r="F8" s="596"/>
      <c r="G8" s="84"/>
    </row>
    <row r="9" spans="1:9" s="589" customFormat="1" ht="13.5" customHeight="1">
      <c r="A9" s="1804" t="s">
        <v>1924</v>
      </c>
      <c r="B9" s="599" t="s">
        <v>825</v>
      </c>
      <c r="C9" s="600">
        <f ca="1">ROUND(D9*E9/10000,0)</f>
        <v>0</v>
      </c>
      <c r="D9" s="1908">
        <f ca="1">IF(B1="",'数据-汇总表'!E5,IF(INDIRECT("'数据-取费表'!c"&amp;$G$1)="住宅",INDIRECT("'数据-取费表'!k"&amp;$G$1),0))</f>
        <v>0</v>
      </c>
      <c r="E9" s="600">
        <f>'数据-取费表'!B27</f>
        <v>0</v>
      </c>
      <c r="F9" s="596"/>
      <c r="G9" s="2801"/>
      <c r="H9" s="2802"/>
      <c r="I9" s="2803" t="s">
        <v>2686</v>
      </c>
    </row>
    <row r="10" spans="1:9" s="589" customFormat="1" ht="13.5" customHeight="1">
      <c r="A10" s="1804" t="s">
        <v>1925</v>
      </c>
      <c r="B10" s="599" t="s">
        <v>826</v>
      </c>
      <c r="C10" s="600">
        <f ca="1">ROUND(D10*E10/10000,0)</f>
        <v>50</v>
      </c>
      <c r="D10" s="1908">
        <f ca="1">IF(B1="",'数据-汇总表'!E6,IF(INDIRECT("'数据-取费表'!c"&amp;$G$1)="住宅",INDIRECT("'数据-取费表'!s"&amp;$G$1),INDIRECT("'数据-取费表'!k"&amp;$G$1)+INDIRECT("'数据-取费表'!s"&amp;$G$1)))</f>
        <v>3353.7699999999995</v>
      </c>
      <c r="E10" s="600">
        <f>'数据-取费表'!B28</f>
        <v>150</v>
      </c>
      <c r="F10" s="596"/>
      <c r="G10" s="601"/>
    </row>
    <row r="11" spans="1:9" s="589" customFormat="1" ht="13.5" hidden="1" customHeight="1">
      <c r="A11" s="602" t="s">
        <v>42</v>
      </c>
      <c r="B11" s="590" t="s">
        <v>827</v>
      </c>
      <c r="C11" s="586"/>
      <c r="D11" s="1910"/>
      <c r="E11" s="593"/>
      <c r="F11" s="593"/>
      <c r="G11" s="594"/>
    </row>
    <row r="12" spans="1:9" s="589" customFormat="1" ht="13.5" hidden="1" customHeight="1">
      <c r="A12" s="602" t="s">
        <v>43</v>
      </c>
      <c r="B12" s="590" t="s">
        <v>828</v>
      </c>
      <c r="C12" s="586">
        <v>0</v>
      </c>
      <c r="D12" s="1910"/>
      <c r="E12" s="603"/>
      <c r="F12" s="596">
        <v>3.0499999999999999E-2</v>
      </c>
      <c r="G12" s="594"/>
    </row>
    <row r="13" spans="1:9" s="589" customFormat="1" ht="13.5" hidden="1" customHeight="1">
      <c r="A13" s="602" t="s">
        <v>44</v>
      </c>
      <c r="B13" s="590" t="s">
        <v>829</v>
      </c>
      <c r="C13" s="586"/>
      <c r="D13" s="1910"/>
      <c r="E13" s="593"/>
      <c r="F13" s="593"/>
      <c r="G13" s="594"/>
    </row>
    <row r="14" spans="1:9" s="589" customFormat="1" ht="13.5" hidden="1" customHeight="1">
      <c r="A14" s="602" t="s">
        <v>45</v>
      </c>
      <c r="B14" s="590" t="s">
        <v>824</v>
      </c>
      <c r="C14" s="586"/>
      <c r="D14" s="1910"/>
      <c r="E14" s="593"/>
      <c r="F14" s="593"/>
      <c r="G14" s="594" t="s">
        <v>830</v>
      </c>
    </row>
    <row r="15" spans="1:9" s="589" customFormat="1" ht="13.5" hidden="1" customHeight="1">
      <c r="A15" s="602" t="s">
        <v>46</v>
      </c>
      <c r="B15" s="590" t="s">
        <v>831</v>
      </c>
      <c r="C15" s="595"/>
      <c r="D15" s="1910"/>
      <c r="E15" s="593"/>
      <c r="F15" s="593"/>
      <c r="G15" s="594" t="s">
        <v>832</v>
      </c>
    </row>
    <row r="16" spans="1:9"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2505</v>
      </c>
      <c r="B19" s="585" t="s">
        <v>843</v>
      </c>
      <c r="C19" s="586">
        <f ca="1">IF(G19="已包含在土地取得成本中","0",ROUND(D19*E19/10000,0))</f>
        <v>50</v>
      </c>
      <c r="D19" s="1912">
        <f ca="1">D9+D10</f>
        <v>3353.7699999999995</v>
      </c>
      <c r="E19" s="586">
        <f>'数据-取费表'!B31</f>
        <v>150</v>
      </c>
      <c r="F19" s="606"/>
      <c r="G19" s="84"/>
    </row>
    <row r="20" spans="1:7" s="589" customFormat="1" ht="13.5" customHeight="1">
      <c r="A20" s="1802" t="s">
        <v>2507</v>
      </c>
      <c r="B20" s="585" t="s">
        <v>836</v>
      </c>
      <c r="C20" s="607">
        <f ca="1">ROUND((C5+C19)*F20,0)</f>
        <v>1</v>
      </c>
      <c r="D20" s="607"/>
      <c r="E20" s="607"/>
      <c r="F20" s="608">
        <f>'数据-取费表'!B37</f>
        <v>0.02</v>
      </c>
      <c r="G20" s="2618" t="s">
        <v>2518</v>
      </c>
    </row>
    <row r="21" spans="1:7" s="589" customFormat="1" ht="13.5" customHeight="1">
      <c r="A21" s="1802" t="s">
        <v>2509</v>
      </c>
      <c r="B21" s="585" t="s">
        <v>837</v>
      </c>
      <c r="C21" s="610">
        <f>F21</f>
        <v>0.02</v>
      </c>
      <c r="D21" s="611" t="s">
        <v>858</v>
      </c>
      <c r="E21" s="607"/>
      <c r="F21" s="608">
        <f>'数据-取费表'!B38</f>
        <v>0.02</v>
      </c>
      <c r="G21" s="609" t="s">
        <v>838</v>
      </c>
    </row>
    <row r="22" spans="1:7" s="589" customFormat="1" ht="13.5" customHeight="1">
      <c r="A22" s="1802" t="s">
        <v>1910</v>
      </c>
      <c r="B22" s="585" t="s">
        <v>839</v>
      </c>
      <c r="C22" s="2697">
        <f ca="1">ROUND(SUM(C23:C25),0)</f>
        <v>7</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1915</v>
      </c>
      <c r="B23" s="590" t="s">
        <v>2511</v>
      </c>
      <c r="C23" s="2698">
        <f ca="1">ROUND(IF('数据-取费表'!B22&lt;=1,C5*F22*'数据-取费表'!B23,C5*(POWER((1+F22),'数据-取费表'!B23)-1)),0)</f>
        <v>0</v>
      </c>
      <c r="D23" s="613"/>
      <c r="E23" s="613"/>
      <c r="F23" s="614"/>
      <c r="G23" s="615" t="s">
        <v>840</v>
      </c>
    </row>
    <row r="24" spans="1:7" s="589" customFormat="1" ht="13.5" customHeight="1">
      <c r="A24" s="1805" t="s">
        <v>1916</v>
      </c>
      <c r="B24" s="590" t="s">
        <v>2506</v>
      </c>
      <c r="C24" s="2698">
        <f ca="1">ROUND(IF('数据-取费表'!B22&lt;=1,C19*F22*('数据-取费表'!B19/2+'数据-取费表'!B21),C19*(POWER((1+F22),('数据-取费表'!B19/2+'数据-取费表'!B21))-1)),0)</f>
        <v>7</v>
      </c>
      <c r="D24" s="613"/>
      <c r="E24" s="613"/>
      <c r="F24" s="614"/>
      <c r="G24" s="615" t="s">
        <v>841</v>
      </c>
    </row>
    <row r="25" spans="1:7" s="589" customFormat="1" ht="24">
      <c r="A25" s="1805" t="s">
        <v>1917</v>
      </c>
      <c r="B25" s="590" t="s">
        <v>2508</v>
      </c>
      <c r="C25" s="2698">
        <f ca="1">ROUND(IF('数据-取费表'!B22&lt;=1,C20*F22*'数据-取费表'!B23/2,C20*(POWER((1+F22),'数据-取费表'!B23/2)-1)),0)</f>
        <v>0</v>
      </c>
      <c r="D25" s="613"/>
      <c r="E25" s="616"/>
      <c r="F25" s="614"/>
      <c r="G25" s="617" t="s">
        <v>842</v>
      </c>
    </row>
    <row r="26" spans="1:7" s="589" customFormat="1">
      <c r="A26" s="1805" t="s">
        <v>1919</v>
      </c>
      <c r="B26" s="590" t="s">
        <v>2510</v>
      </c>
      <c r="C26" s="613">
        <f ca="1">ROUND(IF('数据-取费表'!B22&lt;=1,F21*F22*'数据-取费表'!B23/2,F21*(POWER((1+F22),'数据-取费表'!B23/2)-1)),4)</f>
        <v>1.4E-3</v>
      </c>
      <c r="D26" s="613"/>
      <c r="E26" s="616"/>
      <c r="F26" s="614"/>
      <c r="G26" s="618"/>
    </row>
    <row r="27" spans="1:7" s="589" customFormat="1" ht="24.75">
      <c r="A27" s="1802" t="s">
        <v>1911</v>
      </c>
      <c r="B27" s="619" t="s">
        <v>844</v>
      </c>
      <c r="C27" s="620">
        <f ca="1">C28</f>
        <v>11</v>
      </c>
      <c r="D27" s="610">
        <f ca="1">C29</f>
        <v>4.1999999999999997E-3</v>
      </c>
      <c r="E27" s="611" t="s">
        <v>858</v>
      </c>
      <c r="F27" s="621">
        <f ca="1">IF(B1="",'数据-取费表'!Q16,INDIRECT("'数据-取费表'!q"&amp;$G$1))</f>
        <v>0.21</v>
      </c>
      <c r="G27" s="622" t="s">
        <v>2519</v>
      </c>
    </row>
    <row r="28" spans="1:7" s="589" customFormat="1" ht="13.5" customHeight="1">
      <c r="A28" s="1805" t="s">
        <v>1915</v>
      </c>
      <c r="B28" s="623" t="s">
        <v>2512</v>
      </c>
      <c r="C28" s="624">
        <f ca="1">ROUND((C5+C19+C20)*F27*'数据-取费表'!B21/'数据-取费表'!B20,0)</f>
        <v>11</v>
      </c>
      <c r="D28" s="610"/>
      <c r="E28" s="611"/>
      <c r="F28" s="621"/>
      <c r="G28" s="622"/>
    </row>
    <row r="29" spans="1:7" s="589" customFormat="1" ht="13.5" customHeight="1">
      <c r="A29" s="1805" t="s">
        <v>1916</v>
      </c>
      <c r="B29" s="623" t="s">
        <v>2513</v>
      </c>
      <c r="C29" s="613">
        <f ca="1">ROUND(C21*F27*'数据-取费表'!B21/'数据-取费表'!B20,4)</f>
        <v>4.1999999999999997E-3</v>
      </c>
      <c r="D29" s="610"/>
      <c r="E29" s="611"/>
      <c r="F29" s="621"/>
      <c r="G29" s="622"/>
    </row>
    <row r="30" spans="1:7" s="589" customFormat="1" ht="13.5" customHeight="1">
      <c r="A30" s="1802" t="s">
        <v>1912</v>
      </c>
      <c r="B30" s="585" t="s">
        <v>345</v>
      </c>
      <c r="C30" s="610">
        <f>ROUND(F30/(1+'数据-取费表'!C42),4)</f>
        <v>5.33E-2</v>
      </c>
      <c r="D30" s="611" t="s">
        <v>2940</v>
      </c>
      <c r="E30" s="616"/>
      <c r="F30" s="612">
        <f>'数据-取费表'!B41</f>
        <v>5.6000000000000001E-2</v>
      </c>
      <c r="G30" s="2618" t="s">
        <v>2941</v>
      </c>
    </row>
    <row r="31" spans="1:7" ht="16.5" customHeight="1">
      <c r="A31" s="584">
        <v>1</v>
      </c>
      <c r="B31" s="585" t="s">
        <v>860</v>
      </c>
      <c r="C31" s="586">
        <f ca="1">ROUND((C5+C19+C20+C22+C27)/(1-C21-D22-D27-C30),0)</f>
        <v>75</v>
      </c>
      <c r="D31" s="605"/>
      <c r="E31" s="586"/>
      <c r="F31" s="625"/>
      <c r="G31" s="609" t="s">
        <v>2520</v>
      </c>
    </row>
    <row r="32" spans="1:7" s="583" customFormat="1" ht="15.75">
      <c r="A32" s="627" t="s">
        <v>846</v>
      </c>
      <c r="B32" s="628"/>
      <c r="C32" s="628"/>
      <c r="D32" s="628"/>
      <c r="E32" s="628"/>
      <c r="F32" s="628"/>
      <c r="G32" s="629"/>
    </row>
    <row r="33" spans="1:7" s="589" customFormat="1" ht="13.5" customHeight="1">
      <c r="A33" s="630" t="s">
        <v>1906</v>
      </c>
      <c r="B33" s="585" t="s">
        <v>847</v>
      </c>
      <c r="C33" s="631">
        <f ca="1">SUM(C34:C38)</f>
        <v>489</v>
      </c>
      <c r="D33" s="607"/>
      <c r="E33" s="587"/>
      <c r="F33" s="616"/>
      <c r="G33" s="609"/>
    </row>
    <row r="34" spans="1:7" s="633" customFormat="1" ht="13.5" customHeight="1">
      <c r="A34" s="1805" t="s">
        <v>1915</v>
      </c>
      <c r="B34" s="590" t="s">
        <v>346</v>
      </c>
      <c r="C34" s="595">
        <f ca="1">IF(B1="",IF(F34=100%,'数据-取费表'!M16,'数据-取费表'!O16),IF(F34=100%,INDIRECT("'数据-取费表'!m"&amp;$G$1)+INDIRECT("'数据-取费表'!t"&amp;$G$1),INDIRECT("'数据-取费表'!o"&amp;$G$1)+INDIRECT("'数据-取费表'!aq"&amp;$G$1)))</f>
        <v>420</v>
      </c>
      <c r="D34" s="592"/>
      <c r="E34" s="595"/>
      <c r="F34" s="632">
        <f ca="1">IF('数据-取费表'!B24=0,1,IF(B1="",'数据-取费表'!N16,INDIRECT("'数据-取费表'!n"&amp;$G$1)))</f>
        <v>1</v>
      </c>
      <c r="G34" s="594" t="s">
        <v>848</v>
      </c>
    </row>
    <row r="35" spans="1:7" ht="13.5" customHeight="1">
      <c r="A35" s="1805" t="s">
        <v>1920</v>
      </c>
      <c r="B35" s="590" t="s">
        <v>347</v>
      </c>
      <c r="C35" s="595">
        <f ca="1">ROUND(C34*F35,0)</f>
        <v>13</v>
      </c>
      <c r="D35" s="595"/>
      <c r="E35" s="595"/>
      <c r="F35" s="634">
        <f>'数据-取费表'!B33</f>
        <v>0.03</v>
      </c>
      <c r="G35" s="594" t="s">
        <v>849</v>
      </c>
    </row>
    <row r="36" spans="1:7" ht="24">
      <c r="A36" s="1805" t="s">
        <v>1921</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0.03</v>
      </c>
      <c r="G36" s="635" t="s">
        <v>349</v>
      </c>
    </row>
    <row r="37" spans="1:7" s="633" customFormat="1" ht="13.5" customHeight="1">
      <c r="A37" s="1805" t="s">
        <v>1922</v>
      </c>
      <c r="B37" s="590" t="s">
        <v>850</v>
      </c>
      <c r="C37" s="624">
        <f ca="1">ROUND(E37*D37*F34/10000,0)</f>
        <v>50</v>
      </c>
      <c r="D37" s="592">
        <f ca="1">D19</f>
        <v>3353.7699999999995</v>
      </c>
      <c r="E37" s="624">
        <f>'数据-取费表'!B35</f>
        <v>150</v>
      </c>
      <c r="F37" s="634"/>
      <c r="G37" s="636" t="s">
        <v>851</v>
      </c>
    </row>
    <row r="38" spans="1:7" ht="13.5" customHeight="1">
      <c r="A38" s="1805" t="s">
        <v>1923</v>
      </c>
      <c r="B38" s="590" t="s">
        <v>350</v>
      </c>
      <c r="C38" s="595">
        <f ca="1">ROUND(C34*F38,0)</f>
        <v>6</v>
      </c>
      <c r="D38" s="595"/>
      <c r="E38" s="595"/>
      <c r="F38" s="634">
        <f>'数据-取费表'!B36</f>
        <v>1.4999999999999999E-2</v>
      </c>
      <c r="G38" s="594" t="s">
        <v>849</v>
      </c>
    </row>
    <row r="39" spans="1:7" s="589" customFormat="1" ht="13.5" customHeight="1">
      <c r="A39" s="1802" t="s">
        <v>1907</v>
      </c>
      <c r="B39" s="585" t="s">
        <v>836</v>
      </c>
      <c r="C39" s="607">
        <f ca="1">ROUND(C33*F20,0)</f>
        <v>10</v>
      </c>
      <c r="D39" s="607"/>
      <c r="E39" s="607"/>
      <c r="F39" s="608"/>
      <c r="G39" s="2618" t="s">
        <v>2521</v>
      </c>
    </row>
    <row r="40" spans="1:7" s="589" customFormat="1" ht="13.5" customHeight="1">
      <c r="A40" s="1802" t="s">
        <v>1908</v>
      </c>
      <c r="B40" s="585" t="s">
        <v>837</v>
      </c>
      <c r="C40" s="3237">
        <f>F21</f>
        <v>0.02</v>
      </c>
      <c r="D40" s="611" t="s">
        <v>861</v>
      </c>
      <c r="E40" s="607"/>
      <c r="F40" s="608"/>
      <c r="G40" s="609" t="s">
        <v>852</v>
      </c>
    </row>
    <row r="41" spans="1:7" s="589" customFormat="1" ht="13.5" customHeight="1">
      <c r="A41" s="1802" t="s">
        <v>1909</v>
      </c>
      <c r="B41" s="585" t="s">
        <v>839</v>
      </c>
      <c r="C41" s="607">
        <f ca="1">ROUND(SUM(C42:C43),0)</f>
        <v>36</v>
      </c>
      <c r="D41" s="610">
        <f ca="1">C44</f>
        <v>1.4E-3</v>
      </c>
      <c r="E41" s="611" t="s">
        <v>861</v>
      </c>
      <c r="F41" s="612"/>
      <c r="G41" s="2618" t="str">
        <f>IF('数据-取费表'!B22&lt;=1,"单利计息","复利计息")</f>
        <v>复利计息</v>
      </c>
    </row>
    <row r="42" spans="1:7" ht="13.5" customHeight="1">
      <c r="A42" s="1805" t="s">
        <v>1915</v>
      </c>
      <c r="B42" s="590" t="s">
        <v>2511</v>
      </c>
      <c r="C42" s="613">
        <f ca="1">ROUND(IF('数据-取费表'!B22&lt;=1,C33*F22*'数据-取费表'!B21/2,C33*(POWER((1+F22),'数据-取费表'!B21/2)-1)),0)</f>
        <v>35</v>
      </c>
      <c r="D42" s="613"/>
      <c r="E42" s="613"/>
      <c r="F42" s="614"/>
      <c r="G42" s="3578" t="s">
        <v>853</v>
      </c>
    </row>
    <row r="43" spans="1:7" ht="13.5" customHeight="1">
      <c r="A43" s="1805" t="s">
        <v>1916</v>
      </c>
      <c r="B43" s="590" t="s">
        <v>2514</v>
      </c>
      <c r="C43" s="613">
        <f ca="1">ROUND(IF('数据-取费表'!B22&lt;=1,C39*F22*'数据-取费表'!B21/2,C39*(POWER((1+F22),'数据-取费表'!B21/2)-1)),0)</f>
        <v>1</v>
      </c>
      <c r="D43" s="613"/>
      <c r="E43" s="613"/>
      <c r="F43" s="614"/>
      <c r="G43" s="3579"/>
    </row>
    <row r="44" spans="1:7" ht="13.5" customHeight="1">
      <c r="A44" s="1805" t="s">
        <v>1917</v>
      </c>
      <c r="B44" s="590" t="s">
        <v>2516</v>
      </c>
      <c r="C44" s="613">
        <f ca="1">ROUND(IF('数据-取费表'!B22&lt;=1,C40*F22*'数据-取费表'!B21/2,C40*(POWER((1+F22),'数据-取费表'!B21/2)-1)),4)</f>
        <v>1.4E-3</v>
      </c>
      <c r="D44" s="613"/>
      <c r="E44" s="613"/>
      <c r="F44" s="614"/>
      <c r="G44" s="3580"/>
    </row>
    <row r="45" spans="1:7" s="589" customFormat="1" ht="13.5" customHeight="1">
      <c r="A45" s="1802" t="s">
        <v>1910</v>
      </c>
      <c r="B45" s="619" t="s">
        <v>844</v>
      </c>
      <c r="C45" s="620">
        <f ca="1">C46</f>
        <v>105</v>
      </c>
      <c r="D45" s="610">
        <f ca="1">C47</f>
        <v>4.1999999999999997E-3</v>
      </c>
      <c r="E45" s="611" t="s">
        <v>861</v>
      </c>
      <c r="F45" s="621"/>
      <c r="G45" s="622" t="s">
        <v>2522</v>
      </c>
    </row>
    <row r="46" spans="1:7" s="589" customFormat="1" ht="13.5" customHeight="1">
      <c r="A46" s="1805" t="s">
        <v>1915</v>
      </c>
      <c r="B46" s="623" t="s">
        <v>2515</v>
      </c>
      <c r="C46" s="624">
        <f ca="1">ROUND((C33+C39)*F27,0)</f>
        <v>105</v>
      </c>
      <c r="D46" s="638"/>
      <c r="E46" s="611"/>
      <c r="F46" s="621"/>
      <c r="G46" s="622"/>
    </row>
    <row r="47" spans="1:7" s="589" customFormat="1" ht="13.5" customHeight="1">
      <c r="A47" s="1805" t="s">
        <v>1916</v>
      </c>
      <c r="B47" s="623" t="s">
        <v>2517</v>
      </c>
      <c r="C47" s="613">
        <f ca="1">ROUND(C40*F27,4)</f>
        <v>4.1999999999999997E-3</v>
      </c>
      <c r="D47" s="638"/>
      <c r="E47" s="611"/>
      <c r="F47" s="621"/>
      <c r="G47" s="622"/>
    </row>
    <row r="48" spans="1:7" s="589" customFormat="1" ht="13.5" customHeight="1">
      <c r="A48" s="1802" t="s">
        <v>1911</v>
      </c>
      <c r="B48" s="585" t="s">
        <v>854</v>
      </c>
      <c r="C48" s="3237">
        <f>ROUND(F30/(1+'数据-取费表'!C42),4)</f>
        <v>5.33E-2</v>
      </c>
      <c r="D48" s="611" t="s">
        <v>2942</v>
      </c>
      <c r="E48" s="607"/>
      <c r="F48" s="612"/>
      <c r="G48" s="2618" t="s">
        <v>2943</v>
      </c>
    </row>
    <row r="49" spans="1:7" ht="16.5" customHeight="1">
      <c r="A49" s="1802" t="s">
        <v>1912</v>
      </c>
      <c r="B49" s="585" t="s">
        <v>863</v>
      </c>
      <c r="C49" s="607">
        <f ca="1">ROUND((C33+C39+C41+C45)/(1-C40-D41-D45-C48),0)</f>
        <v>695</v>
      </c>
      <c r="D49" s="607"/>
      <c r="E49" s="607"/>
      <c r="F49" s="639"/>
      <c r="G49" s="609" t="s">
        <v>2523</v>
      </c>
    </row>
    <row r="50" spans="1:7" s="633" customFormat="1" ht="24">
      <c r="A50" s="1802" t="s">
        <v>1913</v>
      </c>
      <c r="B50" s="585" t="s">
        <v>856</v>
      </c>
      <c r="C50" s="607"/>
      <c r="D50" s="607"/>
      <c r="E50" s="607"/>
      <c r="F50" s="639">
        <f>IF('数据-取费表'!B24=0,'数据-取费表'!N16,1)</f>
        <v>1</v>
      </c>
      <c r="G50" s="622" t="s">
        <v>857</v>
      </c>
    </row>
    <row r="51" spans="1:7" ht="16.5" customHeight="1">
      <c r="A51" s="1802" t="s">
        <v>1914</v>
      </c>
      <c r="B51" s="585" t="s">
        <v>864</v>
      </c>
      <c r="C51" s="607">
        <f ca="1">ROUND(C49*F50,0)</f>
        <v>695</v>
      </c>
      <c r="D51" s="607"/>
      <c r="E51" s="607"/>
      <c r="F51" s="639"/>
      <c r="G51" s="609" t="s">
        <v>351</v>
      </c>
    </row>
    <row r="52" spans="1:7" s="583" customFormat="1" ht="16.5" thickBot="1">
      <c r="A52" s="640" t="s">
        <v>352</v>
      </c>
      <c r="B52" s="641"/>
      <c r="C52" s="642">
        <f ca="1">C31+C51</f>
        <v>770</v>
      </c>
      <c r="D52" s="641"/>
      <c r="E52" s="641"/>
      <c r="F52" s="641"/>
      <c r="G52" s="643"/>
    </row>
    <row r="55" spans="1:7" ht="15">
      <c r="B55" s="645" t="s">
        <v>353</v>
      </c>
      <c r="C55" s="646"/>
    </row>
    <row r="56" spans="1:7">
      <c r="B56" s="2873" t="s">
        <v>2698</v>
      </c>
      <c r="C56" s="650">
        <f ca="1">1-C57</f>
        <v>9.6999999999999975E-2</v>
      </c>
    </row>
    <row r="57" spans="1:7">
      <c r="B57" s="2873" t="s">
        <v>2697</v>
      </c>
      <c r="C57" s="649">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2628</v>
      </c>
      <c r="D1" s="573"/>
      <c r="E1" s="573"/>
      <c r="F1" s="573"/>
      <c r="G1" s="2751">
        <f>MATCH(B1,'数据-取费表'!A6:A16,0)+5</f>
        <v>9</v>
      </c>
      <c r="H1" s="2582" t="str">
        <f>IF(ISERROR(FIND("住宅",B1)),"非住宅","住宅")</f>
        <v>非住宅</v>
      </c>
    </row>
    <row r="2" spans="1:8" s="575" customFormat="1" ht="18" customHeight="1">
      <c r="A2" s="576" t="s">
        <v>342</v>
      </c>
      <c r="B2" s="577">
        <f ca="1">ROUND(IF(D2="——",C52/10000,C52/10000-E2),0)</f>
        <v>847</v>
      </c>
      <c r="C2" s="85" t="s">
        <v>865</v>
      </c>
      <c r="D2" s="2871" t="s">
        <v>527</v>
      </c>
      <c r="E2" s="2869" t="e">
        <f ca="1">SUMIF(INDIRECT("'"&amp;G2&amp;"'"&amp;"!A:A"),"承租人权益价值",INDIRECT("'"&amp;G2&amp;"'"&amp;"!c:c"))</f>
        <v>#REF!</v>
      </c>
      <c r="F2" s="2867" t="s">
        <v>865</v>
      </c>
      <c r="G2" s="2870"/>
    </row>
    <row r="3" spans="1:8" s="575" customFormat="1" ht="18" customHeight="1" thickBot="1">
      <c r="A3" s="578" t="s">
        <v>343</v>
      </c>
      <c r="B3" s="579">
        <f ca="1">ROUND(B2*10000/(IF(B1="",'数据-汇总表'!E3,INDIRECT("'数据-取费表'!k"&amp;$G$1))),0)</f>
        <v>2526</v>
      </c>
      <c r="C3" s="85" t="s">
        <v>866</v>
      </c>
      <c r="D3" s="574"/>
      <c r="E3" s="574"/>
      <c r="F3" s="574"/>
      <c r="G3" s="574"/>
    </row>
    <row r="4" spans="1:8" s="583" customFormat="1" ht="15.75">
      <c r="A4" s="580" t="s">
        <v>818</v>
      </c>
      <c r="B4" s="581"/>
      <c r="C4" s="581"/>
      <c r="D4" s="581"/>
      <c r="E4" s="581"/>
      <c r="F4" s="581"/>
      <c r="G4" s="582"/>
    </row>
    <row r="5" spans="1:8" s="589" customFormat="1" ht="13.5" customHeight="1">
      <c r="A5" s="630" t="s">
        <v>1906</v>
      </c>
      <c r="B5" s="585" t="s">
        <v>819</v>
      </c>
      <c r="C5" s="586">
        <f ca="1">C6+C7+C8</f>
        <v>503066</v>
      </c>
      <c r="D5" s="586" t="s">
        <v>820</v>
      </c>
      <c r="E5" s="587" t="s">
        <v>821</v>
      </c>
      <c r="F5" s="587" t="s">
        <v>822</v>
      </c>
      <c r="G5" s="588"/>
    </row>
    <row r="6" spans="1:8" s="589" customFormat="1" ht="13.5" customHeight="1">
      <c r="A6" s="1803" t="s">
        <v>1915</v>
      </c>
      <c r="B6" s="590" t="s">
        <v>823</v>
      </c>
      <c r="C6" s="591"/>
      <c r="D6" s="592"/>
      <c r="E6" s="593"/>
      <c r="F6" s="593"/>
      <c r="G6" s="594"/>
    </row>
    <row r="7" spans="1:8" s="589" customFormat="1" ht="13.5" customHeight="1">
      <c r="A7" s="1803" t="s">
        <v>1916</v>
      </c>
      <c r="B7" s="590" t="s">
        <v>344</v>
      </c>
      <c r="C7" s="595">
        <f>ROUND(C6*F7,0)</f>
        <v>0</v>
      </c>
      <c r="D7" s="595"/>
      <c r="E7" s="593"/>
      <c r="F7" s="596">
        <f>'数据-取费表'!B48+'数据-取费表'!B49</f>
        <v>3.0499999999999999E-2</v>
      </c>
      <c r="G7" s="594"/>
    </row>
    <row r="8" spans="1:8" s="598" customFormat="1">
      <c r="A8" s="1803" t="s">
        <v>1917</v>
      </c>
      <c r="B8" s="590" t="s">
        <v>824</v>
      </c>
      <c r="C8" s="595">
        <f ca="1">IF(G8="已包含在土地购买价格中",0,C9+C10)</f>
        <v>503066</v>
      </c>
      <c r="D8" s="597"/>
      <c r="E8" s="595"/>
      <c r="F8" s="596"/>
      <c r="G8" s="84"/>
    </row>
    <row r="9" spans="1:8" s="589" customFormat="1" ht="13.5" customHeight="1">
      <c r="A9" s="1804" t="s">
        <v>1924</v>
      </c>
      <c r="B9" s="599" t="s">
        <v>825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1925</v>
      </c>
      <c r="B10" s="599" t="s">
        <v>826</v>
      </c>
      <c r="C10" s="600">
        <f ca="1">ROUND(D10*E10,0)</f>
        <v>503066</v>
      </c>
      <c r="D10" s="1908">
        <f ca="1">IF(B1="",'数据-汇总表'!E6,IF(INDIRECT("'数据-取费表'!c"&amp;$G$1)="住宅",INDIRECT("'数据-取费表'!s"&amp;$G$1),INDIRECT("'数据-取费表'!k"&amp;$G$1)+INDIRECT("'数据-取费表'!s"&amp;$G$1)))</f>
        <v>3353.7699999999995</v>
      </c>
      <c r="E10" s="600">
        <f>'数据-取费表'!B28</f>
        <v>150</v>
      </c>
      <c r="F10" s="596"/>
      <c r="G10" s="601"/>
    </row>
    <row r="11" spans="1:8" s="589" customFormat="1" ht="13.5" hidden="1" customHeight="1">
      <c r="A11" s="602" t="s">
        <v>42</v>
      </c>
      <c r="B11" s="590" t="s">
        <v>827</v>
      </c>
      <c r="C11" s="586"/>
      <c r="D11" s="1910"/>
      <c r="E11" s="593"/>
      <c r="F11" s="593"/>
      <c r="G11" s="594"/>
    </row>
    <row r="12" spans="1:8" s="589" customFormat="1" ht="13.5" hidden="1" customHeight="1">
      <c r="A12" s="602" t="s">
        <v>43</v>
      </c>
      <c r="B12" s="590" t="s">
        <v>828</v>
      </c>
      <c r="C12" s="586">
        <v>0</v>
      </c>
      <c r="D12" s="1910"/>
      <c r="E12" s="603"/>
      <c r="F12" s="596">
        <v>3.0499999999999999E-2</v>
      </c>
      <c r="G12" s="594"/>
    </row>
    <row r="13" spans="1:8" s="589" customFormat="1" ht="13.5" hidden="1" customHeight="1">
      <c r="A13" s="602" t="s">
        <v>44</v>
      </c>
      <c r="B13" s="590" t="s">
        <v>829</v>
      </c>
      <c r="C13" s="586"/>
      <c r="D13" s="1910"/>
      <c r="E13" s="593"/>
      <c r="F13" s="593"/>
      <c r="G13" s="594"/>
    </row>
    <row r="14" spans="1:8" s="589" customFormat="1" ht="13.5" hidden="1" customHeight="1">
      <c r="A14" s="602" t="s">
        <v>45</v>
      </c>
      <c r="B14" s="590" t="s">
        <v>824</v>
      </c>
      <c r="C14" s="586"/>
      <c r="D14" s="1910"/>
      <c r="E14" s="593"/>
      <c r="F14" s="593"/>
      <c r="G14" s="594" t="s">
        <v>830</v>
      </c>
    </row>
    <row r="15" spans="1:8" s="589" customFormat="1" ht="13.5" hidden="1" customHeight="1">
      <c r="A15" s="602" t="s">
        <v>46</v>
      </c>
      <c r="B15" s="590" t="s">
        <v>831</v>
      </c>
      <c r="C15" s="595"/>
      <c r="D15" s="1910"/>
      <c r="E15" s="593"/>
      <c r="F15" s="593"/>
      <c r="G15" s="594" t="s">
        <v>832</v>
      </c>
    </row>
    <row r="16" spans="1:8"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1907</v>
      </c>
      <c r="B19" s="585" t="s">
        <v>843</v>
      </c>
      <c r="C19" s="586">
        <f ca="1">IF(G19="已包含在土地取得成本中","0",ROUND(D19*E19,0))</f>
        <v>503066</v>
      </c>
      <c r="D19" s="1912">
        <f ca="1">D9+D10</f>
        <v>3353.7699999999995</v>
      </c>
      <c r="E19" s="586">
        <f>'数据-取费表'!B31</f>
        <v>150</v>
      </c>
      <c r="F19" s="606"/>
      <c r="G19" s="84"/>
    </row>
    <row r="20" spans="1:7" s="589" customFormat="1" ht="13.5" customHeight="1">
      <c r="A20" s="1802" t="s">
        <v>1908</v>
      </c>
      <c r="B20" s="585" t="s">
        <v>836</v>
      </c>
      <c r="C20" s="607">
        <f ca="1">ROUND((C5+C19)*F20,0)</f>
        <v>20123</v>
      </c>
      <c r="D20" s="607"/>
      <c r="E20" s="607"/>
      <c r="F20" s="608">
        <f>'数据-取费表'!B37</f>
        <v>0.02</v>
      </c>
      <c r="G20" s="2618" t="s">
        <v>2518</v>
      </c>
    </row>
    <row r="21" spans="1:7" s="589" customFormat="1" ht="13.5" customHeight="1">
      <c r="A21" s="1802" t="s">
        <v>1909</v>
      </c>
      <c r="B21" s="585" t="s">
        <v>837</v>
      </c>
      <c r="C21" s="610">
        <f>F21</f>
        <v>0.02</v>
      </c>
      <c r="D21" s="611" t="s">
        <v>858</v>
      </c>
      <c r="E21" s="607"/>
      <c r="F21" s="608">
        <f>'数据-取费表'!B38</f>
        <v>0.02</v>
      </c>
      <c r="G21" s="609" t="s">
        <v>838</v>
      </c>
    </row>
    <row r="22" spans="1:7" s="589" customFormat="1" ht="13.5" customHeight="1">
      <c r="A22" s="1802" t="s">
        <v>1910</v>
      </c>
      <c r="B22" s="585" t="s">
        <v>839</v>
      </c>
      <c r="C22" s="2752">
        <f ca="1">ROUND(SUM(C23:C25),0)</f>
        <v>151743</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1915</v>
      </c>
      <c r="B23" s="590" t="s">
        <v>2511</v>
      </c>
      <c r="C23" s="2753">
        <f ca="1">ROUND(IF('数据-取费表'!B22&lt;=1,C5*F22*'数据-取费表'!B22,C5*(POWER((1+F22),'数据-取费表'!B22)-1)),0)</f>
        <v>75146</v>
      </c>
      <c r="D23" s="613"/>
      <c r="E23" s="613"/>
      <c r="F23" s="614"/>
      <c r="G23" s="615" t="s">
        <v>840</v>
      </c>
    </row>
    <row r="24" spans="1:7" s="589" customFormat="1" ht="13.5" customHeight="1">
      <c r="A24" s="1805" t="s">
        <v>1916</v>
      </c>
      <c r="B24" s="590" t="s">
        <v>2506</v>
      </c>
      <c r="C24" s="2753">
        <f ca="1">ROUND(IF('数据-取费表'!B22&lt;=1,C19*F22*('数据-取费表'!B19/2+'数据-取费表'!B20),C19*(POWER((1+F22),('数据-取费表'!B19/2+'数据-取费表'!B20))-1)),0)</f>
        <v>75146</v>
      </c>
      <c r="D24" s="613"/>
      <c r="E24" s="613"/>
      <c r="F24" s="614"/>
      <c r="G24" s="615" t="s">
        <v>841</v>
      </c>
    </row>
    <row r="25" spans="1:7" s="589" customFormat="1" ht="24">
      <c r="A25" s="1805" t="s">
        <v>1917</v>
      </c>
      <c r="B25" s="590" t="s">
        <v>2508</v>
      </c>
      <c r="C25" s="2753">
        <f ca="1">ROUND(IF('数据-取费表'!B22&lt;=1,C20*F22*'数据-取费表'!B22/2,C20*(POWER((1+F22),'数据-取费表'!B22/2)-1)),0)</f>
        <v>1451</v>
      </c>
      <c r="D25" s="613"/>
      <c r="E25" s="616"/>
      <c r="F25" s="614"/>
      <c r="G25" s="617" t="s">
        <v>842</v>
      </c>
    </row>
    <row r="26" spans="1:7" s="589" customFormat="1">
      <c r="A26" s="1805" t="s">
        <v>1919</v>
      </c>
      <c r="B26" s="590" t="s">
        <v>2510</v>
      </c>
      <c r="C26" s="613">
        <f ca="1">ROUND(IF('数据-取费表'!B22&lt;=1,F21*F22*'数据-取费表'!B22/2,F21*(POWER((1+F22),'数据-取费表'!B22/2)-1)),4)</f>
        <v>1.4E-3</v>
      </c>
      <c r="D26" s="613"/>
      <c r="E26" s="616"/>
      <c r="F26" s="614"/>
      <c r="G26" s="618"/>
    </row>
    <row r="27" spans="1:7" s="589" customFormat="1" ht="24.75">
      <c r="A27" s="1802" t="s">
        <v>1911</v>
      </c>
      <c r="B27" s="619" t="s">
        <v>844</v>
      </c>
      <c r="C27" s="620">
        <f ca="1">C28</f>
        <v>215514</v>
      </c>
      <c r="D27" s="610">
        <f ca="1">C29</f>
        <v>4.1999999999999997E-3</v>
      </c>
      <c r="E27" s="611" t="s">
        <v>858</v>
      </c>
      <c r="F27" s="621">
        <f ca="1">IF(B1="",'数据-取费表'!Q16,INDIRECT("'数据-取费表'!q"&amp;$G$1))</f>
        <v>0.21</v>
      </c>
      <c r="G27" s="622" t="s">
        <v>2519</v>
      </c>
    </row>
    <row r="28" spans="1:7" s="589" customFormat="1" ht="13.5" customHeight="1">
      <c r="A28" s="1805" t="s">
        <v>1915</v>
      </c>
      <c r="B28" s="623" t="s">
        <v>2512</v>
      </c>
      <c r="C28" s="624">
        <f ca="1">ROUND((C5+C19+C20)*F27,0)</f>
        <v>215514</v>
      </c>
      <c r="D28" s="610"/>
      <c r="E28" s="611"/>
      <c r="F28" s="621"/>
      <c r="G28" s="622"/>
    </row>
    <row r="29" spans="1:7" s="589" customFormat="1" ht="13.5" customHeight="1">
      <c r="A29" s="1805" t="s">
        <v>1916</v>
      </c>
      <c r="B29" s="623" t="s">
        <v>2513</v>
      </c>
      <c r="C29" s="613">
        <f ca="1">ROUND(C21*F27,4)</f>
        <v>4.1999999999999997E-3</v>
      </c>
      <c r="D29" s="610"/>
      <c r="E29" s="611"/>
      <c r="F29" s="621"/>
      <c r="G29" s="622"/>
    </row>
    <row r="30" spans="1:7" s="589" customFormat="1" ht="13.5" customHeight="1">
      <c r="A30" s="1802" t="s">
        <v>1912</v>
      </c>
      <c r="B30" s="585" t="s">
        <v>345</v>
      </c>
      <c r="C30" s="610">
        <f>ROUND(F30/(1+'数据-取费表'!C42),4)</f>
        <v>5.33E-2</v>
      </c>
      <c r="D30" s="611" t="s">
        <v>2944</v>
      </c>
      <c r="E30" s="616"/>
      <c r="F30" s="612">
        <f>'数据-取费表'!B41</f>
        <v>5.6000000000000001E-2</v>
      </c>
      <c r="G30" s="2618" t="s">
        <v>2945</v>
      </c>
    </row>
    <row r="31" spans="1:7" ht="16.5" customHeight="1">
      <c r="A31" s="584">
        <v>1</v>
      </c>
      <c r="B31" s="585" t="s">
        <v>860</v>
      </c>
      <c r="C31" s="586">
        <f ca="1">ROUND((C5+C19+C20+C22+C27)/(1-C21-D22-D27-C30),0)</f>
        <v>1512878</v>
      </c>
      <c r="D31" s="605"/>
      <c r="E31" s="586"/>
      <c r="F31" s="625"/>
      <c r="G31" s="609" t="s">
        <v>2520</v>
      </c>
    </row>
    <row r="32" spans="1:7" s="583" customFormat="1" ht="15.75">
      <c r="A32" s="627" t="s">
        <v>2623</v>
      </c>
      <c r="B32" s="628"/>
      <c r="C32" s="628"/>
      <c r="D32" s="628"/>
      <c r="E32" s="628"/>
      <c r="F32" s="628"/>
      <c r="G32" s="629"/>
    </row>
    <row r="33" spans="1:7" s="589" customFormat="1" ht="13.5" customHeight="1">
      <c r="A33" s="630" t="s">
        <v>1906</v>
      </c>
      <c r="B33" s="2754" t="s">
        <v>2624</v>
      </c>
      <c r="C33" s="631">
        <f ca="1">SUM(C34:C38)</f>
        <v>4897553</v>
      </c>
      <c r="D33" s="607"/>
      <c r="E33" s="587"/>
      <c r="F33" s="616"/>
      <c r="G33" s="609"/>
    </row>
    <row r="34" spans="1:7" s="633" customFormat="1" ht="13.5" customHeight="1">
      <c r="A34" s="1805" t="s">
        <v>1915</v>
      </c>
      <c r="B34" s="590" t="s">
        <v>346</v>
      </c>
      <c r="C34" s="595">
        <f ca="1">ROUND(IF(B1="",SUMPRODUCT('数据-取费表'!K6:K14,'数据-取费表'!L6:L14),INDIRECT("'数据-取费表'!l"&amp;$G$1)*INDIRECT("'数据-取费表'!k"&amp;$G$1)+'数据-取费表'!L14*INDIRECT("'数据-取费表'!S"&amp;$G$1)),0)</f>
        <v>4205250</v>
      </c>
      <c r="D34" s="592"/>
      <c r="E34" s="595"/>
      <c r="F34" s="632"/>
      <c r="G34" s="594"/>
    </row>
    <row r="35" spans="1:7" ht="13.5" customHeight="1">
      <c r="A35" s="1805" t="s">
        <v>1920</v>
      </c>
      <c r="B35" s="590" t="s">
        <v>347</v>
      </c>
      <c r="C35" s="595">
        <f ca="1">ROUND(C34*F35,0)</f>
        <v>126158</v>
      </c>
      <c r="D35" s="595"/>
      <c r="E35" s="595"/>
      <c r="F35" s="634">
        <f>'数据-取费表'!B33</f>
        <v>0.03</v>
      </c>
      <c r="G35" s="594" t="s">
        <v>849</v>
      </c>
    </row>
    <row r="36" spans="1:7" ht="24">
      <c r="A36" s="1805" t="s">
        <v>1921</v>
      </c>
      <c r="B36" s="590" t="s">
        <v>348</v>
      </c>
      <c r="C36" s="595">
        <f ca="1">ROUND(IF(B1="",SUM('数据-取费表'!AP6:AP13)*F36,IF(INDIRECT("'数据-取费表'!c"&amp;$G$1)="住宅",INDIRECT("'数据-取费表'!k"&amp;$G$1)*INDIRECT("'数据-取费表'!l"&amp;$G$1)*F36,0)),0)</f>
        <v>0</v>
      </c>
      <c r="D36" s="595"/>
      <c r="E36" s="595"/>
      <c r="F36" s="634">
        <f>'数据-取费表'!B34</f>
        <v>0.03</v>
      </c>
      <c r="G36" s="635" t="s">
        <v>349</v>
      </c>
    </row>
    <row r="37" spans="1:7" s="633" customFormat="1" ht="13.5" customHeight="1">
      <c r="A37" s="1805" t="s">
        <v>1922</v>
      </c>
      <c r="B37" s="590" t="s">
        <v>850</v>
      </c>
      <c r="C37" s="624">
        <f ca="1">ROUND(E37*D37,0)</f>
        <v>503066</v>
      </c>
      <c r="D37" s="592">
        <f ca="1">D19</f>
        <v>3353.7699999999995</v>
      </c>
      <c r="E37" s="624">
        <f>'数据-取费表'!B35</f>
        <v>150</v>
      </c>
      <c r="F37" s="634"/>
      <c r="G37" s="636"/>
    </row>
    <row r="38" spans="1:7" ht="13.5" customHeight="1">
      <c r="A38" s="1805" t="s">
        <v>1923</v>
      </c>
      <c r="B38" s="590" t="s">
        <v>350</v>
      </c>
      <c r="C38" s="595">
        <f ca="1">ROUND(C34*F38,0)</f>
        <v>63079</v>
      </c>
      <c r="D38" s="595"/>
      <c r="E38" s="595"/>
      <c r="F38" s="634">
        <f>'数据-取费表'!B36</f>
        <v>1.4999999999999999E-2</v>
      </c>
      <c r="G38" s="594" t="s">
        <v>849</v>
      </c>
    </row>
    <row r="39" spans="1:7" s="589" customFormat="1" ht="13.5" customHeight="1">
      <c r="A39" s="1802" t="s">
        <v>1907</v>
      </c>
      <c r="B39" s="585" t="s">
        <v>836</v>
      </c>
      <c r="C39" s="607">
        <f ca="1">ROUND(C33*F20,0)</f>
        <v>97951</v>
      </c>
      <c r="D39" s="607"/>
      <c r="E39" s="607"/>
      <c r="F39" s="608"/>
      <c r="G39" s="2618" t="s">
        <v>2521</v>
      </c>
    </row>
    <row r="40" spans="1:7" s="589" customFormat="1" ht="13.5" customHeight="1">
      <c r="A40" s="1802" t="s">
        <v>1908</v>
      </c>
      <c r="B40" s="585" t="s">
        <v>837</v>
      </c>
      <c r="C40" s="3237">
        <f>F21</f>
        <v>0.02</v>
      </c>
      <c r="D40" s="611" t="s">
        <v>861</v>
      </c>
      <c r="E40" s="607"/>
      <c r="F40" s="608"/>
      <c r="G40" s="609" t="s">
        <v>852</v>
      </c>
    </row>
    <row r="41" spans="1:7" s="589" customFormat="1" ht="13.5" customHeight="1">
      <c r="A41" s="1802" t="s">
        <v>1909</v>
      </c>
      <c r="B41" s="585" t="s">
        <v>839</v>
      </c>
      <c r="C41" s="607">
        <f ca="1">ROUND(SUM(C42:C43),0)</f>
        <v>360123</v>
      </c>
      <c r="D41" s="610">
        <f ca="1">C44</f>
        <v>1.4E-3</v>
      </c>
      <c r="E41" s="611" t="s">
        <v>861</v>
      </c>
      <c r="F41" s="612"/>
      <c r="G41" s="2618" t="str">
        <f>IF('数据-取费表'!B22&lt;=1,"单利计息","复利计息")</f>
        <v>复利计息</v>
      </c>
    </row>
    <row r="42" spans="1:7" ht="13.5" customHeight="1">
      <c r="A42" s="1805" t="s">
        <v>1915</v>
      </c>
      <c r="B42" s="590" t="s">
        <v>2511</v>
      </c>
      <c r="C42" s="613">
        <f ca="1">ROUND(IF('数据-取费表'!B22&lt;=1,C33*F22*'数据-取费表'!B20/2,C33*(POWER((1+F22),'数据-取费表'!B20/2)-1)),0)</f>
        <v>353062</v>
      </c>
      <c r="D42" s="613"/>
      <c r="E42" s="613"/>
      <c r="F42" s="614"/>
      <c r="G42" s="3581" t="s">
        <v>2627</v>
      </c>
    </row>
    <row r="43" spans="1:7" ht="13.5" customHeight="1">
      <c r="A43" s="1805" t="s">
        <v>1916</v>
      </c>
      <c r="B43" s="590" t="s">
        <v>2506</v>
      </c>
      <c r="C43" s="613">
        <f ca="1">ROUND(IF('数据-取费表'!B22&lt;=1,C39*F22*'数据-取费表'!B20/2,C39*(POWER((1+F22),'数据-取费表'!B20/2)-1)),0)</f>
        <v>7061</v>
      </c>
      <c r="D43" s="613"/>
      <c r="E43" s="613"/>
      <c r="F43" s="614"/>
      <c r="G43" s="3579"/>
    </row>
    <row r="44" spans="1:7" ht="13.5" customHeight="1">
      <c r="A44" s="1805" t="s">
        <v>1917</v>
      </c>
      <c r="B44" s="590" t="s">
        <v>2508</v>
      </c>
      <c r="C44" s="613">
        <f ca="1">ROUND(IF('数据-取费表'!B22&lt;=1,C40*F22*'数据-取费表'!B20/2,C40*(POWER((1+F22),'数据-取费表'!B20/2)-1)),4)</f>
        <v>1.4E-3</v>
      </c>
      <c r="D44" s="613"/>
      <c r="E44" s="613"/>
      <c r="F44" s="614"/>
      <c r="G44" s="3580"/>
    </row>
    <row r="45" spans="1:7" s="589" customFormat="1" ht="13.5" customHeight="1">
      <c r="A45" s="1802" t="s">
        <v>1910</v>
      </c>
      <c r="B45" s="619" t="s">
        <v>844</v>
      </c>
      <c r="C45" s="620">
        <f ca="1">C46</f>
        <v>1049056</v>
      </c>
      <c r="D45" s="610">
        <f ca="1">C47</f>
        <v>4.1999999999999997E-3</v>
      </c>
      <c r="E45" s="611" t="s">
        <v>861</v>
      </c>
      <c r="F45" s="621"/>
      <c r="G45" s="622" t="s">
        <v>2522</v>
      </c>
    </row>
    <row r="46" spans="1:7" s="589" customFormat="1" ht="13.5" customHeight="1">
      <c r="A46" s="1805" t="s">
        <v>1915</v>
      </c>
      <c r="B46" s="623" t="s">
        <v>2515</v>
      </c>
      <c r="C46" s="624">
        <f ca="1">ROUND((C33+C39)*F27,0)</f>
        <v>1049056</v>
      </c>
      <c r="D46" s="638"/>
      <c r="E46" s="611"/>
      <c r="F46" s="621"/>
      <c r="G46" s="622"/>
    </row>
    <row r="47" spans="1:7" s="589" customFormat="1" ht="13.5" customHeight="1">
      <c r="A47" s="1805" t="s">
        <v>1916</v>
      </c>
      <c r="B47" s="623" t="s">
        <v>2517</v>
      </c>
      <c r="C47" s="613">
        <f ca="1">ROUND(C40*F27,4)</f>
        <v>4.1999999999999997E-3</v>
      </c>
      <c r="D47" s="638"/>
      <c r="E47" s="611"/>
      <c r="F47" s="621"/>
      <c r="G47" s="622"/>
    </row>
    <row r="48" spans="1:7" s="589" customFormat="1" ht="13.5" customHeight="1">
      <c r="A48" s="1802" t="s">
        <v>1911</v>
      </c>
      <c r="B48" s="585" t="s">
        <v>854</v>
      </c>
      <c r="C48" s="637">
        <f>ROUND(F30/(1+'数据-取费表'!C42),4)</f>
        <v>5.33E-2</v>
      </c>
      <c r="D48" s="611" t="s">
        <v>2942</v>
      </c>
      <c r="E48" s="607"/>
      <c r="F48" s="612"/>
      <c r="G48" s="2618" t="s">
        <v>2943</v>
      </c>
    </row>
    <row r="49" spans="1:7" ht="16.5" customHeight="1">
      <c r="A49" s="1802" t="s">
        <v>1912</v>
      </c>
      <c r="B49" s="585" t="s">
        <v>2625</v>
      </c>
      <c r="C49" s="607">
        <f ca="1">ROUND((C33+C39+C41+C45)/(1-C40-D41-D45-C48),0)</f>
        <v>6953298</v>
      </c>
      <c r="D49" s="607"/>
      <c r="E49" s="607"/>
      <c r="F49" s="639"/>
      <c r="G49" s="609" t="s">
        <v>2523</v>
      </c>
    </row>
    <row r="50" spans="1:7" s="633" customFormat="1">
      <c r="A50" s="1802" t="s">
        <v>1913</v>
      </c>
      <c r="B50" s="585" t="s">
        <v>856</v>
      </c>
      <c r="C50" s="607"/>
      <c r="D50" s="607"/>
      <c r="E50" s="607"/>
      <c r="F50" s="639">
        <f>IF('数据-取费表'!B24=0,'数据-取费表'!N16,1)</f>
        <v>1</v>
      </c>
      <c r="G50" s="622"/>
    </row>
    <row r="51" spans="1:7" ht="16.5" customHeight="1">
      <c r="A51" s="1802" t="s">
        <v>1914</v>
      </c>
      <c r="B51" s="585" t="s">
        <v>2626</v>
      </c>
      <c r="C51" s="607">
        <f ca="1">ROUND(C49*F50,0)</f>
        <v>6953298</v>
      </c>
      <c r="D51" s="607"/>
      <c r="E51" s="607"/>
      <c r="F51" s="639"/>
      <c r="G51" s="609" t="s">
        <v>351</v>
      </c>
    </row>
    <row r="52" spans="1:7" s="583" customFormat="1" ht="16.5" thickBot="1">
      <c r="A52" s="640" t="s">
        <v>352</v>
      </c>
      <c r="B52" s="641"/>
      <c r="C52" s="642">
        <f ca="1">C31+C51</f>
        <v>8466176</v>
      </c>
      <c r="D52" s="641"/>
      <c r="E52" s="641"/>
      <c r="F52" s="641"/>
      <c r="G52" s="643"/>
    </row>
    <row r="55" spans="1:7" ht="15">
      <c r="B55" s="645" t="s">
        <v>353</v>
      </c>
      <c r="C55" s="646"/>
    </row>
    <row r="56" spans="1:7">
      <c r="B56" s="2873" t="s">
        <v>2698</v>
      </c>
      <c r="C56" s="650">
        <f ca="1">1-C57</f>
        <v>0.17900000000000005</v>
      </c>
    </row>
    <row r="57" spans="1:7">
      <c r="B57" s="2873" t="s">
        <v>2697</v>
      </c>
      <c r="C57" s="649">
        <f ca="1">ROUND(C51/C52,3)</f>
        <v>0.82099999999999995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867</v>
      </c>
      <c r="B1" s="3052"/>
      <c r="C1" s="3053"/>
      <c r="D1" s="3051"/>
      <c r="E1" s="651"/>
      <c r="F1" s="651"/>
      <c r="G1" s="3052"/>
      <c r="H1" s="651"/>
      <c r="I1" s="651"/>
      <c r="J1" s="651"/>
      <c r="K1" s="651">
        <f>MATCH(C1,'数据-取费表'!A6:A16,0)+5</f>
        <v>9</v>
      </c>
    </row>
    <row r="2" spans="1:33" ht="18" customHeight="1">
      <c r="A2" s="576" t="s">
        <v>816</v>
      </c>
      <c r="B2" s="579">
        <f ca="1">C32</f>
        <v>-60</v>
      </c>
      <c r="C2" s="88" t="s">
        <v>1093</v>
      </c>
      <c r="D2" s="651"/>
      <c r="E2" s="651"/>
      <c r="F2" s="651"/>
      <c r="G2" s="651"/>
      <c r="H2" s="651"/>
      <c r="I2" s="651"/>
      <c r="J2" s="651"/>
      <c r="K2" s="651"/>
    </row>
    <row r="3" spans="1:33" ht="18" customHeight="1" thickBot="1">
      <c r="A3" s="578" t="s">
        <v>817</v>
      </c>
      <c r="B3" s="579">
        <f ca="1">ROUND(B2*10000/IF(C1="",'数据-汇总表'!E3,INDIRECT("'数据-取费表'!K"&amp;$K$1)),0)</f>
        <v>-179</v>
      </c>
      <c r="C3" s="88" t="s">
        <v>866</v>
      </c>
      <c r="D3" s="651"/>
      <c r="E3" s="651"/>
      <c r="F3" s="651"/>
      <c r="G3" s="651"/>
      <c r="H3" s="651"/>
      <c r="I3" s="651"/>
      <c r="J3" s="651"/>
      <c r="K3" s="651"/>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1" t="s">
        <v>201</v>
      </c>
      <c r="D5" s="1271" t="s">
        <v>202</v>
      </c>
      <c r="E5" s="1271" t="s">
        <v>192</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0"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8"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2948</v>
      </c>
      <c r="B11" s="1827" t="s">
        <v>879</v>
      </c>
      <c r="C11" s="654">
        <f ca="1">IF(C1="",'数据-取费表'!P16,INDIRECT("'数据-取费表'!p"&amp;$K$1)+INDIRECT("'数据-取费表'!ar"&amp;$K$1))</f>
        <v>0</v>
      </c>
      <c r="D11" s="1828"/>
      <c r="E11" s="714"/>
      <c r="F11" s="1829">
        <f ca="1">1-IF('数据-取费表'!B24=0,1,IF(C1="",'数据-取费表'!N16,INDIRECT("'数据-取费表'!n"&amp;$K$1)))</f>
        <v>0</v>
      </c>
      <c r="G11" s="295"/>
      <c r="H11" s="1823"/>
      <c r="I11" s="1823"/>
      <c r="J11" s="1823"/>
      <c r="K11" s="1824"/>
    </row>
    <row r="12" spans="1:33" s="1830" customFormat="1" ht="13.5" customHeight="1">
      <c r="A12" s="1826" t="s">
        <v>2949</v>
      </c>
      <c r="B12" s="1827" t="s">
        <v>880</v>
      </c>
      <c r="C12" s="313">
        <f ca="1">ROUND(C11*F12,0)</f>
        <v>0</v>
      </c>
      <c r="D12" s="1828"/>
      <c r="E12" s="714"/>
      <c r="F12" s="1831">
        <f>'数据-取费表'!B33</f>
        <v>0.03</v>
      </c>
      <c r="G12" s="295" t="s">
        <v>881</v>
      </c>
      <c r="H12" s="1823"/>
      <c r="I12" s="1823"/>
      <c r="J12" s="1823"/>
      <c r="K12" s="1824"/>
    </row>
    <row r="13" spans="1:33" s="1830" customFormat="1" ht="13.5" customHeight="1">
      <c r="A13" s="1826" t="s">
        <v>2950</v>
      </c>
      <c r="B13" s="1827" t="s">
        <v>882</v>
      </c>
      <c r="C13" s="313">
        <f ca="1">ROUND(IF(C1="",SUMIF('数据-取费表'!C:C,"住宅",'数据-取费表'!P:P)*F13,IF(INDIRECT("'数据-取费表'!c"&amp;$K$1)="住宅",INDIRECT("'数据-取费表'!P"&amp;$K$1)*F13,0)),0)</f>
        <v>0</v>
      </c>
      <c r="D13" s="1909"/>
      <c r="E13" s="714"/>
      <c r="F13" s="1831">
        <f>'数据-取费表'!B34</f>
        <v>0.03</v>
      </c>
      <c r="G13" s="295" t="s">
        <v>883</v>
      </c>
      <c r="H13" s="1823"/>
      <c r="I13" s="1823"/>
      <c r="J13" s="1823"/>
      <c r="K13" s="1824"/>
    </row>
    <row r="14" spans="1:33" s="1832" customFormat="1" ht="13.5" customHeight="1">
      <c r="A14" s="1826" t="s">
        <v>2951</v>
      </c>
      <c r="B14" s="1827" t="s">
        <v>884</v>
      </c>
      <c r="C14" s="313">
        <f ca="1">ROUND(D14*E14*F11/10000,0)</f>
        <v>0</v>
      </c>
      <c r="D14" s="1909">
        <f ca="1">IF(C1="",'数据-汇总表'!E3,INDIRECT("'数据-取费表'!K"&amp;$K$1)+INDIRECT("'数据-取费表'!S"&amp;$K$1))</f>
        <v>3353.7699999999995</v>
      </c>
      <c r="E14" s="313">
        <f>'数据-取费表'!B35</f>
        <v>150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2952</v>
      </c>
      <c r="B15" s="1827" t="s">
        <v>891</v>
      </c>
      <c r="C15" s="1838">
        <f ca="1">ROUND(C11*F15,0)</f>
        <v>0</v>
      </c>
      <c r="D15" s="1833"/>
      <c r="E15" s="1838"/>
      <c r="F15" s="1839">
        <f>'数据-取费表'!B36</f>
        <v>1.4999999999999999E-2</v>
      </c>
      <c r="G15" s="470"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8" t="s">
        <v>2953</v>
      </c>
      <c r="C16" s="1838">
        <f ca="1">SUM(C11:C15)</f>
        <v>0</v>
      </c>
      <c r="D16" s="1833"/>
      <c r="E16" s="1838"/>
      <c r="F16" s="1839"/>
      <c r="G16" s="470"/>
      <c r="H16" s="3049"/>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886</v>
      </c>
      <c r="C17" s="313">
        <f ca="1">ROUND(D17*E17/10000,0)</f>
        <v>0</v>
      </c>
      <c r="D17" s="1909">
        <f ca="1">D14</f>
        <v>3353.7699999999995</v>
      </c>
      <c r="E17" s="313">
        <f>'数据-取费表'!B32</f>
        <v>0</v>
      </c>
      <c r="F17" s="1833"/>
      <c r="G17" s="470" t="s">
        <v>887</v>
      </c>
      <c r="H17" s="3049"/>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2954</v>
      </c>
      <c r="B18" s="1827" t="s">
        <v>888</v>
      </c>
      <c r="C18" s="313">
        <f ca="1">C19+C20-IF(C1="",'数据-取费表'!B29,IF(G18="已全部缴纳",C19+C20,H18))</f>
        <v>50</v>
      </c>
      <c r="D18" s="1909"/>
      <c r="E18" s="313"/>
      <c r="F18" s="1831"/>
      <c r="G18" s="3048"/>
      <c r="H18" s="3046"/>
      <c r="I18" s="3047" t="s">
        <v>2798</v>
      </c>
      <c r="J18" s="1834"/>
      <c r="K18" s="1835"/>
    </row>
    <row r="19" spans="1:33" s="1830" customFormat="1" ht="13.5" customHeight="1">
      <c r="A19" s="1826" t="s">
        <v>1929</v>
      </c>
      <c r="B19" s="1827" t="s">
        <v>889</v>
      </c>
      <c r="C19" s="313">
        <f ca="1">ROUND(D19*E19/10000,0)</f>
        <v>0</v>
      </c>
      <c r="D19" s="1909">
        <f ca="1">IF(C1="",'数据-汇总表'!E5,IF(INDIRECT("'数据-取费表'!c"&amp;$K$1)="住宅",INDIRECT("'数据-取费表'!k"&amp;$K$1),0))</f>
        <v>0</v>
      </c>
      <c r="E19" s="313">
        <f>'数据-取费表'!B27</f>
        <v>0</v>
      </c>
      <c r="F19" s="1831"/>
      <c r="G19" s="303"/>
      <c r="H19" s="3050"/>
      <c r="I19" s="1836"/>
      <c r="J19" s="1836"/>
      <c r="K19" s="1837"/>
    </row>
    <row r="20" spans="1:33" s="1830" customFormat="1" ht="13.5" customHeight="1">
      <c r="A20" s="1826" t="s">
        <v>1930</v>
      </c>
      <c r="B20" s="1827" t="s">
        <v>890</v>
      </c>
      <c r="C20" s="313">
        <f ca="1">ROUND(D20*E20/10000,0)</f>
        <v>50</v>
      </c>
      <c r="D20" s="1909">
        <f ca="1">IF(C1="",'数据-汇总表'!E6,IF(INDIRECT("'数据-取费表'!c"&amp;$K$1)="住宅",INDIRECT("'数据-取费表'!s"&amp;$K$1),INDIRECT("'数据-取费表'!k"&amp;$K$1)+INDIRECT("'数据-取费表'!s"&amp;$K$1)))</f>
        <v>3353.7699999999995</v>
      </c>
      <c r="E20" s="313">
        <f>'数据-取费表'!B28</f>
        <v>150</v>
      </c>
      <c r="F20" s="1831"/>
      <c r="G20" s="303"/>
      <c r="H20" s="1836"/>
      <c r="I20" s="1836"/>
      <c r="J20" s="1836"/>
      <c r="K20" s="1837"/>
    </row>
    <row r="21" spans="1:33" s="1830" customFormat="1" ht="13.5" customHeight="1">
      <c r="A21" s="1815" t="s">
        <v>1926</v>
      </c>
      <c r="B21" s="1840" t="s">
        <v>893</v>
      </c>
      <c r="C21" s="1841">
        <f ca="1">C16+C17+C18</f>
        <v>50</v>
      </c>
      <c r="D21" s="1842"/>
      <c r="E21" s="656"/>
      <c r="F21" s="656"/>
      <c r="G21" s="470" t="s">
        <v>2524</v>
      </c>
      <c r="H21" s="1834"/>
      <c r="I21" s="1834"/>
      <c r="J21" s="1834"/>
      <c r="K21" s="1835"/>
    </row>
    <row r="22" spans="1:33" s="1830" customFormat="1" ht="13.5" customHeight="1">
      <c r="A22" s="1820" t="s">
        <v>1907</v>
      </c>
      <c r="B22" s="1840" t="s">
        <v>894</v>
      </c>
      <c r="C22" s="1841">
        <f ca="1">ROUND(C21*F22,0)</f>
        <v>1</v>
      </c>
      <c r="D22" s="656"/>
      <c r="E22" s="656"/>
      <c r="F22" s="1843">
        <f>'数据-取费表'!B37</f>
        <v>0.02</v>
      </c>
      <c r="G22" s="295" t="s">
        <v>895</v>
      </c>
      <c r="H22" s="1823"/>
      <c r="I22" s="1823"/>
      <c r="J22" s="1823"/>
      <c r="K22" s="1824"/>
    </row>
    <row r="23" spans="1:33" s="1830" customFormat="1" ht="13.5" customHeight="1">
      <c r="A23" s="1820" t="s">
        <v>1908</v>
      </c>
      <c r="B23" s="1840" t="s">
        <v>896</v>
      </c>
      <c r="C23" s="1841">
        <f ca="1">ROUND(C4*F23*F11,0)</f>
        <v>0</v>
      </c>
      <c r="D23" s="656"/>
      <c r="E23" s="656"/>
      <c r="F23" s="1843">
        <f>'数据-取费表'!B38</f>
        <v>0.02</v>
      </c>
      <c r="G23" s="295" t="s">
        <v>897</v>
      </c>
      <c r="H23" s="1823"/>
      <c r="I23" s="1823"/>
      <c r="J23" s="1823"/>
      <c r="K23" s="1824"/>
    </row>
    <row r="24" spans="1:33" s="1830" customFormat="1" ht="13.5" customHeight="1">
      <c r="A24" s="1820" t="s">
        <v>1909</v>
      </c>
      <c r="B24" s="1840" t="s">
        <v>898</v>
      </c>
      <c r="C24" s="655">
        <f>ROUND(F24/(1+'数据-取费表'!C42),4)</f>
        <v>2.9000000000000001E-2</v>
      </c>
      <c r="D24" s="656" t="s">
        <v>50</v>
      </c>
      <c r="E24" s="656"/>
      <c r="F24" s="1843">
        <f>'数据-取费表'!B48+'数据-取费表'!B49</f>
        <v>3.0499999999999999E-2</v>
      </c>
      <c r="G24" s="2022" t="s">
        <v>2946</v>
      </c>
      <c r="H24" s="1845"/>
      <c r="I24" s="1845"/>
      <c r="J24" s="1845"/>
      <c r="K24" s="1846"/>
    </row>
    <row r="25" spans="1:33" s="1830" customFormat="1" ht="13.5" customHeight="1">
      <c r="A25" s="1820" t="s">
        <v>1910</v>
      </c>
      <c r="B25" s="1842" t="s">
        <v>899</v>
      </c>
      <c r="C25" s="2700">
        <f ca="1">C27</f>
        <v>0</v>
      </c>
      <c r="D25" s="655">
        <f ca="1">C26</f>
        <v>0</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1927</v>
      </c>
      <c r="B26" s="1847"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1928</v>
      </c>
      <c r="B27" s="1847" t="s">
        <v>2614</v>
      </c>
      <c r="C27" s="2702">
        <f ca="1">ROUND(IF('数据-取费表'!B22&lt;=1,(C21+C22+C23)*F25*'数据-取费表'!B24/2,(C21+C22+C23)*(POWER((1+F25),'数据-取费表'!B24/2)-1)),0)</f>
        <v>0</v>
      </c>
      <c r="D27" s="659"/>
      <c r="E27" s="660"/>
      <c r="F27" s="661"/>
      <c r="G27" s="2706" t="str">
        <f>IF('数据-取费表'!B22&lt;=1,"（1）-（3）项×年利率×建设期÷2","（1）-（3）项×((1+年利率)^(建设期÷2)-1)")</f>
        <v>（1）-（3）项×((1+年利率)^(建设期÷2)-1)</v>
      </c>
      <c r="H27" s="1834"/>
      <c r="I27" s="1834"/>
      <c r="J27" s="1834"/>
      <c r="K27" s="1835"/>
    </row>
    <row r="28" spans="1:33" s="664" customFormat="1" ht="13.5" customHeight="1">
      <c r="A28" s="1820" t="s">
        <v>1911</v>
      </c>
      <c r="B28" s="3239" t="s">
        <v>2955</v>
      </c>
      <c r="C28" s="662">
        <f ca="1">C30</f>
        <v>11</v>
      </c>
      <c r="D28" s="655">
        <f ca="1">C29</f>
        <v>0</v>
      </c>
      <c r="E28" s="657" t="s">
        <v>50</v>
      </c>
      <c r="F28" s="663">
        <f ca="1">IF(C1="",'数据-取费表'!Q16,INDIRECT("'数据-取费表'!q"&amp;$K$1))</f>
        <v>0.21</v>
      </c>
      <c r="G28" s="1844"/>
      <c r="H28" s="1845"/>
      <c r="I28" s="1845"/>
      <c r="J28" s="1845"/>
      <c r="K28" s="1846"/>
    </row>
    <row r="29" spans="1:33" s="666" customFormat="1" ht="13.5" customHeight="1">
      <c r="A29" s="1826" t="s">
        <v>1927</v>
      </c>
      <c r="B29" s="1849" t="s">
        <v>901</v>
      </c>
      <c r="C29" s="659">
        <f ca="1">ROUND((1+C24)*F28*'数据-取费表'!B24/'数据-取费表'!B20,4)</f>
        <v>0</v>
      </c>
      <c r="D29" s="659"/>
      <c r="E29" s="660"/>
      <c r="F29" s="665"/>
      <c r="G29" s="470" t="s">
        <v>902</v>
      </c>
      <c r="H29" s="1834"/>
      <c r="I29" s="1834"/>
      <c r="J29" s="1834"/>
      <c r="K29" s="1835"/>
    </row>
    <row r="30" spans="1:33" s="666" customFormat="1" ht="13.5" customHeight="1">
      <c r="A30" s="1826" t="s">
        <v>1928</v>
      </c>
      <c r="B30" s="2707" t="s">
        <v>2615</v>
      </c>
      <c r="C30" s="667">
        <f ca="1">ROUND((C21+C22+C23)*F28,0)</f>
        <v>11</v>
      </c>
      <c r="D30" s="659"/>
      <c r="E30" s="660"/>
      <c r="F30" s="665"/>
      <c r="G30" s="470"/>
      <c r="H30" s="1834"/>
      <c r="I30" s="1834"/>
      <c r="J30" s="1834"/>
      <c r="K30" s="1835"/>
    </row>
    <row r="31" spans="1:33" s="1830" customFormat="1" ht="13.5" customHeight="1" thickBot="1">
      <c r="A31" s="1861" t="s">
        <v>1912</v>
      </c>
      <c r="B31" s="1862" t="s">
        <v>903</v>
      </c>
      <c r="C31" s="1863">
        <f>ROUND(C4*F31/(1+'数据-取费表'!C42),0)</f>
        <v>0</v>
      </c>
      <c r="D31" s="1864"/>
      <c r="E31" s="1865"/>
      <c r="F31" s="1866">
        <f>'数据-取费表'!B41</f>
        <v>5.6000000000000001E-2</v>
      </c>
      <c r="G31" s="1867" t="s">
        <v>904</v>
      </c>
      <c r="H31" s="1868"/>
      <c r="I31" s="1868"/>
      <c r="J31" s="1868"/>
      <c r="K31" s="1869"/>
    </row>
    <row r="32" spans="1:33" s="1825" customFormat="1" ht="13.5" customHeight="1" thickBot="1">
      <c r="A32" s="1856" t="s">
        <v>2947</v>
      </c>
      <c r="B32" s="1857"/>
      <c r="C32" s="1858">
        <f ca="1">ROUND((C4-C21-C22-C23-C25-C28-C31)/(1+C24+D25+D28),0)</f>
        <v>-60</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58" sqref="M58"/>
    </sheetView>
  </sheetViews>
  <sheetFormatPr defaultRowHeight="13.5"/>
  <cols>
    <col min="1" max="1" width="23.625" customWidth="1"/>
    <col min="2" max="2" width="12" customWidth="1"/>
    <col min="4" max="4" width="14.125" customWidth="1"/>
  </cols>
  <sheetData>
    <row r="1" spans="1:5" ht="20.25">
      <c r="A1" s="2781" t="s">
        <v>2671</v>
      </c>
      <c r="B1" s="2782"/>
      <c r="C1" s="2782"/>
      <c r="D1" s="2782"/>
      <c r="E1" s="2783"/>
    </row>
    <row r="2" spans="1:5" ht="14.25">
      <c r="A2" s="2784" t="s">
        <v>2672</v>
      </c>
      <c r="B2" s="2778">
        <f ca="1">SUMIF(B6:B13,"&lt;&gt;#ref!",B6:B13)</f>
        <v>2247</v>
      </c>
      <c r="C2" s="2779" t="s">
        <v>2669</v>
      </c>
      <c r="D2" s="2780" t="s">
        <v>2674</v>
      </c>
      <c r="E2" s="2788">
        <f>SUM(E6:E13)</f>
        <v>2336.25</v>
      </c>
    </row>
    <row r="3" spans="1:5" ht="14.25">
      <c r="A3" s="2784" t="s">
        <v>2673</v>
      </c>
      <c r="B3" s="2778">
        <f ca="1">ROUND(B2*10000/E2,0)</f>
        <v>9618</v>
      </c>
      <c r="C3" s="2779" t="s">
        <v>2670</v>
      </c>
      <c r="D3" s="2785"/>
      <c r="E3" s="2789"/>
    </row>
    <row r="4" spans="1:5" ht="14.25">
      <c r="A4" s="2792"/>
      <c r="B4" s="2785"/>
      <c r="C4" s="2785"/>
      <c r="D4" s="2785"/>
      <c r="E4" s="2789"/>
    </row>
    <row r="5" spans="1:5">
      <c r="A5" s="2796" t="s">
        <v>2676</v>
      </c>
      <c r="B5" s="3582" t="s">
        <v>2678</v>
      </c>
      <c r="C5" s="3582"/>
      <c r="D5" s="2795"/>
      <c r="E5" s="2797" t="s">
        <v>2677</v>
      </c>
    </row>
    <row r="6" spans="1:5">
      <c r="A6" s="2793" t="str">
        <f>'数据-取费表'!AN6</f>
        <v>收益法(商业元)</v>
      </c>
      <c r="B6" s="2787">
        <f ca="1">'数据-取费表'!AO6</f>
        <v>856</v>
      </c>
      <c r="C6" s="2779" t="s">
        <v>2669</v>
      </c>
      <c r="D6" s="2785"/>
      <c r="E6" s="2788">
        <f>IF(A6=0,0,'数据-取费表'!K6+'数据-取费表'!S6)</f>
        <v>301.2</v>
      </c>
    </row>
    <row r="7" spans="1:5">
      <c r="A7" s="2793" t="str">
        <f>'数据-取费表'!AN7</f>
        <v>收益法 (办公)</v>
      </c>
      <c r="B7" s="2787">
        <f ca="1">'数据-取费表'!AO7</f>
        <v>1391</v>
      </c>
      <c r="C7" s="2779" t="s">
        <v>2669</v>
      </c>
      <c r="D7" s="2785"/>
      <c r="E7" s="2788">
        <f>IF(A7=0,0,'数据-取费表'!K7+'数据-取费表'!S7)</f>
        <v>2035.05</v>
      </c>
    </row>
    <row r="8" spans="1:5">
      <c r="A8" s="2793">
        <f>'数据-取费表'!AN8</f>
        <v>0</v>
      </c>
      <c r="B8" s="2787" t="e">
        <f ca="1">'数据-取费表'!AO8</f>
        <v>#REF!</v>
      </c>
      <c r="C8" s="2779" t="s">
        <v>2669</v>
      </c>
      <c r="D8" s="2785"/>
      <c r="E8" s="2788">
        <f>IF(A8=0,0,'数据-取费表'!K8+'数据-取费表'!S8)</f>
        <v>0</v>
      </c>
    </row>
    <row r="9" spans="1:5">
      <c r="A9" s="2793">
        <f>'数据-取费表'!AN9</f>
        <v>0</v>
      </c>
      <c r="B9" s="2787" t="e">
        <f ca="1">'数据-取费表'!AO9</f>
        <v>#REF!</v>
      </c>
      <c r="C9" s="2779" t="s">
        <v>2669</v>
      </c>
      <c r="D9" s="2785"/>
      <c r="E9" s="2788">
        <f>IF(A9=0,0,'数据-取费表'!K9+'数据-取费表'!S9)</f>
        <v>0</v>
      </c>
    </row>
    <row r="10" spans="1:5">
      <c r="A10" s="2793">
        <f>'数据-取费表'!AN10</f>
        <v>0</v>
      </c>
      <c r="B10" s="2787" t="e">
        <f ca="1">'数据-取费表'!AO10</f>
        <v>#REF!</v>
      </c>
      <c r="C10" s="2779" t="s">
        <v>2669</v>
      </c>
      <c r="D10" s="2785"/>
      <c r="E10" s="2788">
        <f>IF(A10=0,0,'数据-取费表'!K10+'数据-取费表'!S10)</f>
        <v>0</v>
      </c>
    </row>
    <row r="11" spans="1:5">
      <c r="A11" s="2793">
        <f>'数据-取费表'!AN11</f>
        <v>0</v>
      </c>
      <c r="B11" s="2787" t="e">
        <f ca="1">'数据-取费表'!AO11</f>
        <v>#REF!</v>
      </c>
      <c r="C11" s="2779" t="s">
        <v>2669</v>
      </c>
      <c r="D11" s="2785"/>
      <c r="E11" s="2788">
        <f>IF(A11=0,0,'数据-取费表'!K11+'数据-取费表'!S11)</f>
        <v>0</v>
      </c>
    </row>
    <row r="12" spans="1:5">
      <c r="A12" s="2793">
        <f>'数据-取费表'!AN12</f>
        <v>0</v>
      </c>
      <c r="B12" s="2787" t="e">
        <f ca="1">'数据-取费表'!AO12</f>
        <v>#REF!</v>
      </c>
      <c r="C12" s="2779" t="s">
        <v>2669</v>
      </c>
      <c r="D12" s="2785"/>
      <c r="E12" s="2788">
        <f>IF(A12=0,0,'数据-取费表'!K12+'数据-取费表'!S12)</f>
        <v>0</v>
      </c>
    </row>
    <row r="13" spans="1:5" ht="14.25" thickBot="1">
      <c r="A13" s="2794">
        <f>'数据-取费表'!AN13</f>
        <v>0</v>
      </c>
      <c r="B13" s="2790" t="e">
        <f ca="1">'数据-取费表'!AO13</f>
        <v>#REF!</v>
      </c>
      <c r="C13" s="2798" t="s">
        <v>2669</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RowHeight="13.5"/>
  <cols>
    <col min="1" max="1" width="10.5" customWidth="1"/>
    <col min="2" max="2" width="12.875" customWidth="1"/>
    <col min="3" max="3" width="8.75" customWidth="1"/>
  </cols>
  <sheetData>
    <row r="1" spans="1:9" ht="14.25">
      <c r="A1" s="3583" t="s">
        <v>2545</v>
      </c>
      <c r="B1" s="3584"/>
      <c r="C1" s="3585"/>
      <c r="D1" s="3586">
        <f>SUM(I10,I15,I20,I21,I23)</f>
        <v>0</v>
      </c>
      <c r="E1" s="3586"/>
      <c r="F1" s="3586"/>
      <c r="G1" s="3586"/>
      <c r="H1" s="3586"/>
      <c r="I1" s="3587"/>
    </row>
    <row r="2" spans="1:9">
      <c r="A2" s="3588" t="s">
        <v>2546</v>
      </c>
      <c r="B2" s="3589" t="s">
        <v>2547</v>
      </c>
      <c r="C2" s="3589"/>
      <c r="D2" s="2636" t="s">
        <v>2548</v>
      </c>
      <c r="E2" s="2636" t="s">
        <v>2549</v>
      </c>
      <c r="F2" s="2636" t="s">
        <v>2550</v>
      </c>
      <c r="G2" s="2636" t="s">
        <v>2551</v>
      </c>
      <c r="H2" s="2636" t="s">
        <v>2552</v>
      </c>
      <c r="I2" s="2637" t="s">
        <v>2553</v>
      </c>
    </row>
    <row r="3" spans="1:9">
      <c r="A3" s="3588"/>
      <c r="B3" s="3589" t="s">
        <v>2554</v>
      </c>
      <c r="C3" s="3589"/>
      <c r="D3" s="2638"/>
      <c r="E3" s="2636"/>
      <c r="F3" s="2639"/>
      <c r="G3" s="2639"/>
      <c r="H3" s="2640"/>
      <c r="I3" s="2641">
        <f>ROUND(D3*E3*F3*G3*H3/10000,0)</f>
        <v>0</v>
      </c>
    </row>
    <row r="4" spans="1:9">
      <c r="A4" s="3588"/>
      <c r="B4" s="3589" t="s">
        <v>2555</v>
      </c>
      <c r="C4" s="3589"/>
      <c r="D4" s="2638"/>
      <c r="E4" s="2636"/>
      <c r="F4" s="2639"/>
      <c r="G4" s="2639"/>
      <c r="H4" s="2640"/>
      <c r="I4" s="2641">
        <f t="shared" ref="I4:I9" si="0">ROUND(D4*E4*F4*G4*H4/10000,0)</f>
        <v>0</v>
      </c>
    </row>
    <row r="5" spans="1:9">
      <c r="A5" s="3588"/>
      <c r="B5" s="3589" t="s">
        <v>2556</v>
      </c>
      <c r="C5" s="3589"/>
      <c r="D5" s="2638"/>
      <c r="E5" s="2636"/>
      <c r="F5" s="2639"/>
      <c r="G5" s="2639"/>
      <c r="H5" s="2640"/>
      <c r="I5" s="2641">
        <f t="shared" si="0"/>
        <v>0</v>
      </c>
    </row>
    <row r="6" spans="1:9">
      <c r="A6" s="3588"/>
      <c r="B6" s="3589" t="s">
        <v>2557</v>
      </c>
      <c r="C6" s="3589"/>
      <c r="D6" s="2638"/>
      <c r="E6" s="2636"/>
      <c r="F6" s="2639"/>
      <c r="G6" s="2639"/>
      <c r="H6" s="2640"/>
      <c r="I6" s="2641">
        <f t="shared" si="0"/>
        <v>0</v>
      </c>
    </row>
    <row r="7" spans="1:9">
      <c r="A7" s="3588"/>
      <c r="B7" s="3589" t="s">
        <v>2558</v>
      </c>
      <c r="C7" s="3589"/>
      <c r="D7" s="2638"/>
      <c r="E7" s="2636"/>
      <c r="F7" s="2639"/>
      <c r="G7" s="2639"/>
      <c r="H7" s="2640"/>
      <c r="I7" s="2641">
        <f t="shared" si="0"/>
        <v>0</v>
      </c>
    </row>
    <row r="8" spans="1:9">
      <c r="A8" s="3588"/>
      <c r="B8" s="3589" t="s">
        <v>2559</v>
      </c>
      <c r="C8" s="3589"/>
      <c r="D8" s="2638"/>
      <c r="E8" s="2636"/>
      <c r="F8" s="2639"/>
      <c r="G8" s="2639"/>
      <c r="H8" s="2640"/>
      <c r="I8" s="2641">
        <f t="shared" si="0"/>
        <v>0</v>
      </c>
    </row>
    <row r="9" spans="1:9">
      <c r="A9" s="3588"/>
      <c r="B9" s="3589" t="s">
        <v>2560</v>
      </c>
      <c r="C9" s="3589"/>
      <c r="D9" s="2638"/>
      <c r="E9" s="2636"/>
      <c r="F9" s="2639"/>
      <c r="G9" s="2639"/>
      <c r="H9" s="2640"/>
      <c r="I9" s="2641">
        <f t="shared" si="0"/>
        <v>0</v>
      </c>
    </row>
    <row r="10" spans="1:9">
      <c r="A10" s="3588"/>
      <c r="B10" s="3590" t="s">
        <v>2561</v>
      </c>
      <c r="C10" s="3590"/>
      <c r="D10" s="2642"/>
      <c r="E10" s="2642" t="e">
        <f>ROUND(D1*10000/D10/H9,0)</f>
        <v>#DIV/0!</v>
      </c>
      <c r="F10" s="2643"/>
      <c r="G10" s="2643"/>
      <c r="H10" s="2644"/>
      <c r="I10" s="2645">
        <f>SUM(I3:I9)</f>
        <v>0</v>
      </c>
    </row>
    <row r="11" spans="1:9" ht="14.25">
      <c r="A11" s="3588" t="s">
        <v>2562</v>
      </c>
      <c r="B11" s="3589" t="s">
        <v>2563</v>
      </c>
      <c r="C11" s="3589"/>
      <c r="D11" s="2638" t="s">
        <v>2564</v>
      </c>
      <c r="E11" s="2638" t="s">
        <v>2565</v>
      </c>
      <c r="F11" s="2639" t="s">
        <v>2566</v>
      </c>
      <c r="G11" s="2639" t="s">
        <v>2552</v>
      </c>
      <c r="H11" s="2646" t="s">
        <v>2567</v>
      </c>
      <c r="I11" s="2637" t="s">
        <v>2553</v>
      </c>
    </row>
    <row r="12" spans="1:9">
      <c r="A12" s="3588"/>
      <c r="B12" s="3589" t="s">
        <v>2568</v>
      </c>
      <c r="C12" s="3589"/>
      <c r="D12" s="2638"/>
      <c r="E12" s="2638"/>
      <c r="F12" s="2639"/>
      <c r="G12" s="2640"/>
      <c r="H12" s="2647"/>
      <c r="I12" s="2637">
        <f>ROUND(D12*E12*F12*G12/10000,0)</f>
        <v>0</v>
      </c>
    </row>
    <row r="13" spans="1:9">
      <c r="A13" s="3588"/>
      <c r="B13" s="3589" t="s">
        <v>2569</v>
      </c>
      <c r="C13" s="3589"/>
      <c r="D13" s="2638"/>
      <c r="E13" s="2638"/>
      <c r="F13" s="2639"/>
      <c r="G13" s="2640"/>
      <c r="H13" s="2647"/>
      <c r="I13" s="2637">
        <f>ROUND(D13*E13*F13*G13/10000,0)</f>
        <v>0</v>
      </c>
    </row>
    <row r="14" spans="1:9">
      <c r="A14" s="3588"/>
      <c r="B14" s="3589" t="s">
        <v>2570</v>
      </c>
      <c r="C14" s="3589"/>
      <c r="D14" s="2638"/>
      <c r="E14" s="2638"/>
      <c r="F14" s="2639"/>
      <c r="G14" s="2640"/>
      <c r="H14" s="2647"/>
      <c r="I14" s="2637">
        <f>ROUND(D14*E14*F14*G14/10000,0)</f>
        <v>0</v>
      </c>
    </row>
    <row r="15" spans="1:9">
      <c r="A15" s="3588"/>
      <c r="B15" s="3590" t="s">
        <v>2561</v>
      </c>
      <c r="C15" s="3590"/>
      <c r="D15" s="2642"/>
      <c r="E15" s="2642">
        <f>SUM(E12:E14)</f>
        <v>0</v>
      </c>
      <c r="F15" s="2643"/>
      <c r="G15" s="2640"/>
      <c r="H15" s="2647"/>
      <c r="I15" s="2648">
        <f>SUM(I12:I14)</f>
        <v>0</v>
      </c>
    </row>
    <row r="16" spans="1:9" ht="24">
      <c r="A16" s="3588" t="s">
        <v>2571</v>
      </c>
      <c r="B16" s="3589" t="s">
        <v>2572</v>
      </c>
      <c r="C16" s="3589"/>
      <c r="D16" s="2638" t="s">
        <v>2548</v>
      </c>
      <c r="E16" s="2649" t="s">
        <v>2573</v>
      </c>
      <c r="F16" s="2639" t="s">
        <v>2574</v>
      </c>
      <c r="G16" s="2640" t="s">
        <v>2552</v>
      </c>
      <c r="H16" s="2646" t="s">
        <v>2567</v>
      </c>
      <c r="I16" s="2637" t="s">
        <v>2553</v>
      </c>
    </row>
    <row r="17" spans="1:9" ht="14.25">
      <c r="A17" s="3588"/>
      <c r="B17" s="3589" t="s">
        <v>2575</v>
      </c>
      <c r="C17" s="3589"/>
      <c r="D17" s="2638"/>
      <c r="E17" s="2638"/>
      <c r="F17" s="2639"/>
      <c r="G17" s="2640"/>
      <c r="H17" s="2650"/>
      <c r="I17" s="2651">
        <f>ROUND(D17*E17*F17*G17/10000,0)</f>
        <v>0</v>
      </c>
    </row>
    <row r="18" spans="1:9" ht="14.25">
      <c r="A18" s="3588"/>
      <c r="B18" s="3589" t="s">
        <v>2576</v>
      </c>
      <c r="C18" s="3589"/>
      <c r="D18" s="2638"/>
      <c r="E18" s="2638"/>
      <c r="F18" s="2639"/>
      <c r="G18" s="2640"/>
      <c r="H18" s="2650"/>
      <c r="I18" s="2651">
        <f>ROUND(D18*E18*F18*G18/10000,0)</f>
        <v>0</v>
      </c>
    </row>
    <row r="19" spans="1:9" ht="14.25">
      <c r="A19" s="3588"/>
      <c r="B19" s="3589" t="s">
        <v>2577</v>
      </c>
      <c r="C19" s="3589"/>
      <c r="D19" s="2638"/>
      <c r="E19" s="2638"/>
      <c r="F19" s="2639"/>
      <c r="G19" s="2640"/>
      <c r="H19" s="2650"/>
      <c r="I19" s="2651">
        <f>ROUND(D19*E19*F19*G19/10000,0)</f>
        <v>0</v>
      </c>
    </row>
    <row r="20" spans="1:9">
      <c r="A20" s="3588"/>
      <c r="B20" s="3590" t="s">
        <v>2561</v>
      </c>
      <c r="C20" s="3590"/>
      <c r="D20" s="2642">
        <f>SUM(D17:D19)</f>
        <v>0</v>
      </c>
      <c r="E20" s="2642"/>
      <c r="F20" s="2643"/>
      <c r="G20" s="2640"/>
      <c r="H20" s="2647"/>
      <c r="I20" s="2648">
        <f>SUM(I17:I19)</f>
        <v>0</v>
      </c>
    </row>
    <row r="21" spans="1:9">
      <c r="A21" s="3588" t="s">
        <v>2578</v>
      </c>
      <c r="B21" s="3592"/>
      <c r="C21" s="3592"/>
      <c r="D21" s="3592"/>
      <c r="E21" s="3592"/>
      <c r="F21" s="3592"/>
      <c r="G21" s="3592"/>
      <c r="H21" s="3300">
        <v>0.1</v>
      </c>
      <c r="I21" s="2645">
        <f>ROUND(I10*H21,0)</f>
        <v>0</v>
      </c>
    </row>
    <row r="22" spans="1:9" ht="14.25">
      <c r="A22" s="3593" t="s">
        <v>2579</v>
      </c>
      <c r="B22" s="3594"/>
      <c r="C22" s="3595"/>
      <c r="D22" s="2652" t="s">
        <v>2580</v>
      </c>
      <c r="E22" s="2652" t="s">
        <v>2581</v>
      </c>
      <c r="F22" s="2653" t="s">
        <v>2582</v>
      </c>
      <c r="G22" s="2653" t="s">
        <v>2583</v>
      </c>
      <c r="H22" s="2646" t="s">
        <v>2584</v>
      </c>
      <c r="I22" s="2637" t="s">
        <v>2585</v>
      </c>
    </row>
    <row r="23" spans="1:9" ht="14.25" thickBot="1">
      <c r="A23" s="3596"/>
      <c r="B23" s="3597"/>
      <c r="C23" s="3598"/>
      <c r="D23" s="2654"/>
      <c r="E23" s="2654"/>
      <c r="F23" s="2654"/>
      <c r="G23" s="2655"/>
      <c r="H23" s="2656"/>
      <c r="I23" s="2657">
        <f>ROUND(E23*D23*F23*(1-G23)/10000,0)</f>
        <v>0</v>
      </c>
    </row>
    <row r="26" spans="1:9">
      <c r="A26" s="2658" t="s">
        <v>2586</v>
      </c>
      <c r="B26" s="2658"/>
      <c r="C26" s="2658"/>
      <c r="D26" s="2658"/>
      <c r="E26" s="3599">
        <f>C27-C30-C31-C32</f>
        <v>0</v>
      </c>
      <c r="F26" s="3599"/>
      <c r="G26" s="3599"/>
      <c r="H26" s="3253" t="s">
        <v>2959</v>
      </c>
    </row>
    <row r="27" spans="1:9">
      <c r="A27" s="2659">
        <v>1</v>
      </c>
      <c r="B27" s="2660" t="s">
        <v>2587</v>
      </c>
      <c r="C27" s="2660">
        <f>C28+C29</f>
        <v>0</v>
      </c>
      <c r="D27" s="2660"/>
      <c r="E27" s="3600"/>
      <c r="F27" s="3600"/>
      <c r="G27" s="3600"/>
    </row>
    <row r="28" spans="1:9">
      <c r="A28" s="2661" t="s">
        <v>2588</v>
      </c>
      <c r="B28" s="2660" t="s">
        <v>2589</v>
      </c>
      <c r="C28" s="2660"/>
      <c r="D28" s="2660"/>
      <c r="E28" s="3600"/>
      <c r="F28" s="3600"/>
      <c r="G28" s="3600"/>
    </row>
    <row r="29" spans="1:9">
      <c r="A29" s="2661" t="s">
        <v>2590</v>
      </c>
      <c r="B29" s="2660" t="s">
        <v>2591</v>
      </c>
      <c r="C29" s="2660"/>
      <c r="D29" s="2660"/>
      <c r="E29" s="2660" t="s">
        <v>2592</v>
      </c>
      <c r="F29" s="2660"/>
      <c r="G29" s="2660"/>
    </row>
    <row r="30" spans="1:9">
      <c r="A30" s="2659">
        <v>2</v>
      </c>
      <c r="B30" s="2660" t="s">
        <v>2593</v>
      </c>
      <c r="C30" s="2660">
        <f>C27*D30</f>
        <v>0</v>
      </c>
      <c r="D30" s="2662">
        <v>0.2</v>
      </c>
      <c r="E30" s="2660" t="s">
        <v>2594</v>
      </c>
      <c r="F30" s="2660"/>
      <c r="G30" s="2660"/>
    </row>
    <row r="31" spans="1:9">
      <c r="A31" s="2659">
        <v>3</v>
      </c>
      <c r="B31" s="2660" t="s">
        <v>2595</v>
      </c>
      <c r="C31" s="2660">
        <f>C25*D31</f>
        <v>0</v>
      </c>
      <c r="D31" s="2662">
        <v>0.15</v>
      </c>
      <c r="E31" s="2660" t="s">
        <v>2596</v>
      </c>
      <c r="F31" s="2660"/>
      <c r="G31" s="2660"/>
    </row>
    <row r="32" spans="1:9">
      <c r="A32" s="2659">
        <v>4</v>
      </c>
      <c r="B32" s="2660" t="s">
        <v>2597</v>
      </c>
      <c r="C32" s="2660">
        <f>C27*D32</f>
        <v>0</v>
      </c>
      <c r="D32" s="2662">
        <v>0.05</v>
      </c>
      <c r="E32" s="3591"/>
      <c r="F32" s="3591"/>
      <c r="G32" s="3591"/>
    </row>
    <row r="33" spans="1:7" hidden="1">
      <c r="A33" s="3601" t="s">
        <v>2598</v>
      </c>
      <c r="B33" s="3602"/>
      <c r="C33" s="3602"/>
      <c r="D33" s="3603"/>
      <c r="E33" s="3599"/>
      <c r="F33" s="3599"/>
      <c r="G33" s="3599"/>
    </row>
    <row r="34" spans="1:7" hidden="1">
      <c r="A34" s="2663">
        <v>1</v>
      </c>
      <c r="B34" s="2660" t="s">
        <v>2599</v>
      </c>
      <c r="C34" s="2660"/>
      <c r="D34" s="2660"/>
      <c r="E34" s="3600"/>
      <c r="F34" s="3600"/>
      <c r="G34" s="3600"/>
    </row>
    <row r="35" spans="1:7" hidden="1">
      <c r="A35" s="2663">
        <v>2</v>
      </c>
      <c r="B35" s="2660" t="s">
        <v>2600</v>
      </c>
      <c r="C35" s="2660"/>
      <c r="D35" s="2660"/>
      <c r="E35" s="3600"/>
      <c r="F35" s="3600"/>
      <c r="G35" s="3600"/>
    </row>
    <row r="36" spans="1:7" hidden="1">
      <c r="A36" s="2663">
        <v>3</v>
      </c>
      <c r="B36" s="2660" t="s">
        <v>2601</v>
      </c>
      <c r="C36" s="2660"/>
      <c r="D36" s="2660"/>
      <c r="E36" s="3600"/>
      <c r="F36" s="3600"/>
      <c r="G36" s="3600"/>
    </row>
    <row r="37" spans="1:7" hidden="1">
      <c r="A37" s="2663">
        <v>4</v>
      </c>
      <c r="B37" s="2660" t="s">
        <v>2602</v>
      </c>
      <c r="C37" s="2660"/>
      <c r="D37" s="2660"/>
      <c r="E37" s="3600"/>
      <c r="F37" s="3600"/>
      <c r="G37" s="3600"/>
    </row>
    <row r="38" spans="1:7" hidden="1">
      <c r="A38" s="3601" t="s">
        <v>2603</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9" sqref="M19"/>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976</v>
      </c>
      <c r="B1" s="3103" t="s">
        <v>977</v>
      </c>
      <c r="C1" s="3104" t="s">
        <v>978</v>
      </c>
      <c r="D1" s="3105"/>
      <c r="E1" s="3106"/>
      <c r="F1" s="3107" t="s">
        <v>2694</v>
      </c>
      <c r="G1" s="3109" t="s">
        <v>979</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980</v>
      </c>
      <c r="B2" s="2845" t="e">
        <f ca="1">IF(C2="——",ROUND(C49*D3/10000,0),ROUND(C49*D3/10000,0)-D2)</f>
        <v>#DIV/0!</v>
      </c>
      <c r="C2" s="3099"/>
      <c r="D2" s="2722" t="e">
        <f ca="1">SUMIF(INDIRECT("'"&amp;F2&amp;"'"&amp;"!A:A"),"承租人权益价值",INDIRECT("'"&amp;F2&amp;"'"&amp;"!c:c"))</f>
        <v>#REF!</v>
      </c>
      <c r="E2" s="3100" t="s">
        <v>865</v>
      </c>
      <c r="F2" s="3101"/>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3353.7699999999995</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22" t="s">
        <v>984</v>
      </c>
      <c r="D4" s="3623"/>
      <c r="E4" s="3624" t="s">
        <v>985</v>
      </c>
      <c r="F4" s="3625"/>
      <c r="G4" s="3622" t="s">
        <v>986</v>
      </c>
      <c r="H4" s="3623"/>
      <c r="I4" s="3622" t="s">
        <v>987</v>
      </c>
      <c r="J4" s="3623"/>
      <c r="K4" s="145" t="s">
        <v>988</v>
      </c>
      <c r="L4" s="2294"/>
      <c r="M4" s="2295"/>
      <c r="N4" s="2295"/>
      <c r="O4" s="2295"/>
      <c r="P4" s="3626" t="s">
        <v>983</v>
      </c>
      <c r="Q4" s="3627"/>
      <c r="R4" s="3609" t="s">
        <v>985</v>
      </c>
      <c r="S4" s="3610"/>
      <c r="T4" s="3609" t="s">
        <v>986</v>
      </c>
      <c r="U4" s="3610"/>
      <c r="V4" s="3634" t="s">
        <v>987</v>
      </c>
      <c r="W4" s="3634"/>
      <c r="X4" s="1338"/>
      <c r="Y4" s="3609" t="s">
        <v>983</v>
      </c>
      <c r="Z4" s="3610"/>
      <c r="AA4" s="3604" t="s">
        <v>985</v>
      </c>
      <c r="AB4" s="3604" t="s">
        <v>986</v>
      </c>
      <c r="AC4" s="3604" t="s">
        <v>987</v>
      </c>
    </row>
    <row r="5" spans="1:29">
      <c r="A5" s="146"/>
      <c r="B5" s="147"/>
      <c r="C5" s="3615" t="s">
        <v>989</v>
      </c>
      <c r="D5" s="3616"/>
      <c r="E5" s="3613" t="s">
        <v>990</v>
      </c>
      <c r="F5" s="3614"/>
      <c r="G5" s="3615" t="s">
        <v>991</v>
      </c>
      <c r="H5" s="3616"/>
      <c r="I5" s="3615" t="s">
        <v>992</v>
      </c>
      <c r="J5" s="3616"/>
      <c r="K5" s="152"/>
      <c r="L5" s="2294"/>
      <c r="M5" s="2295"/>
      <c r="N5" s="2295"/>
      <c r="O5" s="2295"/>
      <c r="P5" s="3628"/>
      <c r="Q5" s="3629"/>
      <c r="R5" s="3611"/>
      <c r="S5" s="3612"/>
      <c r="T5" s="3611"/>
      <c r="U5" s="3612"/>
      <c r="V5" s="3634"/>
      <c r="W5" s="3634"/>
      <c r="X5" s="1338"/>
      <c r="Y5" s="3611"/>
      <c r="Z5" s="3612"/>
      <c r="AA5" s="3605"/>
      <c r="AB5" s="3605"/>
      <c r="AC5" s="3605"/>
    </row>
    <row r="6" spans="1:29" ht="14.25" thickBot="1">
      <c r="A6" s="148"/>
      <c r="B6" s="149"/>
      <c r="C6" s="3617" t="s">
        <v>993</v>
      </c>
      <c r="D6" s="3618"/>
      <c r="E6" s="3619" t="s">
        <v>993</v>
      </c>
      <c r="F6" s="3620"/>
      <c r="G6" s="3617" t="s">
        <v>993</v>
      </c>
      <c r="H6" s="3618"/>
      <c r="I6" s="3617" t="s">
        <v>993</v>
      </c>
      <c r="J6" s="3618"/>
      <c r="K6" s="152" t="s">
        <v>994</v>
      </c>
      <c r="L6" s="2294"/>
      <c r="M6" s="2295"/>
      <c r="N6" s="2295"/>
      <c r="O6" s="2295"/>
      <c r="P6" s="3630"/>
      <c r="Q6" s="3631"/>
      <c r="R6" s="3611"/>
      <c r="S6" s="3612"/>
      <c r="T6" s="3632"/>
      <c r="U6" s="3633"/>
      <c r="V6" s="3634"/>
      <c r="W6" s="3634"/>
      <c r="X6" s="1338"/>
      <c r="Y6" s="3632"/>
      <c r="Z6" s="3633"/>
      <c r="AA6" s="3606"/>
      <c r="AB6" s="3606"/>
      <c r="AC6" s="3606"/>
    </row>
    <row r="7" spans="1:29" s="40" customFormat="1" ht="15" thickBot="1">
      <c r="A7" s="1012" t="s">
        <v>995</v>
      </c>
      <c r="B7" s="1013"/>
      <c r="C7" s="1014">
        <f>'数据-取费表'!B2</f>
        <v>43003</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07" t="s">
        <v>995</v>
      </c>
      <c r="Q7" s="3635"/>
      <c r="R7" s="1340" t="s">
        <v>112</v>
      </c>
      <c r="S7" s="1341">
        <f t="shared" ref="S7:S15" si="0">F7</f>
        <v>0</v>
      </c>
      <c r="T7" s="1340" t="s">
        <v>112</v>
      </c>
      <c r="U7" s="1341">
        <f t="shared" ref="U7:U15" si="1">H7</f>
        <v>0</v>
      </c>
      <c r="V7" s="1340" t="s">
        <v>112</v>
      </c>
      <c r="W7" s="1341">
        <f t="shared" ref="W7:W15" si="2">J7</f>
        <v>0</v>
      </c>
      <c r="X7" s="287"/>
      <c r="Y7" s="3607" t="s">
        <v>995</v>
      </c>
      <c r="Z7" s="3608"/>
      <c r="AA7" s="1342" t="e">
        <f>D7/F7</f>
        <v>#DIV/0!</v>
      </c>
      <c r="AB7" s="1342" t="e">
        <f>D7/H7</f>
        <v>#DIV/0!</v>
      </c>
      <c r="AC7" s="1342" t="e">
        <f>D7/J7</f>
        <v>#DIV/0!</v>
      </c>
    </row>
    <row r="8" spans="1:29" s="40" customFormat="1" ht="15" thickBot="1">
      <c r="A8" s="1012" t="s">
        <v>996</v>
      </c>
      <c r="B8" s="1013"/>
      <c r="C8" s="1018" t="s">
        <v>152</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07" t="s">
        <v>996</v>
      </c>
      <c r="Q8" s="3608"/>
      <c r="R8" s="1340" t="s">
        <v>112</v>
      </c>
      <c r="S8" s="1341">
        <f t="shared" si="0"/>
        <v>0</v>
      </c>
      <c r="T8" s="1340" t="s">
        <v>112</v>
      </c>
      <c r="U8" s="1341">
        <f t="shared" si="1"/>
        <v>0</v>
      </c>
      <c r="V8" s="1340" t="s">
        <v>112</v>
      </c>
      <c r="W8" s="1341">
        <f t="shared" si="2"/>
        <v>0</v>
      </c>
      <c r="X8" s="287"/>
      <c r="Y8" s="3607" t="s">
        <v>996</v>
      </c>
      <c r="Z8" s="3608"/>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21" t="s">
        <v>64</v>
      </c>
      <c r="Q9" s="7" t="str">
        <f t="shared" ref="Q9:Q15" si="6">B9</f>
        <v>用途</v>
      </c>
      <c r="R9" s="1340" t="s">
        <v>62</v>
      </c>
      <c r="S9" s="1341">
        <f t="shared" si="0"/>
        <v>100</v>
      </c>
      <c r="T9" s="1340" t="s">
        <v>62</v>
      </c>
      <c r="U9" s="1341">
        <f t="shared" si="1"/>
        <v>100</v>
      </c>
      <c r="V9" s="1340" t="s">
        <v>62</v>
      </c>
      <c r="W9" s="1341">
        <f t="shared" si="2"/>
        <v>100</v>
      </c>
      <c r="X9" s="287"/>
      <c r="Y9" s="3450" t="s">
        <v>64</v>
      </c>
      <c r="Z9" s="288" t="str">
        <f t="shared" ref="Z9:Z15" si="7">Q9</f>
        <v>用途</v>
      </c>
      <c r="AA9" s="1342">
        <f t="shared" si="3"/>
        <v>1</v>
      </c>
      <c r="AB9" s="1342">
        <f t="shared" si="4"/>
        <v>1</v>
      </c>
      <c r="AC9" s="1342">
        <f t="shared" si="5"/>
        <v>1</v>
      </c>
    </row>
    <row r="10" spans="1:29" s="92" customFormat="1" ht="27">
      <c r="A10" s="150"/>
      <c r="B10" s="12" t="s">
        <v>103</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21"/>
      <c r="Q10" s="7" t="str">
        <f t="shared" si="6"/>
        <v>土地使用年限（年）</v>
      </c>
      <c r="R10" s="1340" t="s">
        <v>62</v>
      </c>
      <c r="S10" s="1341">
        <f t="shared" si="0"/>
        <v>100</v>
      </c>
      <c r="T10" s="1340" t="s">
        <v>62</v>
      </c>
      <c r="U10" s="1341">
        <f t="shared" si="1"/>
        <v>100</v>
      </c>
      <c r="V10" s="1340" t="s">
        <v>62</v>
      </c>
      <c r="W10" s="1341">
        <f t="shared" si="2"/>
        <v>100</v>
      </c>
      <c r="X10" s="287"/>
      <c r="Y10" s="3450"/>
      <c r="Z10" s="288" t="str">
        <f t="shared" si="7"/>
        <v>土地使用年限（年）</v>
      </c>
      <c r="AA10" s="1342">
        <f t="shared" si="3"/>
        <v>1</v>
      </c>
      <c r="AB10" s="1342">
        <f t="shared" si="4"/>
        <v>1</v>
      </c>
      <c r="AC10" s="1342">
        <f t="shared" si="5"/>
        <v>1</v>
      </c>
    </row>
    <row r="11" spans="1:29" ht="15">
      <c r="A11" s="151"/>
      <c r="B11" s="12" t="s">
        <v>90</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21"/>
      <c r="Q11" s="7" t="str">
        <f t="shared" si="6"/>
        <v>容积率</v>
      </c>
      <c r="R11" s="1340" t="s">
        <v>101</v>
      </c>
      <c r="S11" s="1341" t="e">
        <f t="shared" si="0"/>
        <v>#N/A</v>
      </c>
      <c r="T11" s="1340" t="s">
        <v>101</v>
      </c>
      <c r="U11" s="1341" t="e">
        <f t="shared" si="1"/>
        <v>#N/A</v>
      </c>
      <c r="V11" s="1340" t="s">
        <v>101</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21"/>
      <c r="Q12" s="7">
        <f t="shared" si="6"/>
        <v>111</v>
      </c>
      <c r="R12" s="1340" t="s">
        <v>101</v>
      </c>
      <c r="S12" s="1341">
        <f t="shared" si="0"/>
        <v>100</v>
      </c>
      <c r="T12" s="1340" t="s">
        <v>101</v>
      </c>
      <c r="U12" s="1341">
        <f t="shared" si="1"/>
        <v>100</v>
      </c>
      <c r="V12" s="1340" t="s">
        <v>101</v>
      </c>
      <c r="W12" s="1341">
        <f t="shared" si="2"/>
        <v>100</v>
      </c>
      <c r="X12" s="287"/>
      <c r="Y12" s="3450"/>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21"/>
      <c r="Q13" s="7">
        <f t="shared" si="6"/>
        <v>111</v>
      </c>
      <c r="R13" s="1340" t="s">
        <v>101</v>
      </c>
      <c r="S13" s="1341">
        <f t="shared" si="0"/>
        <v>100</v>
      </c>
      <c r="T13" s="1340" t="s">
        <v>101</v>
      </c>
      <c r="U13" s="1341">
        <f t="shared" si="1"/>
        <v>100</v>
      </c>
      <c r="V13" s="1340" t="s">
        <v>101</v>
      </c>
      <c r="W13" s="1341">
        <f t="shared" si="2"/>
        <v>100</v>
      </c>
      <c r="X13" s="287"/>
      <c r="Y13" s="3450"/>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21"/>
      <c r="Q14" s="7">
        <f t="shared" si="6"/>
        <v>111</v>
      </c>
      <c r="R14" s="1340" t="s">
        <v>101</v>
      </c>
      <c r="S14" s="1341">
        <f t="shared" si="0"/>
        <v>100</v>
      </c>
      <c r="T14" s="1340" t="s">
        <v>101</v>
      </c>
      <c r="U14" s="1341">
        <f t="shared" si="1"/>
        <v>100</v>
      </c>
      <c r="V14" s="1340" t="s">
        <v>101</v>
      </c>
      <c r="W14" s="1341">
        <f t="shared" si="2"/>
        <v>100</v>
      </c>
      <c r="X14" s="287"/>
      <c r="Y14" s="3450"/>
      <c r="Z14" s="288">
        <f t="shared" si="7"/>
        <v>111</v>
      </c>
      <c r="AA14" s="1342">
        <f t="shared" si="3"/>
        <v>1</v>
      </c>
      <c r="AB14" s="1342">
        <f t="shared" si="4"/>
        <v>1</v>
      </c>
      <c r="AC14" s="1342">
        <f t="shared" si="5"/>
        <v>1</v>
      </c>
    </row>
    <row r="15" spans="1:29" ht="94.5">
      <c r="A15" s="155" t="s">
        <v>66</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48" t="s">
        <v>66</v>
      </c>
      <c r="Q15" s="1349" t="str">
        <f t="shared" si="6"/>
        <v>居住社区成熟度</v>
      </c>
      <c r="R15" s="1350" t="s">
        <v>101</v>
      </c>
      <c r="S15" s="1351">
        <f t="shared" si="0"/>
        <v>100</v>
      </c>
      <c r="T15" s="1350" t="s">
        <v>101</v>
      </c>
      <c r="U15" s="1351">
        <f t="shared" si="1"/>
        <v>100</v>
      </c>
      <c r="V15" s="1350" t="s">
        <v>101</v>
      </c>
      <c r="W15" s="1351">
        <f t="shared" si="2"/>
        <v>100</v>
      </c>
      <c r="X15" s="1338"/>
      <c r="Y15" s="3641" t="s">
        <v>66</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49"/>
      <c r="Q16" s="1349"/>
      <c r="R16" s="1350"/>
      <c r="S16" s="1351"/>
      <c r="T16" s="1350"/>
      <c r="U16" s="1351"/>
      <c r="V16" s="1350"/>
      <c r="W16" s="1351"/>
      <c r="X16" s="1338"/>
      <c r="Y16" s="3642"/>
      <c r="Z16" s="1352"/>
      <c r="AA16" s="1353">
        <v>1</v>
      </c>
      <c r="AB16" s="1353">
        <v>1</v>
      </c>
      <c r="AC16" s="1353">
        <v>1</v>
      </c>
    </row>
    <row r="17" spans="1:29" ht="81">
      <c r="A17" s="151"/>
      <c r="B17" s="1354" t="s">
        <v>69</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49"/>
      <c r="Q17" s="1349" t="str">
        <f>B17</f>
        <v>交通便捷度</v>
      </c>
      <c r="R17" s="1350" t="s">
        <v>101</v>
      </c>
      <c r="S17" s="1351">
        <f>F17</f>
        <v>100</v>
      </c>
      <c r="T17" s="1350" t="s">
        <v>101</v>
      </c>
      <c r="U17" s="1351">
        <f>H17</f>
        <v>100</v>
      </c>
      <c r="V17" s="1350" t="s">
        <v>101</v>
      </c>
      <c r="W17" s="1351">
        <f>J17</f>
        <v>100</v>
      </c>
      <c r="X17" s="1338"/>
      <c r="Y17" s="3642"/>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49"/>
      <c r="Q18" s="1349"/>
      <c r="R18" s="1350"/>
      <c r="S18" s="1351"/>
      <c r="T18" s="1350"/>
      <c r="U18" s="1351"/>
      <c r="V18" s="1350"/>
      <c r="W18" s="1351"/>
      <c r="X18" s="1338"/>
      <c r="Y18" s="3642"/>
      <c r="Z18" s="1352"/>
      <c r="AA18" s="1353">
        <v>1</v>
      </c>
      <c r="AB18" s="1353">
        <v>1</v>
      </c>
      <c r="AC18" s="1353">
        <v>1</v>
      </c>
    </row>
    <row r="19" spans="1:29" ht="40.5">
      <c r="A19" s="151"/>
      <c r="B19" s="1354" t="s">
        <v>2630</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49"/>
      <c r="Q19" s="1349" t="str">
        <f>B19</f>
        <v>公共配套设施</v>
      </c>
      <c r="R19" s="1350" t="s">
        <v>101</v>
      </c>
      <c r="S19" s="1351">
        <f>F19</f>
        <v>100</v>
      </c>
      <c r="T19" s="1350" t="s">
        <v>101</v>
      </c>
      <c r="U19" s="1351">
        <f>H19</f>
        <v>100</v>
      </c>
      <c r="V19" s="1350" t="s">
        <v>101</v>
      </c>
      <c r="W19" s="1351">
        <f>J19</f>
        <v>100</v>
      </c>
      <c r="X19" s="1338"/>
      <c r="Y19" s="3642"/>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49"/>
      <c r="Q20" s="1349"/>
      <c r="R20" s="1350"/>
      <c r="S20" s="1351"/>
      <c r="T20" s="1350"/>
      <c r="U20" s="1351"/>
      <c r="V20" s="1350"/>
      <c r="W20" s="1351"/>
      <c r="X20" s="1338"/>
      <c r="Y20" s="3642"/>
      <c r="Z20" s="1352"/>
      <c r="AA20" s="1353">
        <v>1</v>
      </c>
      <c r="AB20" s="1353">
        <v>1</v>
      </c>
      <c r="AC20" s="1353">
        <v>1</v>
      </c>
    </row>
    <row r="21" spans="1:29" ht="27">
      <c r="A21" s="151"/>
      <c r="B21" s="1410" t="s">
        <v>2641</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49"/>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1"/>
      <c r="L22" s="2300"/>
      <c r="M22" s="2295"/>
      <c r="N22" s="2295"/>
      <c r="O22" s="2295"/>
      <c r="P22" s="3649"/>
      <c r="Q22" s="2744"/>
      <c r="R22" s="1350"/>
      <c r="S22" s="1351"/>
      <c r="T22" s="1350"/>
      <c r="U22" s="1351"/>
      <c r="V22" s="1350"/>
      <c r="W22" s="1351"/>
      <c r="X22" s="2746"/>
      <c r="Y22" s="3642"/>
      <c r="Z22" s="2745"/>
      <c r="AA22" s="1353">
        <v>1</v>
      </c>
      <c r="AB22" s="1353">
        <v>1</v>
      </c>
      <c r="AC22" s="1353">
        <v>1</v>
      </c>
    </row>
    <row r="23" spans="1:29" ht="54">
      <c r="A23" s="151"/>
      <c r="B23" s="1354" t="s">
        <v>70</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49"/>
      <c r="Q23" s="1349" t="str">
        <f>B23</f>
        <v>自然及人文环境</v>
      </c>
      <c r="R23" s="1350" t="s">
        <v>101</v>
      </c>
      <c r="S23" s="1351">
        <f>F23</f>
        <v>100</v>
      </c>
      <c r="T23" s="1350" t="s">
        <v>101</v>
      </c>
      <c r="U23" s="1351">
        <f>H23</f>
        <v>100</v>
      </c>
      <c r="V23" s="1350" t="s">
        <v>101</v>
      </c>
      <c r="W23" s="1351">
        <f>J23</f>
        <v>100</v>
      </c>
      <c r="X23" s="1338"/>
      <c r="Y23" s="3642"/>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49"/>
      <c r="Q24" s="1349"/>
      <c r="R24" s="1350"/>
      <c r="S24" s="1351"/>
      <c r="T24" s="1350"/>
      <c r="U24" s="1351"/>
      <c r="V24" s="1350"/>
      <c r="W24" s="1351"/>
      <c r="X24" s="1338"/>
      <c r="Y24" s="3642"/>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49"/>
      <c r="Q25" s="1349" t="str">
        <f t="shared" ref="Q25:Q46" si="11">B25</f>
        <v>楼层-1</v>
      </c>
      <c r="R25" s="1350" t="s">
        <v>101</v>
      </c>
      <c r="S25" s="1351">
        <f t="shared" ref="S25:S46" si="12">F25</f>
        <v>100</v>
      </c>
      <c r="T25" s="1350" t="s">
        <v>101</v>
      </c>
      <c r="U25" s="1351">
        <f t="shared" ref="U25:U46" si="13">H25</f>
        <v>100</v>
      </c>
      <c r="V25" s="1350" t="s">
        <v>101</v>
      </c>
      <c r="W25" s="1351">
        <f t="shared" ref="W25:W46" si="14">J25</f>
        <v>100</v>
      </c>
      <c r="X25" s="1338"/>
      <c r="Y25" s="3642"/>
      <c r="Z25" s="1352" t="str">
        <f>Q25</f>
        <v>楼层-1</v>
      </c>
      <c r="AA25" s="1353">
        <f t="shared" ref="AA25:AA46" si="15">D25/F25</f>
        <v>1</v>
      </c>
      <c r="AB25" s="1353">
        <f t="shared" ref="AB25:AB46" si="16">D25/H25</f>
        <v>1</v>
      </c>
      <c r="AC25" s="1353">
        <f t="shared" ref="AC25:AC46" si="17">D25/J25</f>
        <v>1</v>
      </c>
    </row>
    <row r="26" spans="1:29" ht="15">
      <c r="A26" s="151"/>
      <c r="B26" s="12" t="s">
        <v>71</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49"/>
      <c r="Q26" s="1349" t="str">
        <f t="shared" si="11"/>
        <v>朝向</v>
      </c>
      <c r="R26" s="1350" t="s">
        <v>101</v>
      </c>
      <c r="S26" s="1351">
        <f t="shared" si="12"/>
        <v>100</v>
      </c>
      <c r="T26" s="1350" t="s">
        <v>101</v>
      </c>
      <c r="U26" s="1351">
        <f t="shared" si="13"/>
        <v>100</v>
      </c>
      <c r="V26" s="1350" t="s">
        <v>101</v>
      </c>
      <c r="W26" s="1351">
        <f t="shared" si="14"/>
        <v>100</v>
      </c>
      <c r="X26" s="1338"/>
      <c r="Y26" s="3642"/>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49"/>
      <c r="Q27" s="7">
        <f t="shared" si="11"/>
        <v>111</v>
      </c>
      <c r="R27" s="1340" t="s">
        <v>101</v>
      </c>
      <c r="S27" s="1341">
        <f t="shared" si="12"/>
        <v>100</v>
      </c>
      <c r="T27" s="1340" t="s">
        <v>101</v>
      </c>
      <c r="U27" s="1341">
        <f t="shared" si="13"/>
        <v>100</v>
      </c>
      <c r="V27" s="1340" t="s">
        <v>101</v>
      </c>
      <c r="W27" s="1341">
        <f t="shared" si="14"/>
        <v>100</v>
      </c>
      <c r="X27" s="287"/>
      <c r="Y27" s="3642"/>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49"/>
      <c r="Q28" s="1349">
        <f t="shared" si="11"/>
        <v>111</v>
      </c>
      <c r="R28" s="1350" t="s">
        <v>101</v>
      </c>
      <c r="S28" s="1351">
        <f t="shared" si="12"/>
        <v>100</v>
      </c>
      <c r="T28" s="1350" t="s">
        <v>101</v>
      </c>
      <c r="U28" s="1351">
        <f t="shared" si="13"/>
        <v>100</v>
      </c>
      <c r="V28" s="1350" t="s">
        <v>101</v>
      </c>
      <c r="W28" s="1351">
        <f t="shared" si="14"/>
        <v>100</v>
      </c>
      <c r="X28" s="1338"/>
      <c r="Y28" s="3642"/>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49"/>
      <c r="Q29" s="1349">
        <f t="shared" si="11"/>
        <v>111</v>
      </c>
      <c r="R29" s="1350" t="s">
        <v>101</v>
      </c>
      <c r="S29" s="1351">
        <f t="shared" si="12"/>
        <v>100</v>
      </c>
      <c r="T29" s="1350" t="s">
        <v>101</v>
      </c>
      <c r="U29" s="1351">
        <f t="shared" si="13"/>
        <v>100</v>
      </c>
      <c r="V29" s="1350" t="s">
        <v>101</v>
      </c>
      <c r="W29" s="1351">
        <f t="shared" si="14"/>
        <v>100</v>
      </c>
      <c r="X29" s="1338"/>
      <c r="Y29" s="3642"/>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49"/>
      <c r="Q30" s="1349">
        <f t="shared" si="11"/>
        <v>111</v>
      </c>
      <c r="R30" s="1350" t="s">
        <v>101</v>
      </c>
      <c r="S30" s="1351">
        <f t="shared" si="12"/>
        <v>100</v>
      </c>
      <c r="T30" s="1350" t="s">
        <v>101</v>
      </c>
      <c r="U30" s="1351">
        <f t="shared" si="13"/>
        <v>100</v>
      </c>
      <c r="V30" s="1350" t="s">
        <v>101</v>
      </c>
      <c r="W30" s="1351">
        <f t="shared" si="14"/>
        <v>100</v>
      </c>
      <c r="X30" s="1338"/>
      <c r="Y30" s="3642"/>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49"/>
      <c r="Q31" s="1349">
        <f t="shared" si="11"/>
        <v>111</v>
      </c>
      <c r="R31" s="1350" t="s">
        <v>101</v>
      </c>
      <c r="S31" s="1351">
        <f t="shared" si="12"/>
        <v>100</v>
      </c>
      <c r="T31" s="1350" t="s">
        <v>101</v>
      </c>
      <c r="U31" s="1351">
        <f t="shared" si="13"/>
        <v>100</v>
      </c>
      <c r="V31" s="1350" t="s">
        <v>101</v>
      </c>
      <c r="W31" s="1351">
        <f t="shared" si="14"/>
        <v>100</v>
      </c>
      <c r="X31" s="1338"/>
      <c r="Y31" s="3642"/>
      <c r="Z31" s="1352">
        <f t="shared" si="18"/>
        <v>111</v>
      </c>
      <c r="AA31" s="1353">
        <f t="shared" si="15"/>
        <v>1</v>
      </c>
      <c r="AB31" s="1353">
        <f t="shared" si="16"/>
        <v>1</v>
      </c>
      <c r="AC31" s="1353">
        <f t="shared" si="17"/>
        <v>1</v>
      </c>
    </row>
    <row r="32" spans="1:29" ht="15">
      <c r="A32" s="155" t="s">
        <v>999</v>
      </c>
      <c r="B32" s="62" t="s">
        <v>72</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643" t="s">
        <v>67</v>
      </c>
      <c r="Q32" s="1349" t="str">
        <f t="shared" si="11"/>
        <v>建筑类型</v>
      </c>
      <c r="R32" s="1350" t="s">
        <v>101</v>
      </c>
      <c r="S32" s="1351">
        <f t="shared" si="12"/>
        <v>100</v>
      </c>
      <c r="T32" s="1350" t="s">
        <v>101</v>
      </c>
      <c r="U32" s="1351">
        <f t="shared" si="13"/>
        <v>100</v>
      </c>
      <c r="V32" s="1350" t="s">
        <v>101</v>
      </c>
      <c r="W32" s="1351">
        <f t="shared" si="14"/>
        <v>100</v>
      </c>
      <c r="X32" s="1338"/>
      <c r="Y32" s="3646" t="s">
        <v>67</v>
      </c>
      <c r="Z32" s="1352" t="str">
        <f t="shared" si="18"/>
        <v>建筑类型</v>
      </c>
      <c r="AA32" s="1353">
        <f t="shared" si="15"/>
        <v>1</v>
      </c>
      <c r="AB32" s="1353">
        <f t="shared" si="16"/>
        <v>1</v>
      </c>
      <c r="AC32" s="1353">
        <f t="shared" si="17"/>
        <v>1</v>
      </c>
    </row>
    <row r="33" spans="1:29" s="1037" customFormat="1" ht="14.25">
      <c r="A33" s="1041"/>
      <c r="B33" s="12" t="s">
        <v>73</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44"/>
      <c r="Q33" s="1357" t="str">
        <f t="shared" si="11"/>
        <v>项目建筑规模</v>
      </c>
      <c r="R33" s="1358" t="s">
        <v>101</v>
      </c>
      <c r="S33" s="1359" t="e">
        <f t="shared" si="12"/>
        <v>#N/A</v>
      </c>
      <c r="T33" s="1358" t="s">
        <v>101</v>
      </c>
      <c r="U33" s="1359" t="e">
        <f t="shared" si="13"/>
        <v>#N/A</v>
      </c>
      <c r="V33" s="1358" t="s">
        <v>101</v>
      </c>
      <c r="W33" s="1359" t="e">
        <f t="shared" si="14"/>
        <v>#N/A</v>
      </c>
      <c r="X33" s="1360"/>
      <c r="Y33" s="3646"/>
      <c r="Z33" s="1361" t="str">
        <f t="shared" si="18"/>
        <v>项目建筑规模</v>
      </c>
      <c r="AA33" s="1353" t="e">
        <f t="shared" si="15"/>
        <v>#N/A</v>
      </c>
      <c r="AB33" s="1353" t="e">
        <f t="shared" si="16"/>
        <v>#N/A</v>
      </c>
      <c r="AC33" s="1353" t="e">
        <f t="shared" si="17"/>
        <v>#N/A</v>
      </c>
    </row>
    <row r="34" spans="1:29" ht="15">
      <c r="A34" s="161"/>
      <c r="B34" s="12" t="s">
        <v>74</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44"/>
      <c r="Q34" s="1349" t="str">
        <f t="shared" si="11"/>
        <v>建筑结构</v>
      </c>
      <c r="R34" s="1350" t="s">
        <v>101</v>
      </c>
      <c r="S34" s="1351">
        <f t="shared" si="12"/>
        <v>100</v>
      </c>
      <c r="T34" s="1350" t="s">
        <v>101</v>
      </c>
      <c r="U34" s="1351">
        <f t="shared" si="13"/>
        <v>100</v>
      </c>
      <c r="V34" s="1350" t="s">
        <v>101</v>
      </c>
      <c r="W34" s="1351">
        <f t="shared" si="14"/>
        <v>100</v>
      </c>
      <c r="X34" s="1338"/>
      <c r="Y34" s="3646"/>
      <c r="Z34" s="1352" t="str">
        <f t="shared" si="18"/>
        <v>建筑结构</v>
      </c>
      <c r="AA34" s="1353">
        <f t="shared" si="15"/>
        <v>1</v>
      </c>
      <c r="AB34" s="1353">
        <f t="shared" si="16"/>
        <v>1</v>
      </c>
      <c r="AC34" s="1353">
        <f t="shared" si="17"/>
        <v>1</v>
      </c>
    </row>
    <row r="35" spans="1:29" ht="15">
      <c r="A35" s="161"/>
      <c r="B35" s="12" t="s">
        <v>75</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44"/>
      <c r="Q35" s="1349" t="str">
        <f t="shared" si="11"/>
        <v>建筑品质</v>
      </c>
      <c r="R35" s="1350" t="s">
        <v>101</v>
      </c>
      <c r="S35" s="1351">
        <f t="shared" si="12"/>
        <v>100</v>
      </c>
      <c r="T35" s="1350" t="s">
        <v>101</v>
      </c>
      <c r="U35" s="1351">
        <f t="shared" si="13"/>
        <v>100</v>
      </c>
      <c r="V35" s="1350" t="s">
        <v>101</v>
      </c>
      <c r="W35" s="1351">
        <f t="shared" si="14"/>
        <v>100</v>
      </c>
      <c r="X35" s="1338"/>
      <c r="Y35" s="3646"/>
      <c r="Z35" s="1352" t="str">
        <f t="shared" si="18"/>
        <v>建筑品质</v>
      </c>
      <c r="AA35" s="1353">
        <f t="shared" si="15"/>
        <v>1</v>
      </c>
      <c r="AB35" s="1353">
        <f t="shared" si="16"/>
        <v>1</v>
      </c>
      <c r="AC35" s="1353">
        <f t="shared" si="17"/>
        <v>1</v>
      </c>
    </row>
    <row r="36" spans="1:29" ht="15">
      <c r="A36" s="161"/>
      <c r="B36" s="12" t="s">
        <v>76</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44"/>
      <c r="Q36" s="1349" t="str">
        <f t="shared" si="11"/>
        <v>公共部分装修</v>
      </c>
      <c r="R36" s="1350" t="s">
        <v>101</v>
      </c>
      <c r="S36" s="1351">
        <f t="shared" si="12"/>
        <v>100</v>
      </c>
      <c r="T36" s="1350" t="s">
        <v>101</v>
      </c>
      <c r="U36" s="1351">
        <f t="shared" si="13"/>
        <v>100</v>
      </c>
      <c r="V36" s="1350" t="s">
        <v>101</v>
      </c>
      <c r="W36" s="1351">
        <f t="shared" si="14"/>
        <v>100</v>
      </c>
      <c r="X36" s="1338"/>
      <c r="Y36" s="3646"/>
      <c r="Z36" s="1352" t="str">
        <f t="shared" si="18"/>
        <v>公共部分装修</v>
      </c>
      <c r="AA36" s="1353">
        <f t="shared" si="15"/>
        <v>1</v>
      </c>
      <c r="AB36" s="1353">
        <f t="shared" si="16"/>
        <v>1</v>
      </c>
      <c r="AC36" s="1353">
        <f t="shared" si="17"/>
        <v>1</v>
      </c>
    </row>
    <row r="37" spans="1:29" s="40" customFormat="1" ht="15">
      <c r="A37" s="1039"/>
      <c r="B37" s="12" t="s">
        <v>77</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644"/>
      <c r="Q37" s="7" t="str">
        <f t="shared" si="11"/>
        <v>成新度</v>
      </c>
      <c r="R37" s="1340" t="s">
        <v>101</v>
      </c>
      <c r="S37" s="1341" t="e">
        <f t="shared" si="12"/>
        <v>#N/A</v>
      </c>
      <c r="T37" s="1340" t="s">
        <v>101</v>
      </c>
      <c r="U37" s="1341" t="e">
        <f t="shared" si="13"/>
        <v>#N/A</v>
      </c>
      <c r="V37" s="1340" t="s">
        <v>101</v>
      </c>
      <c r="W37" s="1341" t="e">
        <f t="shared" si="14"/>
        <v>#N/A</v>
      </c>
      <c r="X37" s="287"/>
      <c r="Y37" s="3646"/>
      <c r="Z37" s="288" t="str">
        <f t="shared" si="18"/>
        <v>成新度</v>
      </c>
      <c r="AA37" s="1342" t="e">
        <f t="shared" si="15"/>
        <v>#N/A</v>
      </c>
      <c r="AB37" s="1342" t="e">
        <f t="shared" si="16"/>
        <v>#N/A</v>
      </c>
      <c r="AC37" s="1342" t="e">
        <f t="shared" si="17"/>
        <v>#N/A</v>
      </c>
    </row>
    <row r="38" spans="1:29" ht="15">
      <c r="A38" s="161"/>
      <c r="B38" s="12" t="s">
        <v>78</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44" t="s">
        <v>67</v>
      </c>
      <c r="Q38" s="1349" t="str">
        <f t="shared" si="11"/>
        <v>物业管理</v>
      </c>
      <c r="R38" s="1350" t="s">
        <v>101</v>
      </c>
      <c r="S38" s="1351">
        <f t="shared" si="12"/>
        <v>100</v>
      </c>
      <c r="T38" s="1350" t="s">
        <v>101</v>
      </c>
      <c r="U38" s="1351">
        <f t="shared" si="13"/>
        <v>100</v>
      </c>
      <c r="V38" s="1350" t="s">
        <v>101</v>
      </c>
      <c r="W38" s="1351">
        <f t="shared" si="14"/>
        <v>100</v>
      </c>
      <c r="X38" s="1338"/>
      <c r="Y38" s="3646" t="s">
        <v>67</v>
      </c>
      <c r="Z38" s="1352" t="str">
        <f t="shared" si="18"/>
        <v>物业管理</v>
      </c>
      <c r="AA38" s="1353">
        <f t="shared" si="15"/>
        <v>1</v>
      </c>
      <c r="AB38" s="1353">
        <f t="shared" si="16"/>
        <v>1</v>
      </c>
      <c r="AC38" s="1353">
        <f t="shared" si="17"/>
        <v>1</v>
      </c>
    </row>
    <row r="39" spans="1:29" ht="15">
      <c r="A39" s="161"/>
      <c r="B39" s="12" t="s">
        <v>2642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44"/>
      <c r="Q39" s="1349" t="str">
        <f t="shared" si="11"/>
        <v>市政基础设施</v>
      </c>
      <c r="R39" s="1350" t="s">
        <v>101</v>
      </c>
      <c r="S39" s="1351">
        <f t="shared" si="12"/>
        <v>100</v>
      </c>
      <c r="T39" s="1350" t="s">
        <v>101</v>
      </c>
      <c r="U39" s="1351">
        <f t="shared" si="13"/>
        <v>100</v>
      </c>
      <c r="V39" s="1350" t="s">
        <v>101</v>
      </c>
      <c r="W39" s="1351">
        <f t="shared" si="14"/>
        <v>100</v>
      </c>
      <c r="X39" s="1338"/>
      <c r="Y39" s="3646"/>
      <c r="Z39" s="1352" t="str">
        <f t="shared" si="18"/>
        <v>市政基础设施</v>
      </c>
      <c r="AA39" s="1353">
        <f t="shared" si="15"/>
        <v>1</v>
      </c>
      <c r="AB39" s="1353">
        <f t="shared" si="16"/>
        <v>1</v>
      </c>
      <c r="AC39" s="1353">
        <f t="shared" si="17"/>
        <v>1</v>
      </c>
    </row>
    <row r="40" spans="1:29" ht="15">
      <c r="A40" s="161"/>
      <c r="B40" s="12" t="s">
        <v>79</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44"/>
      <c r="Q40" s="1349" t="str">
        <f t="shared" si="11"/>
        <v>房型</v>
      </c>
      <c r="R40" s="1350" t="s">
        <v>101</v>
      </c>
      <c r="S40" s="1351">
        <f t="shared" si="12"/>
        <v>100</v>
      </c>
      <c r="T40" s="1350" t="s">
        <v>101</v>
      </c>
      <c r="U40" s="1351">
        <f t="shared" si="13"/>
        <v>100</v>
      </c>
      <c r="V40" s="1350" t="s">
        <v>101</v>
      </c>
      <c r="W40" s="1351">
        <f t="shared" si="14"/>
        <v>100</v>
      </c>
      <c r="X40" s="1338"/>
      <c r="Y40" s="3646"/>
      <c r="Z40" s="1352" t="str">
        <f t="shared" si="18"/>
        <v>房型</v>
      </c>
      <c r="AA40" s="1353">
        <f t="shared" si="15"/>
        <v>1</v>
      </c>
      <c r="AB40" s="1353">
        <f t="shared" si="16"/>
        <v>1</v>
      </c>
      <c r="AC40" s="1353">
        <f t="shared" si="17"/>
        <v>1</v>
      </c>
    </row>
    <row r="41" spans="1:29" s="1037" customFormat="1" ht="27">
      <c r="A41" s="1041"/>
      <c r="B41" s="12" t="s">
        <v>102</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44"/>
      <c r="Q41" s="1357" t="str">
        <f t="shared" si="11"/>
        <v>单套/主力户型建筑面积</v>
      </c>
      <c r="R41" s="1358" t="s">
        <v>101</v>
      </c>
      <c r="S41" s="1359">
        <f t="shared" si="12"/>
        <v>100</v>
      </c>
      <c r="T41" s="1358" t="s">
        <v>101</v>
      </c>
      <c r="U41" s="1359">
        <f t="shared" si="13"/>
        <v>100</v>
      </c>
      <c r="V41" s="1358" t="s">
        <v>101</v>
      </c>
      <c r="W41" s="1359">
        <f t="shared" si="14"/>
        <v>100</v>
      </c>
      <c r="X41" s="1360"/>
      <c r="Y41" s="3646"/>
      <c r="Z41" s="1361" t="str">
        <f t="shared" si="18"/>
        <v>单套/主力户型建筑面积</v>
      </c>
      <c r="AA41" s="1353">
        <f t="shared" si="15"/>
        <v>1</v>
      </c>
      <c r="AB41" s="1353">
        <f t="shared" si="16"/>
        <v>1</v>
      </c>
      <c r="AC41" s="1353">
        <f t="shared" si="17"/>
        <v>1</v>
      </c>
    </row>
    <row r="42" spans="1:29" ht="15">
      <c r="A42" s="161"/>
      <c r="B42" s="12" t="s">
        <v>80</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44"/>
      <c r="Q42" s="1349" t="str">
        <f t="shared" si="11"/>
        <v>内部装修</v>
      </c>
      <c r="R42" s="1350" t="s">
        <v>101</v>
      </c>
      <c r="S42" s="1351">
        <f t="shared" si="12"/>
        <v>100</v>
      </c>
      <c r="T42" s="1350" t="s">
        <v>101</v>
      </c>
      <c r="U42" s="1351">
        <f t="shared" si="13"/>
        <v>100</v>
      </c>
      <c r="V42" s="1350" t="s">
        <v>101</v>
      </c>
      <c r="W42" s="1351">
        <f t="shared" si="14"/>
        <v>100</v>
      </c>
      <c r="X42" s="1338"/>
      <c r="Y42" s="3646"/>
      <c r="Z42" s="1352" t="str">
        <f t="shared" si="18"/>
        <v>内部装修</v>
      </c>
      <c r="AA42" s="1353">
        <f t="shared" si="15"/>
        <v>1</v>
      </c>
      <c r="AB42" s="1353">
        <f t="shared" si="16"/>
        <v>1</v>
      </c>
      <c r="AC42" s="1353">
        <f t="shared" si="17"/>
        <v>1</v>
      </c>
    </row>
    <row r="43" spans="1:29" ht="27">
      <c r="A43" s="161"/>
      <c r="B43" s="12" t="s">
        <v>81</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44"/>
      <c r="Q43" s="1349" t="str">
        <f t="shared" si="11"/>
        <v>内部装修维护情况</v>
      </c>
      <c r="R43" s="1350" t="s">
        <v>101</v>
      </c>
      <c r="S43" s="1351">
        <f t="shared" si="12"/>
        <v>100</v>
      </c>
      <c r="T43" s="1350" t="s">
        <v>101</v>
      </c>
      <c r="U43" s="1351">
        <f t="shared" si="13"/>
        <v>100</v>
      </c>
      <c r="V43" s="1350" t="s">
        <v>101</v>
      </c>
      <c r="W43" s="1351">
        <f t="shared" si="14"/>
        <v>100</v>
      </c>
      <c r="X43" s="1338"/>
      <c r="Y43" s="3646"/>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44"/>
      <c r="Q44" s="7">
        <f t="shared" si="11"/>
        <v>111</v>
      </c>
      <c r="R44" s="1340" t="s">
        <v>101</v>
      </c>
      <c r="S44" s="1341">
        <f t="shared" si="12"/>
        <v>100</v>
      </c>
      <c r="T44" s="1340" t="s">
        <v>101</v>
      </c>
      <c r="U44" s="1341">
        <f t="shared" si="13"/>
        <v>100</v>
      </c>
      <c r="V44" s="1340" t="s">
        <v>101</v>
      </c>
      <c r="W44" s="1341">
        <f t="shared" si="14"/>
        <v>100</v>
      </c>
      <c r="X44" s="287"/>
      <c r="Y44" s="3646"/>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44"/>
      <c r="Q45" s="1349">
        <f t="shared" si="11"/>
        <v>111</v>
      </c>
      <c r="R45" s="1350" t="s">
        <v>101</v>
      </c>
      <c r="S45" s="1351">
        <f t="shared" si="12"/>
        <v>100</v>
      </c>
      <c r="T45" s="1350" t="s">
        <v>101</v>
      </c>
      <c r="U45" s="1351">
        <f t="shared" si="13"/>
        <v>100</v>
      </c>
      <c r="V45" s="1350" t="s">
        <v>101</v>
      </c>
      <c r="W45" s="1351">
        <f t="shared" si="14"/>
        <v>100</v>
      </c>
      <c r="X45" s="1338"/>
      <c r="Y45" s="3646"/>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45"/>
      <c r="Q46" s="1349">
        <f t="shared" si="11"/>
        <v>111</v>
      </c>
      <c r="R46" s="1350" t="s">
        <v>100</v>
      </c>
      <c r="S46" s="1351">
        <f t="shared" si="12"/>
        <v>100</v>
      </c>
      <c r="T46" s="1350" t="s">
        <v>100</v>
      </c>
      <c r="U46" s="1351">
        <f t="shared" si="13"/>
        <v>100</v>
      </c>
      <c r="V46" s="1350" t="s">
        <v>100</v>
      </c>
      <c r="W46" s="1351">
        <f t="shared" si="14"/>
        <v>100</v>
      </c>
      <c r="X46" s="1338"/>
      <c r="Y46" s="3647"/>
      <c r="Z46" s="1352">
        <f t="shared" si="18"/>
        <v>111</v>
      </c>
      <c r="AA46" s="1353">
        <f t="shared" si="15"/>
        <v>1</v>
      </c>
      <c r="AB46" s="1353">
        <f t="shared" si="16"/>
        <v>1</v>
      </c>
      <c r="AC46" s="1353">
        <f t="shared" si="17"/>
        <v>1</v>
      </c>
    </row>
    <row r="47" spans="1:29" ht="15">
      <c r="A47" s="163" t="s">
        <v>99</v>
      </c>
      <c r="B47" s="164"/>
      <c r="C47" s="2834" t="s">
        <v>98</v>
      </c>
      <c r="D47" s="2835"/>
      <c r="E47" s="2836"/>
      <c r="F47" s="2837"/>
      <c r="G47" s="2838"/>
      <c r="H47" s="2839"/>
      <c r="I47" s="2836"/>
      <c r="J47" s="2839"/>
      <c r="K47" s="1362"/>
      <c r="L47" s="2302"/>
      <c r="M47" s="2303"/>
      <c r="N47" s="2295"/>
      <c r="O47" s="2303"/>
      <c r="P47" s="3639" t="str">
        <f>A47</f>
        <v>成交单价（元/平方米）</v>
      </c>
      <c r="Q47" s="3639"/>
      <c r="R47" s="3640">
        <f>E47</f>
        <v>0</v>
      </c>
      <c r="S47" s="3640"/>
      <c r="T47" s="3640">
        <f>G47</f>
        <v>0</v>
      </c>
      <c r="U47" s="3640"/>
      <c r="V47" s="3640">
        <f>I47</f>
        <v>0</v>
      </c>
      <c r="W47" s="3640"/>
      <c r="X47" s="1363"/>
      <c r="Y47" s="1364"/>
      <c r="Z47" s="1363"/>
      <c r="AA47" s="1363"/>
      <c r="AB47" s="1363"/>
      <c r="AC47" s="1363"/>
    </row>
    <row r="48" spans="1:29" ht="15.75" thickBot="1">
      <c r="A48" s="165" t="s">
        <v>97</v>
      </c>
      <c r="B48" s="166"/>
      <c r="C48" s="2840" t="e">
        <f>R49</f>
        <v>#DIV/0!</v>
      </c>
      <c r="D48" s="2841"/>
      <c r="E48" s="2842" t="e">
        <f>R48</f>
        <v>#DIV/0!</v>
      </c>
      <c r="F48" s="2842"/>
      <c r="G48" s="2840" t="e">
        <f>T48</f>
        <v>#DIV/0!</v>
      </c>
      <c r="H48" s="2841"/>
      <c r="I48" s="2842" t="e">
        <f>V48</f>
        <v>#DIV/0!</v>
      </c>
      <c r="J48" s="2841"/>
      <c r="K48" s="1365"/>
      <c r="L48" s="2302"/>
      <c r="M48" s="2303"/>
      <c r="N48" s="2303"/>
      <c r="O48" s="2303"/>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63"/>
      <c r="Y48" s="1363"/>
      <c r="Z48" s="1363"/>
      <c r="AA48" s="1363"/>
      <c r="AB48" s="1363"/>
      <c r="AC48" s="1363"/>
    </row>
    <row r="49" spans="1:29" ht="15.75" thickBot="1">
      <c r="A49" s="115" t="s">
        <v>3016</v>
      </c>
      <c r="B49" s="116"/>
      <c r="C49" s="2843" t="e">
        <f>R49</f>
        <v>#DIV/0!</v>
      </c>
      <c r="D49" s="2844"/>
      <c r="E49" s="2844"/>
      <c r="F49" s="2844"/>
      <c r="G49" s="2844"/>
      <c r="H49" s="2844"/>
      <c r="I49" s="2844"/>
      <c r="J49" s="2844"/>
      <c r="K49" s="1366"/>
      <c r="L49" s="2302"/>
      <c r="M49" s="2303"/>
      <c r="N49" s="2303"/>
      <c r="O49" s="2303"/>
      <c r="P49" s="3636" t="str">
        <f>A49</f>
        <v>估价对象XX用房的比较价值（楼面单价，元/平方米）</v>
      </c>
      <c r="Q49" s="3637"/>
      <c r="R49" s="3638" t="e">
        <f>IF(F1="售价",ROUND(AVERAGE(R48:V48),0),ROUND(AVERAGE(R48:V48),1))</f>
        <v>#DIV/0!</v>
      </c>
      <c r="S49" s="3638"/>
      <c r="T49" s="3638"/>
      <c r="U49" s="3638"/>
      <c r="V49" s="3638"/>
      <c r="W49" s="363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124</v>
      </c>
      <c r="B57" s="1363"/>
      <c r="C57" s="1371"/>
      <c r="D57" s="1371"/>
      <c r="E57" s="1371"/>
      <c r="F57" s="1372"/>
      <c r="G57" s="1372"/>
      <c r="H57" s="1371"/>
      <c r="I57" s="1371"/>
      <c r="J57" s="1371"/>
      <c r="K57" s="2309"/>
      <c r="L57" s="2310"/>
      <c r="M57" s="2311"/>
      <c r="N57" s="2311"/>
      <c r="O57" s="2311"/>
      <c r="P57" s="1374"/>
      <c r="Q57" s="121"/>
    </row>
    <row r="58" spans="1:29" s="850" customFormat="1" ht="15">
      <c r="A58" s="847" t="s">
        <v>2795</v>
      </c>
      <c r="B58" s="848"/>
      <c r="C58" s="3045" t="str">
        <f>YEAR(C7)&amp;"-"&amp;MONTH(C7)</f>
        <v>2017-9</v>
      </c>
      <c r="D58" s="3044">
        <f>EDATE(C58,-1)</f>
        <v>42948</v>
      </c>
      <c r="E58" s="3044">
        <f>EDATE(D58,-1)</f>
        <v>42917</v>
      </c>
      <c r="F58" s="3044">
        <f t="shared" ref="F58:O58" si="19">EDATE(E58,-1)</f>
        <v>42887</v>
      </c>
      <c r="G58" s="3044">
        <f t="shared" si="19"/>
        <v>42856</v>
      </c>
      <c r="H58" s="3044">
        <f t="shared" si="19"/>
        <v>42826</v>
      </c>
      <c r="I58" s="3044">
        <f t="shared" si="19"/>
        <v>42795</v>
      </c>
      <c r="J58" s="3044">
        <f t="shared" si="19"/>
        <v>42767</v>
      </c>
      <c r="K58" s="3044">
        <f t="shared" si="19"/>
        <v>42736</v>
      </c>
      <c r="L58" s="3044">
        <f t="shared" si="19"/>
        <v>42705</v>
      </c>
      <c r="M58" s="3044">
        <f t="shared" si="19"/>
        <v>42675</v>
      </c>
      <c r="N58" s="3044">
        <f t="shared" si="19"/>
        <v>42644</v>
      </c>
      <c r="O58" s="3044">
        <f t="shared" si="19"/>
        <v>42614</v>
      </c>
      <c r="P58" s="3037"/>
    </row>
    <row r="59" spans="1:29" s="40" customFormat="1" ht="14.25">
      <c r="A59" s="1043"/>
      <c r="B59" s="3040"/>
      <c r="C59" s="3041">
        <v>100</v>
      </c>
      <c r="D59" s="853"/>
      <c r="E59" s="854"/>
      <c r="F59" s="854"/>
      <c r="G59" s="854"/>
      <c r="H59" s="854"/>
      <c r="I59" s="854"/>
      <c r="J59" s="854"/>
      <c r="K59" s="854"/>
      <c r="L59" s="854"/>
      <c r="M59" s="855"/>
      <c r="N59" s="854"/>
      <c r="O59" s="855"/>
      <c r="P59" s="1375"/>
    </row>
    <row r="60" spans="1:29" s="40" customFormat="1" ht="15" thickBot="1">
      <c r="A60" s="1045" t="s">
        <v>115</v>
      </c>
      <c r="B60" s="1046"/>
      <c r="C60" s="859"/>
      <c r="D60" s="860"/>
      <c r="E60" s="860"/>
      <c r="F60" s="860"/>
      <c r="G60" s="860"/>
      <c r="H60" s="860"/>
      <c r="I60" s="860"/>
      <c r="J60" s="860"/>
      <c r="K60" s="860"/>
      <c r="L60" s="860"/>
      <c r="M60" s="861"/>
      <c r="N60" s="860"/>
      <c r="O60" s="861"/>
      <c r="P60" s="1375"/>
      <c r="Q60" s="121"/>
    </row>
    <row r="61" spans="1:29" s="40" customFormat="1">
      <c r="A61" s="1047" t="s">
        <v>63</v>
      </c>
      <c r="B61" s="1044"/>
      <c r="C61" s="1048" t="s">
        <v>113</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64</v>
      </c>
      <c r="B63" s="286" t="s">
        <v>65</v>
      </c>
      <c r="C63" s="176">
        <f>C9</f>
        <v>0</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103</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3"/>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4" t="s">
        <v>90</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5"/>
      <c r="C68" s="891"/>
      <c r="D68" s="891"/>
      <c r="E68" s="891"/>
      <c r="F68" s="891"/>
      <c r="G68" s="891"/>
      <c r="H68" s="891"/>
      <c r="I68" s="891"/>
      <c r="J68" s="891"/>
      <c r="K68" s="892"/>
      <c r="L68" s="893"/>
      <c r="M68" s="894"/>
      <c r="N68" s="1387"/>
      <c r="O68" s="1387"/>
      <c r="P68" s="1377"/>
      <c r="Q68" s="121"/>
    </row>
    <row r="69" spans="1:17" ht="15" thickBot="1">
      <c r="A69" s="173"/>
      <c r="B69" s="1051"/>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7" customFormat="1" ht="15" thickTop="1">
      <c r="A70" s="1056"/>
      <c r="B70" s="1052">
        <f>B12</f>
        <v>111</v>
      </c>
      <c r="C70" s="896"/>
      <c r="D70" s="896"/>
      <c r="E70" s="896"/>
      <c r="F70" s="896"/>
      <c r="G70" s="896"/>
      <c r="H70" s="897"/>
      <c r="I70" s="897"/>
      <c r="J70" s="897"/>
      <c r="K70" s="897"/>
      <c r="L70" s="898"/>
      <c r="M70" s="89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5" thickTop="1">
      <c r="A72" s="1056"/>
      <c r="B72" s="1052">
        <f>B13</f>
        <v>111</v>
      </c>
      <c r="C72" s="896"/>
      <c r="D72" s="896"/>
      <c r="E72" s="896"/>
      <c r="F72" s="896"/>
      <c r="G72" s="896"/>
      <c r="H72" s="897"/>
      <c r="I72" s="897"/>
      <c r="J72" s="897"/>
      <c r="K72" s="897"/>
      <c r="L72" s="898"/>
      <c r="M72" s="899"/>
      <c r="N72" s="1389"/>
      <c r="O72" s="1389"/>
      <c r="P72" s="1379"/>
      <c r="Q72" s="1063"/>
    </row>
    <row r="73" spans="1:17" s="1037" customFormat="1" ht="15" thickBot="1">
      <c r="A73" s="1056"/>
      <c r="B73" s="1053"/>
      <c r="C73" s="902"/>
      <c r="D73" s="902"/>
      <c r="E73" s="902"/>
      <c r="F73" s="902"/>
      <c r="G73" s="902"/>
      <c r="H73" s="904"/>
      <c r="I73" s="904"/>
      <c r="J73" s="904"/>
      <c r="K73" s="904"/>
      <c r="L73" s="904"/>
      <c r="M73" s="905"/>
      <c r="N73" s="1389"/>
      <c r="O73" s="1389"/>
      <c r="P73" s="1378"/>
      <c r="Q73" s="1061"/>
    </row>
    <row r="74" spans="1:17" s="1037" customFormat="1" ht="15" thickTop="1">
      <c r="A74" s="1056"/>
      <c r="B74" s="1054">
        <f>B14</f>
        <v>111</v>
      </c>
      <c r="C74" s="896"/>
      <c r="D74" s="896"/>
      <c r="E74" s="896"/>
      <c r="F74" s="896"/>
      <c r="G74" s="865"/>
      <c r="H74" s="906"/>
      <c r="I74" s="906"/>
      <c r="J74" s="906"/>
      <c r="K74" s="906"/>
      <c r="L74" s="907"/>
      <c r="M74" s="908"/>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66</v>
      </c>
      <c r="B76" s="286" t="s">
        <v>107</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3"/>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2" t="s">
        <v>89</v>
      </c>
      <c r="C78" s="920" t="s">
        <v>1013</v>
      </c>
      <c r="D78" s="920" t="s">
        <v>1014</v>
      </c>
      <c r="E78" s="920" t="s">
        <v>1015</v>
      </c>
      <c r="F78" s="920" t="s">
        <v>1016</v>
      </c>
      <c r="G78" s="920" t="s">
        <v>1017</v>
      </c>
      <c r="H78" s="881"/>
      <c r="I78" s="881"/>
      <c r="J78" s="881"/>
      <c r="K78" s="882"/>
      <c r="L78" s="883"/>
      <c r="M78" s="884"/>
      <c r="N78" s="1387"/>
      <c r="O78" s="1387"/>
      <c r="P78" s="1377"/>
      <c r="Q78" s="121"/>
    </row>
    <row r="79" spans="1:17" ht="15" thickBot="1">
      <c r="A79" s="173"/>
      <c r="B79" s="1053"/>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2" t="s">
        <v>2634</v>
      </c>
      <c r="C80" s="920" t="s">
        <v>1013</v>
      </c>
      <c r="D80" s="920" t="s">
        <v>1014</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4" t="s">
        <v>2644</v>
      </c>
      <c r="C82" s="177" t="s">
        <v>2645</v>
      </c>
      <c r="D82" s="177" t="s">
        <v>2649</v>
      </c>
      <c r="E82" s="177" t="s">
        <v>2646</v>
      </c>
      <c r="F82" s="177" t="s">
        <v>2647</v>
      </c>
      <c r="G82" s="177" t="s">
        <v>2648</v>
      </c>
      <c r="H82" s="881"/>
      <c r="I82" s="881"/>
      <c r="J82" s="881"/>
      <c r="K82" s="881"/>
      <c r="L82" s="881"/>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95</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0"/>
      <c r="B88" s="1052" t="s">
        <v>94</v>
      </c>
      <c r="C88" s="139"/>
      <c r="D88" s="139"/>
      <c r="E88" s="139"/>
      <c r="F88" s="1384"/>
      <c r="G88" s="139"/>
      <c r="H88" s="139"/>
      <c r="I88" s="139"/>
      <c r="J88" s="139"/>
      <c r="K88" s="139"/>
      <c r="L88" s="139"/>
      <c r="M88" s="1383"/>
      <c r="N88" s="1386"/>
      <c r="O88" s="1386"/>
      <c r="P88" s="1377"/>
      <c r="Q88" s="121"/>
    </row>
    <row r="89" spans="1:17" s="40" customFormat="1" ht="15" thickBot="1">
      <c r="A89" s="1070"/>
      <c r="B89" s="1053"/>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2"/>
      <c r="D91" s="902"/>
      <c r="E91" s="902"/>
      <c r="F91" s="902"/>
      <c r="G91" s="902"/>
      <c r="H91" s="904"/>
      <c r="I91" s="904"/>
      <c r="J91" s="904"/>
      <c r="K91" s="904"/>
      <c r="L91" s="904"/>
      <c r="M91" s="905"/>
      <c r="N91" s="1389"/>
      <c r="O91" s="1389"/>
      <c r="P91" s="1378"/>
      <c r="Q91" s="1061"/>
    </row>
    <row r="92" spans="1:17" ht="15" thickTop="1">
      <c r="A92" s="173"/>
      <c r="B92" s="1052">
        <f>B28</f>
        <v>111</v>
      </c>
      <c r="C92" s="896"/>
      <c r="D92" s="896"/>
      <c r="E92" s="896"/>
      <c r="F92" s="896"/>
      <c r="G92" s="925"/>
      <c r="H92" s="925"/>
      <c r="I92" s="925"/>
      <c r="J92" s="925"/>
      <c r="K92" s="926"/>
      <c r="L92" s="927"/>
      <c r="M92" s="928"/>
      <c r="N92" s="1387"/>
      <c r="O92" s="1387"/>
      <c r="P92" s="1377"/>
      <c r="Q92" s="121"/>
    </row>
    <row r="93" spans="1:17" ht="15" thickBot="1">
      <c r="A93" s="173"/>
      <c r="B93" s="1053"/>
      <c r="C93" s="902"/>
      <c r="D93" s="878"/>
      <c r="E93" s="878"/>
      <c r="F93" s="878"/>
      <c r="G93" s="878"/>
      <c r="H93" s="878"/>
      <c r="I93" s="878"/>
      <c r="J93" s="878"/>
      <c r="K93" s="878"/>
      <c r="L93" s="878"/>
      <c r="M93" s="879"/>
      <c r="N93" s="1388"/>
      <c r="O93" s="1388"/>
      <c r="P93" s="1377"/>
      <c r="Q93" s="121"/>
    </row>
    <row r="94" spans="1:17" ht="15" thickTop="1">
      <c r="A94" s="173"/>
      <c r="B94" s="1052">
        <f>B29</f>
        <v>111</v>
      </c>
      <c r="C94" s="896"/>
      <c r="D94" s="896"/>
      <c r="E94" s="896"/>
      <c r="F94" s="896"/>
      <c r="G94" s="925"/>
      <c r="H94" s="925"/>
      <c r="I94" s="925"/>
      <c r="J94" s="925"/>
      <c r="K94" s="926"/>
      <c r="L94" s="927"/>
      <c r="M94" s="928"/>
      <c r="N94" s="1387"/>
      <c r="O94" s="1387"/>
      <c r="P94" s="1377"/>
      <c r="Q94" s="121"/>
    </row>
    <row r="95" spans="1:17" ht="15" thickBot="1">
      <c r="A95" s="173"/>
      <c r="B95" s="1053"/>
      <c r="C95" s="902"/>
      <c r="D95" s="902"/>
      <c r="E95" s="902"/>
      <c r="F95" s="902"/>
      <c r="G95" s="878"/>
      <c r="H95" s="878"/>
      <c r="I95" s="878"/>
      <c r="J95" s="878"/>
      <c r="K95" s="878"/>
      <c r="L95" s="878"/>
      <c r="M95" s="879"/>
      <c r="N95" s="1388"/>
      <c r="O95" s="1388"/>
      <c r="P95" s="1377"/>
      <c r="Q95" s="121"/>
    </row>
    <row r="96" spans="1:17" ht="15" thickTop="1">
      <c r="A96" s="173"/>
      <c r="B96" s="1052">
        <f>B30</f>
        <v>111</v>
      </c>
      <c r="C96" s="896"/>
      <c r="D96" s="896"/>
      <c r="E96" s="896"/>
      <c r="F96" s="896"/>
      <c r="G96" s="925"/>
      <c r="H96" s="925"/>
      <c r="I96" s="925"/>
      <c r="J96" s="925"/>
      <c r="K96" s="926"/>
      <c r="L96" s="927"/>
      <c r="M96" s="928"/>
      <c r="N96" s="1387"/>
      <c r="O96" s="1387"/>
      <c r="P96" s="1377"/>
      <c r="Q96" s="121"/>
    </row>
    <row r="97" spans="1:17" ht="15" thickBot="1">
      <c r="A97" s="173"/>
      <c r="B97" s="1053"/>
      <c r="C97" s="912"/>
      <c r="D97" s="912"/>
      <c r="E97" s="912"/>
      <c r="F97" s="912"/>
      <c r="G97" s="878"/>
      <c r="H97" s="878"/>
      <c r="I97" s="878"/>
      <c r="J97" s="878"/>
      <c r="K97" s="878"/>
      <c r="L97" s="878"/>
      <c r="M97" s="879"/>
      <c r="N97" s="1388"/>
      <c r="O97" s="1388"/>
      <c r="P97" s="1377"/>
      <c r="Q97" s="121"/>
    </row>
    <row r="98" spans="1:17" ht="15" thickTop="1">
      <c r="A98" s="173"/>
      <c r="B98" s="1054">
        <f>B31</f>
        <v>111</v>
      </c>
      <c r="C98" s="929"/>
      <c r="D98" s="929"/>
      <c r="E98" s="929"/>
      <c r="F98" s="929"/>
      <c r="G98" s="929"/>
      <c r="H98" s="929"/>
      <c r="I98" s="929"/>
      <c r="J98" s="929"/>
      <c r="K98" s="930"/>
      <c r="L98" s="931"/>
      <c r="M98" s="932"/>
      <c r="N98" s="1387"/>
      <c r="O98" s="1387"/>
      <c r="P98" s="1377"/>
      <c r="Q98" s="121"/>
    </row>
    <row r="99" spans="1:17" ht="15" thickBot="1">
      <c r="A99" s="174"/>
      <c r="B99" s="1069"/>
      <c r="C99" s="933"/>
      <c r="D99" s="933"/>
      <c r="E99" s="933"/>
      <c r="F99" s="933"/>
      <c r="G99" s="933"/>
      <c r="H99" s="933"/>
      <c r="I99" s="933"/>
      <c r="J99" s="933"/>
      <c r="K99" s="933"/>
      <c r="L99" s="933"/>
      <c r="M99" s="934"/>
      <c r="N99" s="1388"/>
      <c r="O99" s="1388"/>
      <c r="P99" s="1377"/>
      <c r="Q99" s="121"/>
    </row>
    <row r="100" spans="1:17">
      <c r="A100" s="172" t="s">
        <v>67</v>
      </c>
      <c r="B100" s="286" t="s">
        <v>120</v>
      </c>
      <c r="C100" s="122"/>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2" t="s">
        <v>93</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7" customFormat="1" ht="14.25">
      <c r="A103" s="1071"/>
      <c r="B103" s="1072"/>
      <c r="C103" s="937"/>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c r="D104" s="878"/>
      <c r="E104" s="878"/>
      <c r="F104" s="878"/>
      <c r="G104" s="878"/>
      <c r="H104" s="878"/>
      <c r="I104" s="878"/>
      <c r="J104" s="878"/>
      <c r="K104" s="878"/>
      <c r="L104" s="878"/>
      <c r="M104" s="878"/>
      <c r="N104" s="1388"/>
      <c r="O104" s="1388"/>
      <c r="P104" s="1378"/>
      <c r="Q104" s="1061"/>
    </row>
    <row r="105" spans="1:17" ht="14.25" thickTop="1">
      <c r="A105" s="175"/>
      <c r="B105" s="1052" t="s">
        <v>92</v>
      </c>
      <c r="C105" s="139"/>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2" t="s">
        <v>108</v>
      </c>
      <c r="C107" s="131"/>
      <c r="D107" s="131"/>
      <c r="E107" s="131"/>
      <c r="F107" s="131"/>
      <c r="G107" s="131"/>
      <c r="H107" s="131"/>
      <c r="I107" s="131"/>
      <c r="J107" s="131"/>
      <c r="K107" s="132"/>
      <c r="L107" s="133"/>
      <c r="M107" s="134"/>
      <c r="N107" s="1387"/>
      <c r="O107" s="1387"/>
      <c r="P107" s="1377"/>
      <c r="Q107" s="121"/>
    </row>
    <row r="108" spans="1:17" ht="15" thickBot="1">
      <c r="A108" s="173"/>
      <c r="B108" s="1053"/>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2" t="s">
        <v>121</v>
      </c>
      <c r="C109" s="139"/>
      <c r="D109" s="139"/>
      <c r="E109" s="139"/>
      <c r="F109" s="131"/>
      <c r="G109" s="131"/>
      <c r="H109" s="131"/>
      <c r="I109" s="131"/>
      <c r="J109" s="131"/>
      <c r="K109" s="132"/>
      <c r="L109" s="133"/>
      <c r="M109" s="134"/>
      <c r="N109" s="1387"/>
      <c r="O109" s="1387"/>
      <c r="P109" s="1377"/>
      <c r="Q109" s="121"/>
    </row>
    <row r="110" spans="1:17" ht="15" thickBot="1">
      <c r="A110" s="173"/>
      <c r="B110" s="1053"/>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7" customFormat="1" ht="15" thickTop="1">
      <c r="A111" s="1071"/>
      <c r="B111" s="1052" t="s">
        <v>109</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1"/>
    </row>
    <row r="112" spans="1:17" s="1037" customFormat="1" ht="14.25">
      <c r="A112" s="1071"/>
      <c r="B112" s="1054"/>
      <c r="C112" s="945">
        <v>0.5</v>
      </c>
      <c r="D112" s="945">
        <v>0.6</v>
      </c>
      <c r="E112" s="945">
        <v>0.7</v>
      </c>
      <c r="F112" s="945">
        <v>0.8</v>
      </c>
      <c r="G112" s="945">
        <v>0.9</v>
      </c>
      <c r="H112" s="945">
        <v>1.0001</v>
      </c>
      <c r="I112" s="945"/>
      <c r="J112" s="946"/>
      <c r="K112" s="946"/>
      <c r="L112" s="947"/>
      <c r="M112" s="948"/>
      <c r="N112" s="1389"/>
      <c r="O112" s="1389"/>
      <c r="P112" s="1378"/>
      <c r="Q112" s="1061"/>
    </row>
    <row r="113" spans="1:17" s="1037" customFormat="1" ht="15" thickBot="1">
      <c r="A113" s="1056"/>
      <c r="B113" s="1053"/>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1"/>
    </row>
    <row r="114" spans="1:17" ht="14.25" thickTop="1">
      <c r="A114" s="175"/>
      <c r="B114" s="1052" t="s">
        <v>122</v>
      </c>
      <c r="C114" s="139"/>
      <c r="D114" s="139"/>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2" t="s">
        <v>2636</v>
      </c>
      <c r="C116" s="139"/>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2" t="s">
        <v>110</v>
      </c>
      <c r="C118" s="131"/>
      <c r="D118" s="131"/>
      <c r="E118" s="131"/>
      <c r="F118" s="131"/>
      <c r="G118" s="131"/>
      <c r="H118" s="131"/>
      <c r="I118" s="131"/>
      <c r="J118" s="131"/>
      <c r="K118" s="132"/>
      <c r="L118" s="133"/>
      <c r="M118" s="134"/>
      <c r="N118" s="1387"/>
      <c r="O118" s="1387"/>
      <c r="P118" s="1377"/>
      <c r="Q118" s="121"/>
    </row>
    <row r="119" spans="1:17" ht="15" thickBot="1">
      <c r="A119" s="173"/>
      <c r="B119" s="1053"/>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7" customFormat="1" ht="27.75" thickTop="1">
      <c r="A120" s="1071"/>
      <c r="B120" s="1052" t="s">
        <v>102</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2"/>
      <c r="D121" s="878"/>
      <c r="E121" s="878"/>
      <c r="F121" s="878"/>
      <c r="G121" s="878"/>
      <c r="H121" s="878"/>
      <c r="I121" s="878"/>
      <c r="J121" s="878"/>
      <c r="K121" s="878"/>
      <c r="L121" s="878"/>
      <c r="M121" s="878"/>
      <c r="N121" s="1389"/>
      <c r="O121" s="1389"/>
      <c r="P121" s="1378"/>
      <c r="Q121" s="1061"/>
    </row>
    <row r="122" spans="1:17" ht="14.25" thickTop="1">
      <c r="A122" s="175"/>
      <c r="B122" s="1052" t="s">
        <v>123</v>
      </c>
      <c r="C122" s="139"/>
      <c r="D122" s="139"/>
      <c r="E122" s="139"/>
      <c r="F122" s="131"/>
      <c r="G122" s="131"/>
      <c r="H122" s="131"/>
      <c r="I122" s="131"/>
      <c r="J122" s="131"/>
      <c r="K122" s="132"/>
      <c r="L122" s="133"/>
      <c r="M122" s="134"/>
      <c r="N122" s="1387"/>
      <c r="O122" s="1387"/>
      <c r="P122" s="1377"/>
      <c r="Q122" s="121"/>
    </row>
    <row r="123" spans="1:17" ht="15" thickBot="1">
      <c r="A123" s="173"/>
      <c r="B123" s="1053"/>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2" t="s">
        <v>91</v>
      </c>
      <c r="C124" s="920" t="s">
        <v>422</v>
      </c>
      <c r="D124" s="920" t="s">
        <v>423</v>
      </c>
      <c r="E124" s="920" t="s">
        <v>424</v>
      </c>
      <c r="F124" s="920" t="s">
        <v>425</v>
      </c>
      <c r="G124" s="920" t="s">
        <v>426</v>
      </c>
      <c r="H124" s="881"/>
      <c r="I124" s="881"/>
      <c r="J124" s="881"/>
      <c r="K124" s="882"/>
      <c r="L124" s="883"/>
      <c r="M124" s="884"/>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902"/>
      <c r="E129" s="902"/>
      <c r="F129" s="902"/>
      <c r="G129" s="878"/>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7" t="s">
        <v>2296</v>
      </c>
      <c r="D138" s="1777" t="s">
        <v>2297</v>
      </c>
      <c r="E138" s="2148" t="s">
        <v>2298</v>
      </c>
      <c r="F138" s="2149" t="s">
        <v>2299</v>
      </c>
      <c r="G138" s="1777" t="s">
        <v>2297</v>
      </c>
      <c r="H138" s="2150" t="s">
        <v>2298</v>
      </c>
      <c r="I138" s="2151"/>
      <c r="J138" s="1777"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5" zoomScale="90" zoomScaleNormal="90" workbookViewId="0">
      <selection activeCell="C126" sqref="C126:G12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3213</v>
      </c>
      <c r="E1" s="3108"/>
      <c r="F1" s="3107" t="s">
        <v>2694</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851</v>
      </c>
      <c r="C2" s="3099" t="s">
        <v>527</v>
      </c>
      <c r="D2" s="2722" t="e">
        <f ca="1">SUMIF(INDIRECT("'"&amp;F2&amp;"'"&amp;"!A:A"),"承租人权益价值",INDIRECT("'"&amp;F2&amp;"'"&amp;"!c:c"))</f>
        <v>#REF!</v>
      </c>
      <c r="E2" s="3100" t="s">
        <v>865</v>
      </c>
      <c r="F2" s="3101"/>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171</v>
      </c>
      <c r="B3" s="951">
        <f>IF(C2="——",C49,ROUND(B2*10000/D3,0))</f>
        <v>28246</v>
      </c>
      <c r="C3" s="142" t="s">
        <v>165</v>
      </c>
      <c r="D3" s="741">
        <f>IF(D1="",'数据-汇总表'!E3,SUMIF('数据-汇总表'!$C19:$C33,D1,'数据-汇总表'!$E19:$E33))</f>
        <v>301.2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2" t="s">
        <v>54</v>
      </c>
      <c r="D4" s="3623"/>
      <c r="E4" s="3624" t="s">
        <v>55</v>
      </c>
      <c r="F4" s="3625"/>
      <c r="G4" s="3622" t="s">
        <v>56</v>
      </c>
      <c r="H4" s="3623"/>
      <c r="I4" s="3622" t="s">
        <v>57</v>
      </c>
      <c r="J4" s="3623"/>
      <c r="K4" s="187" t="s">
        <v>58</v>
      </c>
      <c r="L4" s="2294"/>
      <c r="M4" s="2295"/>
      <c r="N4" s="2295"/>
      <c r="O4" s="2295"/>
      <c r="P4" s="3626" t="s">
        <v>53</v>
      </c>
      <c r="Q4" s="3627"/>
      <c r="R4" s="3609" t="s">
        <v>55</v>
      </c>
      <c r="S4" s="3610"/>
      <c r="T4" s="3609" t="s">
        <v>56</v>
      </c>
      <c r="U4" s="3610"/>
      <c r="V4" s="3634" t="s">
        <v>57</v>
      </c>
      <c r="W4" s="3634"/>
      <c r="X4" s="1338"/>
      <c r="Y4" s="3609" t="s">
        <v>53</v>
      </c>
      <c r="Z4" s="3610"/>
      <c r="AA4" s="3604" t="s">
        <v>55</v>
      </c>
      <c r="AB4" s="3634" t="s">
        <v>56</v>
      </c>
      <c r="AC4" s="3604" t="s">
        <v>57</v>
      </c>
    </row>
    <row r="5" spans="1:29">
      <c r="A5" s="146"/>
      <c r="B5" s="147"/>
      <c r="C5" s="3615" t="s">
        <v>3079</v>
      </c>
      <c r="D5" s="3616"/>
      <c r="E5" s="3613" t="s">
        <v>3159</v>
      </c>
      <c r="F5" s="3614"/>
      <c r="G5" s="3615" t="s">
        <v>3160</v>
      </c>
      <c r="H5" s="3616"/>
      <c r="I5" s="3615" t="s">
        <v>3163</v>
      </c>
      <c r="J5" s="3616"/>
      <c r="K5" s="187"/>
      <c r="L5" s="2294"/>
      <c r="M5" s="2295"/>
      <c r="N5" s="2295"/>
      <c r="O5" s="2295"/>
      <c r="P5" s="3628"/>
      <c r="Q5" s="3629"/>
      <c r="R5" s="3611"/>
      <c r="S5" s="3612"/>
      <c r="T5" s="3611"/>
      <c r="U5" s="3612"/>
      <c r="V5" s="3634"/>
      <c r="W5" s="3634"/>
      <c r="X5" s="1338"/>
      <c r="Y5" s="3611"/>
      <c r="Z5" s="3612"/>
      <c r="AA5" s="3605"/>
      <c r="AB5" s="3634"/>
      <c r="AC5" s="3605"/>
    </row>
    <row r="6" spans="1:29" ht="14.25" thickBot="1">
      <c r="A6" s="148"/>
      <c r="B6" s="149"/>
      <c r="C6" s="3617" t="s">
        <v>60</v>
      </c>
      <c r="D6" s="3618"/>
      <c r="E6" s="3619" t="s">
        <v>60</v>
      </c>
      <c r="F6" s="3620"/>
      <c r="G6" s="3617" t="s">
        <v>60</v>
      </c>
      <c r="H6" s="3618"/>
      <c r="I6" s="3617" t="s">
        <v>60</v>
      </c>
      <c r="J6" s="3618"/>
      <c r="K6" s="187" t="s">
        <v>114</v>
      </c>
      <c r="L6" s="2294"/>
      <c r="M6" s="2295"/>
      <c r="N6" s="2295"/>
      <c r="O6" s="2295"/>
      <c r="P6" s="3630"/>
      <c r="Q6" s="3631"/>
      <c r="R6" s="3611"/>
      <c r="S6" s="3612"/>
      <c r="T6" s="3632"/>
      <c r="U6" s="3633"/>
      <c r="V6" s="3634"/>
      <c r="W6" s="3634"/>
      <c r="X6" s="1338"/>
      <c r="Y6" s="3632"/>
      <c r="Z6" s="3633"/>
      <c r="AA6" s="3606"/>
      <c r="AB6" s="3634"/>
      <c r="AC6" s="3606"/>
    </row>
    <row r="7" spans="1:29" s="40" customFormat="1" ht="15" thickBot="1">
      <c r="A7" s="1012" t="s">
        <v>61</v>
      </c>
      <c r="B7" s="1013"/>
      <c r="C7" s="1014">
        <f>'数据-取费表'!B2</f>
        <v>43003</v>
      </c>
      <c r="D7" s="753">
        <v>100</v>
      </c>
      <c r="E7" s="1015">
        <v>43003</v>
      </c>
      <c r="F7" s="755">
        <f>SUMIF(58:58,YEAR(E7)&amp;"-"&amp;MONTH(E7),59:59)</f>
        <v>100</v>
      </c>
      <c r="G7" s="1015">
        <v>43003</v>
      </c>
      <c r="H7" s="753">
        <f>SUMIF(58:58,YEAR(G7)&amp;"-"&amp;MONTH(G7),59:59)</f>
        <v>100</v>
      </c>
      <c r="I7" s="1015">
        <v>43003</v>
      </c>
      <c r="J7" s="753">
        <f>SUMIF(58:58,YEAR(I7)&amp;"-"&amp;MONTH(I7),59:59)</f>
        <v>100</v>
      </c>
      <c r="K7" s="1017"/>
      <c r="L7" s="2296"/>
      <c r="M7" s="2258"/>
      <c r="N7" s="2258"/>
      <c r="O7" s="2258"/>
      <c r="P7" s="3607" t="s">
        <v>61</v>
      </c>
      <c r="Q7" s="3635"/>
      <c r="R7" s="1340" t="s">
        <v>62</v>
      </c>
      <c r="S7" s="1341">
        <f t="shared" ref="S7:S15" si="0">F7</f>
        <v>100</v>
      </c>
      <c r="T7" s="1340" t="s">
        <v>62</v>
      </c>
      <c r="U7" s="1341">
        <f t="shared" ref="U7:U15" si="1">H7</f>
        <v>100</v>
      </c>
      <c r="V7" s="1340" t="s">
        <v>62</v>
      </c>
      <c r="W7" s="1341">
        <f t="shared" ref="W7:W15" si="2">J7</f>
        <v>100</v>
      </c>
      <c r="X7" s="287"/>
      <c r="Y7" s="3607" t="s">
        <v>61</v>
      </c>
      <c r="Z7" s="3608"/>
      <c r="AA7" s="1342">
        <f>D7/F7</f>
        <v>1</v>
      </c>
      <c r="AB7" s="1342">
        <f>D7/H7</f>
        <v>1</v>
      </c>
      <c r="AC7" s="1342">
        <f>D7/J7</f>
        <v>1</v>
      </c>
    </row>
    <row r="8" spans="1:29" s="40" customFormat="1" ht="15" thickBot="1">
      <c r="A8" s="1012" t="s">
        <v>63</v>
      </c>
      <c r="B8" s="1013"/>
      <c r="C8" s="1018" t="s">
        <v>113</v>
      </c>
      <c r="D8" s="753">
        <v>100</v>
      </c>
      <c r="E8" s="1018" t="s">
        <v>152</v>
      </c>
      <c r="F8" s="755">
        <f>SUMIF(61:61,E8,62:62)-SUMIF(61:61,C8,62:62)+100</f>
        <v>100</v>
      </c>
      <c r="G8" s="1018" t="s">
        <v>152</v>
      </c>
      <c r="H8" s="753">
        <f>SUMIF(61:61,G8,62:62)-SUMIF(61:61,C8,62:62)+100</f>
        <v>100</v>
      </c>
      <c r="I8" s="1018" t="s">
        <v>152</v>
      </c>
      <c r="J8" s="753">
        <f>SUMIF(61:61,I8,62:62)-SUMIF(61:61,C8,62:62)+100</f>
        <v>100</v>
      </c>
      <c r="K8" s="1017"/>
      <c r="L8" s="2296"/>
      <c r="M8" s="2258"/>
      <c r="N8" s="2258"/>
      <c r="O8" s="2258"/>
      <c r="P8" s="3607" t="s">
        <v>1018</v>
      </c>
      <c r="Q8" s="3608"/>
      <c r="R8" s="1340" t="s">
        <v>62</v>
      </c>
      <c r="S8" s="1341">
        <f t="shared" si="0"/>
        <v>100</v>
      </c>
      <c r="T8" s="1340" t="s">
        <v>62</v>
      </c>
      <c r="U8" s="1341">
        <f t="shared" si="1"/>
        <v>100</v>
      </c>
      <c r="V8" s="1340" t="s">
        <v>62</v>
      </c>
      <c r="W8" s="1341">
        <f t="shared" si="2"/>
        <v>100</v>
      </c>
      <c r="X8" s="287"/>
      <c r="Y8" s="3607" t="s">
        <v>1018</v>
      </c>
      <c r="Z8" s="3608"/>
      <c r="AA8" s="1342">
        <f t="shared" ref="AA8:AA46" si="3">D8/F8</f>
        <v>1</v>
      </c>
      <c r="AB8" s="1342">
        <f t="shared" ref="AB8:AB46" si="4">D8/H8</f>
        <v>1</v>
      </c>
      <c r="AC8" s="1342">
        <f t="shared" ref="AC8:AC46" si="5">D8/J8</f>
        <v>1</v>
      </c>
    </row>
    <row r="9" spans="1:29" s="40" customFormat="1" ht="14.25">
      <c r="A9" s="1019" t="s">
        <v>1019</v>
      </c>
      <c r="B9" s="62" t="s">
        <v>1020</v>
      </c>
      <c r="C9" s="1344" t="s">
        <v>3125</v>
      </c>
      <c r="D9" s="424">
        <v>100</v>
      </c>
      <c r="E9" s="1345" t="s">
        <v>3043</v>
      </c>
      <c r="F9" s="760">
        <f>SUMIF(63:63,E9,64:64)-SUMIF(63:63,C9,64:64)+100</f>
        <v>100</v>
      </c>
      <c r="G9" s="1345" t="s">
        <v>3043</v>
      </c>
      <c r="H9" s="424">
        <f>SUMIF(63:63,G9,64:64)-SUMIF(63:63,C9,64:64)+100</f>
        <v>100</v>
      </c>
      <c r="I9" s="1345" t="s">
        <v>3043</v>
      </c>
      <c r="J9" s="424">
        <f>SUMIF(63:63,I9,64:64)-SUMIF(63:63,C9,64:64)+100</f>
        <v>100</v>
      </c>
      <c r="K9" s="1017"/>
      <c r="L9" s="2296"/>
      <c r="M9" s="2258"/>
      <c r="N9" s="2258"/>
      <c r="O9" s="2258"/>
      <c r="P9" s="3621" t="s">
        <v>64</v>
      </c>
      <c r="Q9" s="7" t="str">
        <f t="shared" ref="Q9:Q15" si="6">B9</f>
        <v>用途</v>
      </c>
      <c r="R9" s="1340" t="s">
        <v>62</v>
      </c>
      <c r="S9" s="1341">
        <f t="shared" si="0"/>
        <v>100</v>
      </c>
      <c r="T9" s="1340" t="s">
        <v>62</v>
      </c>
      <c r="U9" s="1341">
        <f t="shared" si="1"/>
        <v>100</v>
      </c>
      <c r="V9" s="1340" t="s">
        <v>62</v>
      </c>
      <c r="W9" s="1341">
        <f t="shared" si="2"/>
        <v>100</v>
      </c>
      <c r="X9" s="287"/>
      <c r="Y9" s="3450" t="s">
        <v>64</v>
      </c>
      <c r="Z9" s="288" t="str">
        <f t="shared" ref="Z9:Z15" si="7">Q9</f>
        <v>用途</v>
      </c>
      <c r="AA9" s="1342">
        <f t="shared" si="3"/>
        <v>1</v>
      </c>
      <c r="AB9" s="1342">
        <f t="shared" si="4"/>
        <v>1</v>
      </c>
      <c r="AC9" s="1342">
        <f t="shared" si="5"/>
        <v>1</v>
      </c>
    </row>
    <row r="10" spans="1:29" s="92" customFormat="1" ht="27.75" thickBot="1">
      <c r="A10" s="150"/>
      <c r="B10" s="12" t="s">
        <v>103</v>
      </c>
      <c r="C10" s="1347" t="s">
        <v>3081</v>
      </c>
      <c r="D10" s="425">
        <v>100</v>
      </c>
      <c r="E10" s="1348" t="s">
        <v>3081</v>
      </c>
      <c r="F10" s="767">
        <f>SUMIF(65:65,E10,66:66)-SUMIF(65:65,C10,66:66)+100</f>
        <v>100</v>
      </c>
      <c r="G10" s="1347" t="s">
        <v>3081</v>
      </c>
      <c r="H10" s="425">
        <f>SUMIF(65:65,G10,66:66)-SUMIF(65:65,C10,66:66)+100</f>
        <v>100</v>
      </c>
      <c r="I10" s="1347" t="s">
        <v>3081</v>
      </c>
      <c r="J10" s="425">
        <f>SUMIF(65:65,I10,66:66)-SUMIF(65:65,C10,66:66)+100</f>
        <v>100</v>
      </c>
      <c r="K10" s="954">
        <v>2</v>
      </c>
      <c r="L10" s="2297"/>
      <c r="M10" s="2298"/>
      <c r="N10" s="2298"/>
      <c r="O10" s="2298"/>
      <c r="P10" s="3621"/>
      <c r="Q10" s="7" t="str">
        <f t="shared" si="6"/>
        <v>土地使用年限（年）</v>
      </c>
      <c r="R10" s="1340" t="s">
        <v>62</v>
      </c>
      <c r="S10" s="1341">
        <f t="shared" si="0"/>
        <v>100</v>
      </c>
      <c r="T10" s="1340" t="s">
        <v>62</v>
      </c>
      <c r="U10" s="1341">
        <f t="shared" si="1"/>
        <v>100</v>
      </c>
      <c r="V10" s="1340" t="s">
        <v>62</v>
      </c>
      <c r="W10" s="1341">
        <f t="shared" si="2"/>
        <v>100</v>
      </c>
      <c r="X10" s="287"/>
      <c r="Y10" s="3450"/>
      <c r="Z10" s="288" t="str">
        <f t="shared" si="7"/>
        <v>土地使用年限（年）</v>
      </c>
      <c r="AA10" s="1342">
        <f t="shared" si="3"/>
        <v>1</v>
      </c>
      <c r="AB10" s="1342">
        <f t="shared" si="4"/>
        <v>1</v>
      </c>
      <c r="AC10" s="1342">
        <f t="shared" si="5"/>
        <v>1</v>
      </c>
    </row>
    <row r="11" spans="1:29" ht="15.75" hidden="1" thickBot="1">
      <c r="A11" s="151"/>
      <c r="B11" s="12" t="s">
        <v>90</v>
      </c>
      <c r="C11" s="771">
        <v>3.5</v>
      </c>
      <c r="D11" s="425">
        <v>100</v>
      </c>
      <c r="E11" s="772">
        <v>4.37</v>
      </c>
      <c r="F11" s="767">
        <f>LOOKUP(E11,68:68,69:69)-LOOKUP(C11,68:68,69:69)+100</f>
        <v>100</v>
      </c>
      <c r="G11" s="771">
        <v>3.99</v>
      </c>
      <c r="H11" s="425">
        <f>LOOKUP(G11,68:68,69:69)-LOOKUP(C11,68:68,69:69)+100</f>
        <v>100</v>
      </c>
      <c r="I11" s="771">
        <v>3.5</v>
      </c>
      <c r="J11" s="425">
        <f>LOOKUP(I11,68:68,69:69)-LOOKUP(C11,68:68,69:69)+100</f>
        <v>100</v>
      </c>
      <c r="K11" s="954"/>
      <c r="L11" s="2299"/>
      <c r="M11" s="2295"/>
      <c r="N11" s="2295"/>
      <c r="O11" s="2295"/>
      <c r="P11" s="3621"/>
      <c r="Q11" s="7" t="str">
        <f t="shared" si="6"/>
        <v>容积率</v>
      </c>
      <c r="R11" s="1340" t="s">
        <v>62</v>
      </c>
      <c r="S11" s="1341">
        <f t="shared" si="0"/>
        <v>100</v>
      </c>
      <c r="T11" s="1340" t="s">
        <v>62</v>
      </c>
      <c r="U11" s="1341">
        <f t="shared" si="1"/>
        <v>100</v>
      </c>
      <c r="V11" s="1340" t="s">
        <v>62</v>
      </c>
      <c r="W11" s="1341">
        <f t="shared" si="2"/>
        <v>100</v>
      </c>
      <c r="X11" s="287"/>
      <c r="Y11" s="3450"/>
      <c r="Z11" s="288" t="str">
        <f t="shared" si="7"/>
        <v>容积率</v>
      </c>
      <c r="AA11" s="1342">
        <f t="shared" si="3"/>
        <v>1</v>
      </c>
      <c r="AB11" s="1342">
        <f t="shared" si="4"/>
        <v>1</v>
      </c>
      <c r="AC11" s="1342">
        <f t="shared" si="5"/>
        <v>1</v>
      </c>
    </row>
    <row r="12" spans="1:29" s="40" customFormat="1" ht="14.25" hidden="1">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21"/>
      <c r="Q12" s="7">
        <f t="shared" si="6"/>
        <v>111</v>
      </c>
      <c r="R12" s="1340" t="s">
        <v>62</v>
      </c>
      <c r="S12" s="1341">
        <f t="shared" si="0"/>
        <v>100</v>
      </c>
      <c r="T12" s="1340" t="s">
        <v>62</v>
      </c>
      <c r="U12" s="1341">
        <f t="shared" si="1"/>
        <v>100</v>
      </c>
      <c r="V12" s="1340" t="s">
        <v>62</v>
      </c>
      <c r="W12" s="1341">
        <f t="shared" si="2"/>
        <v>100</v>
      </c>
      <c r="X12" s="287"/>
      <c r="Y12" s="3450"/>
      <c r="Z12" s="288">
        <f t="shared" si="7"/>
        <v>111</v>
      </c>
      <c r="AA12" s="1342">
        <f>D12/F12</f>
        <v>1</v>
      </c>
      <c r="AB12" s="1342">
        <f>D12/H12</f>
        <v>1</v>
      </c>
      <c r="AC12" s="1342">
        <f>D12/J12</f>
        <v>1</v>
      </c>
    </row>
    <row r="13" spans="1:29" ht="14.25" hidden="1">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21"/>
      <c r="Q13" s="7">
        <f t="shared" si="6"/>
        <v>111</v>
      </c>
      <c r="R13" s="1340" t="s">
        <v>62</v>
      </c>
      <c r="S13" s="1341">
        <f t="shared" si="0"/>
        <v>100</v>
      </c>
      <c r="T13" s="1340" t="s">
        <v>62</v>
      </c>
      <c r="U13" s="1341">
        <f t="shared" si="1"/>
        <v>100</v>
      </c>
      <c r="V13" s="1340" t="s">
        <v>62</v>
      </c>
      <c r="W13" s="1341">
        <f t="shared" si="2"/>
        <v>100</v>
      </c>
      <c r="X13" s="287"/>
      <c r="Y13" s="3450"/>
      <c r="Z13" s="288">
        <f t="shared" si="7"/>
        <v>111</v>
      </c>
      <c r="AA13" s="1342">
        <f t="shared" si="3"/>
        <v>1</v>
      </c>
      <c r="AB13" s="1342">
        <f t="shared" si="4"/>
        <v>1</v>
      </c>
      <c r="AC13" s="1342">
        <f t="shared" si="5"/>
        <v>1</v>
      </c>
    </row>
    <row r="14" spans="1:29" ht="15" hidden="1"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21"/>
      <c r="Q14" s="7">
        <f t="shared" si="6"/>
        <v>111</v>
      </c>
      <c r="R14" s="1340" t="s">
        <v>62</v>
      </c>
      <c r="S14" s="1341">
        <f t="shared" si="0"/>
        <v>100</v>
      </c>
      <c r="T14" s="1340" t="s">
        <v>62</v>
      </c>
      <c r="U14" s="1341">
        <f t="shared" si="1"/>
        <v>100</v>
      </c>
      <c r="V14" s="1340" t="s">
        <v>62</v>
      </c>
      <c r="W14" s="1341">
        <f t="shared" si="2"/>
        <v>100</v>
      </c>
      <c r="X14" s="287"/>
      <c r="Y14" s="3450"/>
      <c r="Z14" s="288">
        <f t="shared" si="7"/>
        <v>111</v>
      </c>
      <c r="AA14" s="1342">
        <f t="shared" si="3"/>
        <v>1</v>
      </c>
      <c r="AB14" s="1342">
        <f t="shared" si="4"/>
        <v>1</v>
      </c>
      <c r="AC14" s="1342">
        <f t="shared" si="5"/>
        <v>1</v>
      </c>
    </row>
    <row r="15" spans="1:29" ht="67.5">
      <c r="A15" s="155" t="s">
        <v>66</v>
      </c>
      <c r="B15" s="58" t="s">
        <v>127</v>
      </c>
      <c r="C15" s="157" t="str">
        <f>估价对象房地状况!C4</f>
        <v>估价对象位于开发区，周边商业氛围一般，人流量一般，商业繁华度一般</v>
      </c>
      <c r="D15" s="783">
        <v>100</v>
      </c>
      <c r="E15" s="95"/>
      <c r="F15" s="785">
        <f>SUMIF(76:76,E16,77:77)-SUMIF(76:76,C16,77:77)+100</f>
        <v>100</v>
      </c>
      <c r="G15" s="96"/>
      <c r="H15" s="783">
        <f>SUMIF(76:76,G16,77:77)-SUMIF(76:76,C16,77:77)+100</f>
        <v>100</v>
      </c>
      <c r="I15" s="95"/>
      <c r="J15" s="783">
        <f>SUMIF(76:76,I16,77:77)-SUMIF(76:76,C16,77:77)+100</f>
        <v>100</v>
      </c>
      <c r="K15" s="956">
        <v>2</v>
      </c>
      <c r="L15" s="2300"/>
      <c r="M15" s="2295"/>
      <c r="N15" s="2295"/>
      <c r="O15" s="2295"/>
      <c r="P15" s="3648" t="s">
        <v>66</v>
      </c>
      <c r="Q15" s="1349" t="str">
        <f t="shared" si="6"/>
        <v>商业繁华度</v>
      </c>
      <c r="R15" s="1350" t="s">
        <v>62</v>
      </c>
      <c r="S15" s="1351">
        <f t="shared" si="0"/>
        <v>100</v>
      </c>
      <c r="T15" s="1350" t="s">
        <v>62</v>
      </c>
      <c r="U15" s="1351">
        <f t="shared" si="1"/>
        <v>100</v>
      </c>
      <c r="V15" s="1350" t="s">
        <v>62</v>
      </c>
      <c r="W15" s="1351">
        <f t="shared" si="2"/>
        <v>100</v>
      </c>
      <c r="X15" s="1338"/>
      <c r="Y15" s="3641" t="s">
        <v>66</v>
      </c>
      <c r="Z15" s="1352" t="str">
        <f t="shared" si="7"/>
        <v>商业繁华度</v>
      </c>
      <c r="AA15" s="1353">
        <f t="shared" si="3"/>
        <v>1</v>
      </c>
      <c r="AB15" s="1353">
        <f t="shared" si="4"/>
        <v>1</v>
      </c>
      <c r="AC15" s="1353">
        <f t="shared" si="5"/>
        <v>1</v>
      </c>
    </row>
    <row r="16" spans="1:29" ht="14.25">
      <c r="A16" s="151"/>
      <c r="B16" s="156"/>
      <c r="C16" s="97" t="s">
        <v>3082</v>
      </c>
      <c r="D16" s="790"/>
      <c r="E16" s="97" t="s">
        <v>3082</v>
      </c>
      <c r="F16" s="791"/>
      <c r="G16" s="97" t="s">
        <v>3082</v>
      </c>
      <c r="H16" s="792"/>
      <c r="I16" s="97" t="s">
        <v>3082</v>
      </c>
      <c r="J16" s="790"/>
      <c r="K16" s="189"/>
      <c r="L16" s="2300"/>
      <c r="M16" s="2295"/>
      <c r="N16" s="2295"/>
      <c r="O16" s="2295"/>
      <c r="P16" s="3649"/>
      <c r="Q16" s="1349"/>
      <c r="R16" s="1350"/>
      <c r="S16" s="1351"/>
      <c r="T16" s="1350"/>
      <c r="U16" s="1351"/>
      <c r="V16" s="1350"/>
      <c r="W16" s="1351"/>
      <c r="X16" s="1338"/>
      <c r="Y16" s="3642"/>
      <c r="Z16" s="1352"/>
      <c r="AA16" s="1353">
        <v>1</v>
      </c>
      <c r="AB16" s="1353">
        <v>1</v>
      </c>
      <c r="AC16" s="1353">
        <v>1</v>
      </c>
    </row>
    <row r="17" spans="1:29" ht="81">
      <c r="A17" s="151"/>
      <c r="B17" s="1354" t="s">
        <v>69</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2</v>
      </c>
      <c r="L17" s="2300"/>
      <c r="M17" s="2295"/>
      <c r="N17" s="2295"/>
      <c r="O17" s="2295"/>
      <c r="P17" s="3649"/>
      <c r="Q17" s="1349" t="str">
        <f>B17</f>
        <v>交通便捷度</v>
      </c>
      <c r="R17" s="1350" t="s">
        <v>62</v>
      </c>
      <c r="S17" s="1351">
        <f>F17</f>
        <v>100</v>
      </c>
      <c r="T17" s="1350" t="s">
        <v>62</v>
      </c>
      <c r="U17" s="1351">
        <f>H17</f>
        <v>100</v>
      </c>
      <c r="V17" s="1350" t="s">
        <v>62</v>
      </c>
      <c r="W17" s="1351">
        <f>J17</f>
        <v>100</v>
      </c>
      <c r="X17" s="1338"/>
      <c r="Y17" s="3642"/>
      <c r="Z17" s="1352" t="str">
        <f>Q17</f>
        <v>交通便捷度</v>
      </c>
      <c r="AA17" s="1353">
        <f t="shared" si="3"/>
        <v>1</v>
      </c>
      <c r="AB17" s="1353">
        <f t="shared" si="4"/>
        <v>1</v>
      </c>
      <c r="AC17" s="1353">
        <f t="shared" si="5"/>
        <v>1</v>
      </c>
    </row>
    <row r="18" spans="1:29" ht="14.25">
      <c r="A18" s="151"/>
      <c r="B18" s="1038"/>
      <c r="C18" s="102" t="s">
        <v>3082</v>
      </c>
      <c r="D18" s="792"/>
      <c r="E18" s="103" t="s">
        <v>3082</v>
      </c>
      <c r="F18" s="795"/>
      <c r="G18" s="104" t="s">
        <v>3082</v>
      </c>
      <c r="H18" s="790"/>
      <c r="I18" s="103" t="s">
        <v>3082</v>
      </c>
      <c r="J18" s="790"/>
      <c r="K18" s="189"/>
      <c r="L18" s="2300"/>
      <c r="M18" s="2295"/>
      <c r="N18" s="2295"/>
      <c r="O18" s="2295"/>
      <c r="P18" s="3649"/>
      <c r="Q18" s="1349"/>
      <c r="R18" s="1350"/>
      <c r="S18" s="1351"/>
      <c r="T18" s="1350"/>
      <c r="U18" s="1351"/>
      <c r="V18" s="1350"/>
      <c r="W18" s="1351"/>
      <c r="X18" s="1338"/>
      <c r="Y18" s="3642"/>
      <c r="Z18" s="1352"/>
      <c r="AA18" s="1353">
        <v>1</v>
      </c>
      <c r="AB18" s="1353">
        <v>1</v>
      </c>
      <c r="AC18" s="1353">
        <v>1</v>
      </c>
    </row>
    <row r="19" spans="1:29" ht="40.5">
      <c r="A19" s="151"/>
      <c r="B19" s="1354" t="s">
        <v>2650</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2</v>
      </c>
      <c r="L19" s="2300"/>
      <c r="M19" s="2295"/>
      <c r="N19" s="2295"/>
      <c r="O19" s="2295"/>
      <c r="P19" s="3649"/>
      <c r="Q19" s="1349" t="str">
        <f>B19</f>
        <v>公共配套设施</v>
      </c>
      <c r="R19" s="1350" t="s">
        <v>62</v>
      </c>
      <c r="S19" s="1351">
        <f>F19</f>
        <v>100</v>
      </c>
      <c r="T19" s="1350" t="s">
        <v>62</v>
      </c>
      <c r="U19" s="1351">
        <f>H19</f>
        <v>100</v>
      </c>
      <c r="V19" s="1350" t="s">
        <v>62</v>
      </c>
      <c r="W19" s="1351">
        <f>J19</f>
        <v>100</v>
      </c>
      <c r="X19" s="1338"/>
      <c r="Y19" s="3642"/>
      <c r="Z19" s="1352" t="str">
        <f>Q19</f>
        <v>公共配套设施</v>
      </c>
      <c r="AA19" s="1353">
        <f t="shared" si="3"/>
        <v>1</v>
      </c>
      <c r="AB19" s="1353">
        <f t="shared" si="4"/>
        <v>1</v>
      </c>
      <c r="AC19" s="1353">
        <f t="shared" si="5"/>
        <v>1</v>
      </c>
    </row>
    <row r="20" spans="1:29" ht="14.25">
      <c r="A20" s="151"/>
      <c r="B20" s="1038"/>
      <c r="C20" s="97" t="s">
        <v>3082</v>
      </c>
      <c r="D20" s="790"/>
      <c r="E20" s="98" t="s">
        <v>3082</v>
      </c>
      <c r="F20" s="791"/>
      <c r="G20" s="99" t="s">
        <v>3082</v>
      </c>
      <c r="H20" s="790"/>
      <c r="I20" s="98" t="s">
        <v>3082</v>
      </c>
      <c r="J20" s="790"/>
      <c r="K20" s="189"/>
      <c r="L20" s="2300"/>
      <c r="M20" s="2295"/>
      <c r="N20" s="2295"/>
      <c r="O20" s="2295"/>
      <c r="P20" s="3649"/>
      <c r="Q20" s="1349"/>
      <c r="R20" s="1350"/>
      <c r="S20" s="1351"/>
      <c r="T20" s="1350"/>
      <c r="U20" s="1351"/>
      <c r="V20" s="1350"/>
      <c r="W20" s="1351"/>
      <c r="X20" s="1338"/>
      <c r="Y20" s="3642"/>
      <c r="Z20" s="1352"/>
      <c r="AA20" s="1353">
        <v>1</v>
      </c>
      <c r="AB20" s="1353">
        <v>1</v>
      </c>
      <c r="AC20" s="1353">
        <v>1</v>
      </c>
    </row>
    <row r="21" spans="1:29" ht="27">
      <c r="A21" s="151"/>
      <c r="B21" s="1410" t="s">
        <v>2651</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1</v>
      </c>
      <c r="L21" s="2300"/>
      <c r="M21" s="2295"/>
      <c r="N21" s="2295"/>
      <c r="O21" s="2295"/>
      <c r="P21" s="3649"/>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1353">
        <f t="shared" ref="AC21" si="10">D21/J21</f>
        <v>1</v>
      </c>
    </row>
    <row r="22" spans="1:29" ht="14.25">
      <c r="A22" s="151"/>
      <c r="B22" s="1410"/>
      <c r="C22" s="102" t="s">
        <v>3083</v>
      </c>
      <c r="D22" s="790"/>
      <c r="E22" s="97" t="s">
        <v>3083</v>
      </c>
      <c r="F22" s="791"/>
      <c r="G22" s="97" t="s">
        <v>3083</v>
      </c>
      <c r="H22" s="790"/>
      <c r="I22" s="97" t="s">
        <v>3083</v>
      </c>
      <c r="J22" s="790"/>
      <c r="K22" s="2764"/>
      <c r="L22" s="2300"/>
      <c r="M22" s="2295"/>
      <c r="N22" s="2295"/>
      <c r="O22" s="2295"/>
      <c r="P22" s="3649"/>
      <c r="Q22" s="2744"/>
      <c r="R22" s="1350"/>
      <c r="S22" s="1351"/>
      <c r="T22" s="1350"/>
      <c r="U22" s="1351"/>
      <c r="V22" s="1350"/>
      <c r="W22" s="1351"/>
      <c r="X22" s="2746"/>
      <c r="Y22" s="3642"/>
      <c r="Z22" s="2745"/>
      <c r="AA22" s="1353">
        <v>1</v>
      </c>
      <c r="AB22" s="1353">
        <v>1</v>
      </c>
      <c r="AC22" s="1353">
        <v>1</v>
      </c>
    </row>
    <row r="23" spans="1:29" ht="54">
      <c r="A23" s="151"/>
      <c r="B23" s="1354" t="s">
        <v>70</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0"/>
      <c r="M23" s="2295"/>
      <c r="N23" s="2295"/>
      <c r="O23" s="2295"/>
      <c r="P23" s="3649"/>
      <c r="Q23" s="1349" t="str">
        <f>B23</f>
        <v>自然及人文环境</v>
      </c>
      <c r="R23" s="1350" t="s">
        <v>62</v>
      </c>
      <c r="S23" s="1351">
        <f>F23</f>
        <v>100</v>
      </c>
      <c r="T23" s="1350" t="s">
        <v>62</v>
      </c>
      <c r="U23" s="1351">
        <f>H23</f>
        <v>100</v>
      </c>
      <c r="V23" s="1350" t="s">
        <v>62</v>
      </c>
      <c r="W23" s="1351">
        <f>J23</f>
        <v>100</v>
      </c>
      <c r="X23" s="1338"/>
      <c r="Y23" s="3642"/>
      <c r="Z23" s="1352" t="str">
        <f>Q23</f>
        <v>自然及人文环境</v>
      </c>
      <c r="AA23" s="1353">
        <f t="shared" si="3"/>
        <v>1</v>
      </c>
      <c r="AB23" s="1353">
        <f t="shared" si="4"/>
        <v>1</v>
      </c>
      <c r="AC23" s="1353">
        <f t="shared" si="5"/>
        <v>1</v>
      </c>
    </row>
    <row r="24" spans="1:29" ht="14.25">
      <c r="A24" s="151"/>
      <c r="B24" s="1038"/>
      <c r="C24" s="97" t="s">
        <v>3082</v>
      </c>
      <c r="D24" s="790"/>
      <c r="E24" s="98" t="s">
        <v>3082</v>
      </c>
      <c r="F24" s="791"/>
      <c r="G24" s="99" t="s">
        <v>3082</v>
      </c>
      <c r="H24" s="790"/>
      <c r="I24" s="98" t="s">
        <v>3082</v>
      </c>
      <c r="J24" s="790"/>
      <c r="K24" s="189"/>
      <c r="L24" s="2300"/>
      <c r="M24" s="2295"/>
      <c r="N24" s="2295"/>
      <c r="O24" s="2295"/>
      <c r="P24" s="3649"/>
      <c r="Q24" s="1349"/>
      <c r="R24" s="1350"/>
      <c r="S24" s="1351"/>
      <c r="T24" s="1350"/>
      <c r="U24" s="1351"/>
      <c r="V24" s="1350"/>
      <c r="W24" s="1351"/>
      <c r="X24" s="1338"/>
      <c r="Y24" s="3642"/>
      <c r="Z24" s="1352"/>
      <c r="AA24" s="1353">
        <v>1</v>
      </c>
      <c r="AB24" s="1353">
        <v>1</v>
      </c>
      <c r="AC24" s="1353">
        <v>1</v>
      </c>
    </row>
    <row r="25" spans="1:29" ht="15">
      <c r="A25" s="151"/>
      <c r="B25" s="12" t="s">
        <v>128</v>
      </c>
      <c r="C25" s="182" t="s">
        <v>3085</v>
      </c>
      <c r="D25" s="777">
        <v>100</v>
      </c>
      <c r="E25" s="182" t="s">
        <v>3085</v>
      </c>
      <c r="F25" s="803">
        <f>SUMIF(86:86,E25,87:87)-SUMIF(86:86,C25,87:87)+100</f>
        <v>100</v>
      </c>
      <c r="G25" s="182" t="s">
        <v>3085</v>
      </c>
      <c r="H25" s="777">
        <f>SUMIF(86:86,G25,87:87)-SUMIF(86:86,C25,87:87)+100</f>
        <v>100</v>
      </c>
      <c r="I25" s="182" t="s">
        <v>3164</v>
      </c>
      <c r="J25" s="777">
        <f>SUMIF(86:86,I25,87:87)-SUMIF(86:86,C25,87:87)+100</f>
        <v>95</v>
      </c>
      <c r="K25" s="954">
        <v>5</v>
      </c>
      <c r="L25" s="2300"/>
      <c r="M25" s="2295"/>
      <c r="N25" s="2295"/>
      <c r="O25" s="2295"/>
      <c r="P25" s="3649"/>
      <c r="Q25" s="1349" t="str">
        <f t="shared" ref="Q25:Q46" si="11">B25</f>
        <v>临街状况</v>
      </c>
      <c r="R25" s="1350" t="s">
        <v>62</v>
      </c>
      <c r="S25" s="1351">
        <f>F25</f>
        <v>100</v>
      </c>
      <c r="T25" s="1350" t="s">
        <v>62</v>
      </c>
      <c r="U25" s="1351">
        <f>H25</f>
        <v>100</v>
      </c>
      <c r="V25" s="1350" t="s">
        <v>62</v>
      </c>
      <c r="W25" s="1351">
        <f>J25</f>
        <v>95</v>
      </c>
      <c r="X25" s="1338"/>
      <c r="Y25" s="3642"/>
      <c r="Z25" s="1352" t="str">
        <f>Q25</f>
        <v>临街状况</v>
      </c>
      <c r="AA25" s="1353">
        <f t="shared" si="3"/>
        <v>1</v>
      </c>
      <c r="AB25" s="1353">
        <f t="shared" si="4"/>
        <v>1</v>
      </c>
      <c r="AC25" s="1353">
        <f t="shared" si="5"/>
        <v>1.0526315789473684</v>
      </c>
    </row>
    <row r="26" spans="1:29" ht="14.25" hidden="1">
      <c r="A26" s="151"/>
      <c r="B26" s="1355" t="s">
        <v>3169</v>
      </c>
      <c r="C26" s="93" t="s">
        <v>3167</v>
      </c>
      <c r="D26" s="777">
        <v>100</v>
      </c>
      <c r="E26" s="93" t="s">
        <v>3167</v>
      </c>
      <c r="F26" s="803">
        <f>SUMIF(88:88,E26,89:89)-SUMIF(88:88,C26,89:89)+100</f>
        <v>100</v>
      </c>
      <c r="G26" s="93" t="s">
        <v>3168</v>
      </c>
      <c r="H26" s="777">
        <f>SUMIF(88:88,G26,89:89)-SUMIF(88:88,C26,89:89)+100</f>
        <v>100</v>
      </c>
      <c r="I26" s="93" t="s">
        <v>3166</v>
      </c>
      <c r="J26" s="777">
        <f>SUMIF(88:88,I26,89:89)-SUMIF(88:88,C26,89:89)+100</f>
        <v>100</v>
      </c>
      <c r="K26" s="188"/>
      <c r="L26" s="2300"/>
      <c r="M26" s="2295"/>
      <c r="N26" s="2295"/>
      <c r="O26" s="2295"/>
      <c r="P26" s="3649"/>
      <c r="Q26" s="1349" t="str">
        <f t="shared" si="11"/>
        <v>可视性</v>
      </c>
      <c r="R26" s="1350" t="s">
        <v>62</v>
      </c>
      <c r="S26" s="1351">
        <f>F26</f>
        <v>100</v>
      </c>
      <c r="T26" s="1350" t="s">
        <v>62</v>
      </c>
      <c r="U26" s="1351">
        <f>H26</f>
        <v>100</v>
      </c>
      <c r="V26" s="1350" t="s">
        <v>62</v>
      </c>
      <c r="W26" s="1351">
        <f>J26</f>
        <v>100</v>
      </c>
      <c r="X26" s="1338"/>
      <c r="Y26" s="3642"/>
      <c r="Z26" s="1352" t="str">
        <f>Q26</f>
        <v>可视性</v>
      </c>
      <c r="AA26" s="1353">
        <f t="shared" si="3"/>
        <v>1</v>
      </c>
      <c r="AB26" s="1353">
        <f t="shared" si="4"/>
        <v>1</v>
      </c>
      <c r="AC26" s="1353">
        <f t="shared" si="5"/>
        <v>1</v>
      </c>
    </row>
    <row r="27" spans="1:29" s="40" customFormat="1" ht="15" hidden="1">
      <c r="A27" s="1028"/>
      <c r="B27" s="1354" t="s">
        <v>1021</v>
      </c>
      <c r="C27" s="1385" t="s">
        <v>3082</v>
      </c>
      <c r="D27" s="804">
        <v>100</v>
      </c>
      <c r="E27" s="1385" t="s">
        <v>3082</v>
      </c>
      <c r="F27" s="806">
        <f>SUMIF(90:90,E27,91:91)-SUMIF(90:90,C27,91:91)+100</f>
        <v>100</v>
      </c>
      <c r="G27" s="1385" t="s">
        <v>3082</v>
      </c>
      <c r="H27" s="804">
        <f>SUMIF(90:90,G27,91:91)-SUMIF(90:90,C27,91:91)+100</f>
        <v>100</v>
      </c>
      <c r="I27" s="1385" t="s">
        <v>3165</v>
      </c>
      <c r="J27" s="804">
        <f>SUMIF(90:90,I27,91:91)-SUMIF(90:90,C27,91:91)+100</f>
        <v>100</v>
      </c>
      <c r="K27" s="954"/>
      <c r="L27" s="2296"/>
      <c r="M27" s="2258"/>
      <c r="N27" s="2258"/>
      <c r="O27" s="2258"/>
      <c r="P27" s="3649"/>
      <c r="Q27" s="7" t="str">
        <f t="shared" si="11"/>
        <v>人流量</v>
      </c>
      <c r="R27" s="1340" t="s">
        <v>62</v>
      </c>
      <c r="S27" s="1341">
        <f>F27</f>
        <v>100</v>
      </c>
      <c r="T27" s="1340" t="s">
        <v>62</v>
      </c>
      <c r="U27" s="1341">
        <f>H27</f>
        <v>100</v>
      </c>
      <c r="V27" s="1340" t="s">
        <v>62</v>
      </c>
      <c r="W27" s="1341">
        <f>J27</f>
        <v>100</v>
      </c>
      <c r="X27" s="287"/>
      <c r="Y27" s="3642"/>
      <c r="Z27" s="288" t="str">
        <f>Q27</f>
        <v>人流量</v>
      </c>
      <c r="AA27" s="1353">
        <f>D27/F27</f>
        <v>1</v>
      </c>
      <c r="AB27" s="1353">
        <f>D27/H27</f>
        <v>1</v>
      </c>
      <c r="AC27" s="1353">
        <f>D27/J27</f>
        <v>1</v>
      </c>
    </row>
    <row r="28" spans="1:29" ht="15" thickBot="1">
      <c r="A28" s="151"/>
      <c r="B28" s="12" t="s">
        <v>129</v>
      </c>
      <c r="C28" s="182" t="s">
        <v>3136</v>
      </c>
      <c r="D28" s="777">
        <v>100</v>
      </c>
      <c r="E28" s="182" t="s">
        <v>3136</v>
      </c>
      <c r="F28" s="803">
        <f>SUMIF(92:92,E28,93:93)-SUMIF(92:92,C28,93:93)+100</f>
        <v>100</v>
      </c>
      <c r="G28" s="182" t="s">
        <v>3136</v>
      </c>
      <c r="H28" s="777">
        <f>SUMIF(92:92,G28,93:93)-SUMIF(92:92,C28,93:93)+100</f>
        <v>100</v>
      </c>
      <c r="I28" s="182" t="s">
        <v>3136</v>
      </c>
      <c r="J28" s="777">
        <f>SUMIF(92:92,I28,93:93)-SUMIF(92:92,C28,93:93)+100</f>
        <v>100</v>
      </c>
      <c r="K28" s="188"/>
      <c r="L28" s="2300"/>
      <c r="M28" s="2295"/>
      <c r="N28" s="2295"/>
      <c r="O28" s="2295"/>
      <c r="P28" s="3649"/>
      <c r="Q28" s="1349" t="str">
        <f t="shared" si="11"/>
        <v>楼层</v>
      </c>
      <c r="R28" s="1350" t="s">
        <v>62</v>
      </c>
      <c r="S28" s="1351">
        <f t="shared" ref="S28:S46" si="12">F28</f>
        <v>100</v>
      </c>
      <c r="T28" s="1350" t="s">
        <v>62</v>
      </c>
      <c r="U28" s="1351">
        <f t="shared" ref="U28:U46" si="13">H28</f>
        <v>100</v>
      </c>
      <c r="V28" s="1350" t="s">
        <v>62</v>
      </c>
      <c r="W28" s="1351">
        <f t="shared" ref="W28:W46" si="14">J28</f>
        <v>100</v>
      </c>
      <c r="X28" s="1338"/>
      <c r="Y28" s="3642"/>
      <c r="Z28" s="1352" t="str">
        <f t="shared" ref="Z28:Z46" si="15">Q28</f>
        <v>楼层</v>
      </c>
      <c r="AA28" s="1353">
        <f t="shared" si="3"/>
        <v>1</v>
      </c>
      <c r="AB28" s="1353">
        <f t="shared" si="4"/>
        <v>1</v>
      </c>
      <c r="AC28" s="1353">
        <f t="shared" si="5"/>
        <v>1</v>
      </c>
    </row>
    <row r="29" spans="1:29" ht="14.25" hidden="1">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49"/>
      <c r="Q29" s="1349">
        <f t="shared" si="11"/>
        <v>111</v>
      </c>
      <c r="R29" s="1350" t="s">
        <v>62</v>
      </c>
      <c r="S29" s="1351">
        <f t="shared" si="12"/>
        <v>100</v>
      </c>
      <c r="T29" s="1350" t="s">
        <v>62</v>
      </c>
      <c r="U29" s="1351">
        <f t="shared" si="13"/>
        <v>100</v>
      </c>
      <c r="V29" s="1350" t="s">
        <v>62</v>
      </c>
      <c r="W29" s="1351">
        <f t="shared" si="14"/>
        <v>100</v>
      </c>
      <c r="X29" s="1338"/>
      <c r="Y29" s="3642"/>
      <c r="Z29" s="1352">
        <f t="shared" si="15"/>
        <v>111</v>
      </c>
      <c r="AA29" s="1353">
        <f t="shared" si="3"/>
        <v>1</v>
      </c>
      <c r="AB29" s="1353">
        <f t="shared" si="4"/>
        <v>1</v>
      </c>
      <c r="AC29" s="1353">
        <f t="shared" si="5"/>
        <v>1</v>
      </c>
    </row>
    <row r="30" spans="1:29" ht="14.25" hidden="1">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49"/>
      <c r="Q30" s="1349">
        <f t="shared" si="11"/>
        <v>111</v>
      </c>
      <c r="R30" s="1350" t="s">
        <v>62</v>
      </c>
      <c r="S30" s="1351">
        <f t="shared" si="12"/>
        <v>100</v>
      </c>
      <c r="T30" s="1350" t="s">
        <v>62</v>
      </c>
      <c r="U30" s="1351">
        <f t="shared" si="13"/>
        <v>100</v>
      </c>
      <c r="V30" s="1350" t="s">
        <v>62</v>
      </c>
      <c r="W30" s="1351">
        <f t="shared" si="14"/>
        <v>100</v>
      </c>
      <c r="X30" s="1338"/>
      <c r="Y30" s="3642"/>
      <c r="Z30" s="1352">
        <f t="shared" si="15"/>
        <v>111</v>
      </c>
      <c r="AA30" s="1353">
        <f t="shared" si="3"/>
        <v>1</v>
      </c>
      <c r="AB30" s="1353">
        <f t="shared" si="4"/>
        <v>1</v>
      </c>
      <c r="AC30" s="1353">
        <f t="shared" si="5"/>
        <v>1</v>
      </c>
    </row>
    <row r="31" spans="1:29" ht="15" hidden="1"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49"/>
      <c r="Q31" s="1349">
        <f t="shared" si="11"/>
        <v>111</v>
      </c>
      <c r="R31" s="1350" t="s">
        <v>62</v>
      </c>
      <c r="S31" s="1351">
        <f t="shared" si="12"/>
        <v>100</v>
      </c>
      <c r="T31" s="1350" t="s">
        <v>62</v>
      </c>
      <c r="U31" s="1351">
        <f t="shared" si="13"/>
        <v>100</v>
      </c>
      <c r="V31" s="1350" t="s">
        <v>62</v>
      </c>
      <c r="W31" s="1351">
        <f t="shared" si="14"/>
        <v>100</v>
      </c>
      <c r="X31" s="1338"/>
      <c r="Y31" s="3642"/>
      <c r="Z31" s="1352">
        <f t="shared" si="15"/>
        <v>111</v>
      </c>
      <c r="AA31" s="1353">
        <f t="shared" si="3"/>
        <v>1</v>
      </c>
      <c r="AB31" s="1353">
        <f t="shared" si="4"/>
        <v>1</v>
      </c>
      <c r="AC31" s="1353">
        <f t="shared" si="5"/>
        <v>1</v>
      </c>
    </row>
    <row r="32" spans="1:29" ht="15">
      <c r="A32" s="155" t="s">
        <v>1022</v>
      </c>
      <c r="B32" s="62" t="s">
        <v>1023</v>
      </c>
      <c r="C32" s="110" t="s">
        <v>3147</v>
      </c>
      <c r="D32" s="809">
        <v>100</v>
      </c>
      <c r="E32" s="110" t="s">
        <v>3147</v>
      </c>
      <c r="F32" s="803">
        <f>SUMIF(100:100,E32,101:101)-SUMIF(100:100,C32,101:101)+100</f>
        <v>100</v>
      </c>
      <c r="G32" s="110" t="s">
        <v>3147</v>
      </c>
      <c r="H32" s="777">
        <f>SUMIF(100:100,G32,101:101)-SUMIF(100:100,C32,101:101)+100</f>
        <v>100</v>
      </c>
      <c r="I32" s="110" t="s">
        <v>3147</v>
      </c>
      <c r="J32" s="809">
        <f>SUMIF(100:100,I32,101:101)-SUMIF(100:100,C32,101:101)+100</f>
        <v>100</v>
      </c>
      <c r="K32" s="954">
        <v>2</v>
      </c>
      <c r="L32" s="2300"/>
      <c r="M32" s="2295"/>
      <c r="N32" s="2295"/>
      <c r="O32" s="2295"/>
      <c r="P32" s="3643" t="s">
        <v>1024</v>
      </c>
      <c r="Q32" s="1349" t="str">
        <f t="shared" si="11"/>
        <v>商业类型</v>
      </c>
      <c r="R32" s="1350" t="s">
        <v>62</v>
      </c>
      <c r="S32" s="1351">
        <f t="shared" si="12"/>
        <v>100</v>
      </c>
      <c r="T32" s="1350" t="s">
        <v>62</v>
      </c>
      <c r="U32" s="1351">
        <f t="shared" si="13"/>
        <v>100</v>
      </c>
      <c r="V32" s="1350" t="s">
        <v>62</v>
      </c>
      <c r="W32" s="1351">
        <f t="shared" si="14"/>
        <v>100</v>
      </c>
      <c r="X32" s="1338"/>
      <c r="Y32" s="3646" t="s">
        <v>1024</v>
      </c>
      <c r="Z32" s="1352" t="str">
        <f t="shared" si="15"/>
        <v>商业类型</v>
      </c>
      <c r="AA32" s="1353">
        <f t="shared" si="3"/>
        <v>1</v>
      </c>
      <c r="AB32" s="1353">
        <f t="shared" si="4"/>
        <v>1</v>
      </c>
      <c r="AC32" s="1353">
        <f t="shared" si="5"/>
        <v>1</v>
      </c>
    </row>
    <row r="33" spans="1:29" s="1037" customFormat="1" ht="14.25" hidden="1">
      <c r="A33" s="1041"/>
      <c r="B33" s="12" t="s">
        <v>73</v>
      </c>
      <c r="C33" s="811">
        <v>156275.1</v>
      </c>
      <c r="D33" s="425">
        <v>100</v>
      </c>
      <c r="E33" s="772">
        <v>86438.75</v>
      </c>
      <c r="F33" s="767">
        <f>LOOKUP(E33,103:103,104:104)-LOOKUP(C33,103:103,104:104)+100</f>
        <v>100</v>
      </c>
      <c r="G33" s="771">
        <v>37036.620000000003</v>
      </c>
      <c r="H33" s="425">
        <f>LOOKUP(G33,103:103,104:104)-LOOKUP(C33,103:103,104:104)+100</f>
        <v>100</v>
      </c>
      <c r="I33" s="771">
        <v>85000</v>
      </c>
      <c r="J33" s="425">
        <f>LOOKUP(I33,103:103,104:104)-LOOKUP(C33,103:103,104:104)+100</f>
        <v>100</v>
      </c>
      <c r="K33" s="188"/>
      <c r="L33" s="2299"/>
      <c r="M33" s="2301"/>
      <c r="N33" s="2301"/>
      <c r="O33" s="2301"/>
      <c r="P33" s="3644"/>
      <c r="Q33" s="1357" t="str">
        <f t="shared" si="11"/>
        <v>项目建筑规模</v>
      </c>
      <c r="R33" s="1358" t="s">
        <v>62</v>
      </c>
      <c r="S33" s="1359">
        <f t="shared" si="12"/>
        <v>100</v>
      </c>
      <c r="T33" s="1358" t="s">
        <v>62</v>
      </c>
      <c r="U33" s="1359">
        <f t="shared" si="13"/>
        <v>100</v>
      </c>
      <c r="V33" s="1358" t="s">
        <v>62</v>
      </c>
      <c r="W33" s="1359">
        <f t="shared" si="14"/>
        <v>100</v>
      </c>
      <c r="X33" s="1360"/>
      <c r="Y33" s="3646"/>
      <c r="Z33" s="1361" t="str">
        <f t="shared" si="15"/>
        <v>项目建筑规模</v>
      </c>
      <c r="AA33" s="1353">
        <f t="shared" si="3"/>
        <v>1</v>
      </c>
      <c r="AB33" s="1353">
        <f t="shared" si="4"/>
        <v>1</v>
      </c>
      <c r="AC33" s="1353">
        <f t="shared" si="5"/>
        <v>1</v>
      </c>
    </row>
    <row r="34" spans="1:29" ht="15">
      <c r="A34" s="161"/>
      <c r="B34" s="12" t="s">
        <v>74</v>
      </c>
      <c r="C34" s="112" t="s">
        <v>3116</v>
      </c>
      <c r="D34" s="777">
        <v>100</v>
      </c>
      <c r="E34" s="113" t="s">
        <v>3116</v>
      </c>
      <c r="F34" s="803">
        <f>SUMIF(105:105,E34,106:106)-SUMIF(105:105,C34,106:106)+100</f>
        <v>100</v>
      </c>
      <c r="G34" s="112" t="s">
        <v>3116</v>
      </c>
      <c r="H34" s="777">
        <f>SUMIF(105:105,G34,106:106)-SUMIF(105:105,C34,106:106)+100</f>
        <v>100</v>
      </c>
      <c r="I34" s="112" t="s">
        <v>3116</v>
      </c>
      <c r="J34" s="777">
        <f>SUMIF(105:105,I34,106:106)-SUMIF(105:105,C34,106:106)+100</f>
        <v>100</v>
      </c>
      <c r="K34" s="954">
        <v>2</v>
      </c>
      <c r="L34" s="2300"/>
      <c r="M34" s="2295"/>
      <c r="N34" s="2295"/>
      <c r="O34" s="2295"/>
      <c r="P34" s="3644"/>
      <c r="Q34" s="1349" t="str">
        <f t="shared" si="11"/>
        <v>建筑结构</v>
      </c>
      <c r="R34" s="1350" t="s">
        <v>62</v>
      </c>
      <c r="S34" s="1351">
        <f t="shared" si="12"/>
        <v>100</v>
      </c>
      <c r="T34" s="1350" t="s">
        <v>62</v>
      </c>
      <c r="U34" s="1351">
        <f t="shared" si="13"/>
        <v>100</v>
      </c>
      <c r="V34" s="1350" t="s">
        <v>62</v>
      </c>
      <c r="W34" s="1351">
        <f t="shared" si="14"/>
        <v>100</v>
      </c>
      <c r="X34" s="1338"/>
      <c r="Y34" s="3646"/>
      <c r="Z34" s="1352" t="str">
        <f t="shared" si="15"/>
        <v>建筑结构</v>
      </c>
      <c r="AA34" s="1353">
        <f t="shared" si="3"/>
        <v>1</v>
      </c>
      <c r="AB34" s="1353">
        <f t="shared" si="4"/>
        <v>1</v>
      </c>
      <c r="AC34" s="1353">
        <f t="shared" si="5"/>
        <v>1</v>
      </c>
    </row>
    <row r="35" spans="1:29" ht="15">
      <c r="A35" s="161"/>
      <c r="B35" s="12" t="s">
        <v>1025</v>
      </c>
      <c r="C35" s="109" t="s">
        <v>3117</v>
      </c>
      <c r="D35" s="777">
        <v>100</v>
      </c>
      <c r="E35" s="109" t="s">
        <v>3117</v>
      </c>
      <c r="F35" s="803">
        <f>SUMIF(107:107,E35,108:108)-SUMIF(107:107,C35,108:108)+100</f>
        <v>100</v>
      </c>
      <c r="G35" s="109" t="s">
        <v>3117</v>
      </c>
      <c r="H35" s="777">
        <f>SUMIF(107:107,G35,108:108)-SUMIF(107:107,C35,108:108)+100</f>
        <v>100</v>
      </c>
      <c r="I35" s="109" t="s">
        <v>3117</v>
      </c>
      <c r="J35" s="777">
        <f>SUMIF(107:107,I35,108:108)-SUMIF(107:107,C35,108:108)+100</f>
        <v>100</v>
      </c>
      <c r="K35" s="954">
        <v>2</v>
      </c>
      <c r="L35" s="2300"/>
      <c r="M35" s="2295"/>
      <c r="N35" s="2295"/>
      <c r="O35" s="2295"/>
      <c r="P35" s="3644"/>
      <c r="Q35" s="1349" t="str">
        <f t="shared" si="11"/>
        <v>公共部分装修</v>
      </c>
      <c r="R35" s="1350" t="s">
        <v>62</v>
      </c>
      <c r="S35" s="1351">
        <f t="shared" si="12"/>
        <v>100</v>
      </c>
      <c r="T35" s="1350" t="s">
        <v>62</v>
      </c>
      <c r="U35" s="1351">
        <f t="shared" si="13"/>
        <v>100</v>
      </c>
      <c r="V35" s="1350" t="s">
        <v>62</v>
      </c>
      <c r="W35" s="1351">
        <f t="shared" si="14"/>
        <v>100</v>
      </c>
      <c r="X35" s="1338"/>
      <c r="Y35" s="3646"/>
      <c r="Z35" s="1352" t="str">
        <f t="shared" si="15"/>
        <v>公共部分装修</v>
      </c>
      <c r="AA35" s="1353">
        <f t="shared" si="3"/>
        <v>1</v>
      </c>
      <c r="AB35" s="1353">
        <f t="shared" si="4"/>
        <v>1</v>
      </c>
      <c r="AC35" s="1353">
        <f t="shared" si="5"/>
        <v>1</v>
      </c>
    </row>
    <row r="36" spans="1:29" ht="15" hidden="1">
      <c r="A36" s="161"/>
      <c r="B36" s="12" t="s">
        <v>1026</v>
      </c>
      <c r="C36" s="816">
        <f>'数据-取费表'!N6</f>
        <v>1</v>
      </c>
      <c r="D36" s="777">
        <v>100</v>
      </c>
      <c r="E36" s="816">
        <v>0.95</v>
      </c>
      <c r="F36" s="803">
        <f>LOOKUP(E36,110:110,111:111)-LOOKUP(C36,110:110,111:111)+100</f>
        <v>100</v>
      </c>
      <c r="G36" s="816">
        <v>1</v>
      </c>
      <c r="H36" s="803">
        <f>LOOKUP(G36,110:110,111:111)-LOOKUP(C36,110:110,111:111)+100</f>
        <v>100</v>
      </c>
      <c r="I36" s="816">
        <v>0.95</v>
      </c>
      <c r="J36" s="777">
        <f>LOOKUP(I36,110:110,111:111)-LOOKUP(C36,110:110,111:111)+100</f>
        <v>100</v>
      </c>
      <c r="K36" s="954">
        <v>2</v>
      </c>
      <c r="L36" s="2300"/>
      <c r="M36" s="2295"/>
      <c r="N36" s="2295"/>
      <c r="O36" s="2295"/>
      <c r="P36" s="3644"/>
      <c r="Q36" s="1349" t="str">
        <f t="shared" si="11"/>
        <v>成新度</v>
      </c>
      <c r="R36" s="1350" t="s">
        <v>62</v>
      </c>
      <c r="S36" s="1351">
        <f t="shared" si="12"/>
        <v>100</v>
      </c>
      <c r="T36" s="1350" t="s">
        <v>62</v>
      </c>
      <c r="U36" s="1351">
        <f t="shared" si="13"/>
        <v>100</v>
      </c>
      <c r="V36" s="1350" t="s">
        <v>62</v>
      </c>
      <c r="W36" s="1351">
        <f t="shared" si="14"/>
        <v>100</v>
      </c>
      <c r="X36" s="1338"/>
      <c r="Y36" s="3646"/>
      <c r="Z36" s="1352" t="str">
        <f t="shared" si="15"/>
        <v>成新度</v>
      </c>
      <c r="AA36" s="1353">
        <f t="shared" si="3"/>
        <v>1</v>
      </c>
      <c r="AB36" s="1353">
        <f t="shared" si="4"/>
        <v>1</v>
      </c>
      <c r="AC36" s="1353">
        <f t="shared" si="5"/>
        <v>1</v>
      </c>
    </row>
    <row r="37" spans="1:29" s="40" customFormat="1" ht="15">
      <c r="A37" s="1039"/>
      <c r="B37" s="12" t="s">
        <v>2652</v>
      </c>
      <c r="C37" s="109" t="s">
        <v>3148</v>
      </c>
      <c r="D37" s="425">
        <v>100</v>
      </c>
      <c r="E37" s="109" t="s">
        <v>3148</v>
      </c>
      <c r="F37" s="803">
        <f>SUMIF(112:112,E37,113:113)-SUMIF(112:112,C37,113:113)+100</f>
        <v>100</v>
      </c>
      <c r="G37" s="109" t="s">
        <v>3148</v>
      </c>
      <c r="H37" s="777">
        <f>SUMIF(112:112,G37,113:113)-SUMIF(112:112,C37,113:113)+100</f>
        <v>100</v>
      </c>
      <c r="I37" s="109" t="s">
        <v>3148</v>
      </c>
      <c r="J37" s="777">
        <f>SUMIF(112:112,I37,113:113)-SUMIF(112:112,C37,113:113)+100</f>
        <v>100</v>
      </c>
      <c r="K37" s="954">
        <v>1</v>
      </c>
      <c r="L37" s="2296"/>
      <c r="M37" s="2258"/>
      <c r="N37" s="2258"/>
      <c r="O37" s="2258"/>
      <c r="P37" s="3644"/>
      <c r="Q37" s="7" t="str">
        <f t="shared" si="11"/>
        <v>市政基础设施</v>
      </c>
      <c r="R37" s="1340" t="s">
        <v>62</v>
      </c>
      <c r="S37" s="1341">
        <f t="shared" si="12"/>
        <v>100</v>
      </c>
      <c r="T37" s="1340" t="s">
        <v>62</v>
      </c>
      <c r="U37" s="1341">
        <f t="shared" si="13"/>
        <v>100</v>
      </c>
      <c r="V37" s="1340" t="s">
        <v>62</v>
      </c>
      <c r="W37" s="1341">
        <f t="shared" si="14"/>
        <v>100</v>
      </c>
      <c r="X37" s="287"/>
      <c r="Y37" s="3646"/>
      <c r="Z37" s="288" t="str">
        <f t="shared" si="15"/>
        <v>市政基础设施</v>
      </c>
      <c r="AA37" s="1342">
        <f t="shared" si="3"/>
        <v>1</v>
      </c>
      <c r="AB37" s="1342">
        <f t="shared" si="4"/>
        <v>1</v>
      </c>
      <c r="AC37" s="1342">
        <f t="shared" si="5"/>
        <v>1</v>
      </c>
    </row>
    <row r="38" spans="1:29" ht="15">
      <c r="A38" s="161"/>
      <c r="B38" s="12" t="s">
        <v>132</v>
      </c>
      <c r="C38" s="109" t="s">
        <v>3194</v>
      </c>
      <c r="D38" s="777">
        <v>100</v>
      </c>
      <c r="E38" s="109" t="s">
        <v>3194</v>
      </c>
      <c r="F38" s="803">
        <f>SUMIF(114:114,E38,115:115)-SUMIF(114:114,C38,115:115)+100</f>
        <v>100</v>
      </c>
      <c r="G38" s="109" t="s">
        <v>3194</v>
      </c>
      <c r="H38" s="777">
        <f>SUMIF(114:114,G38,115:115)-SUMIF(114:114,C38,115:115)+100</f>
        <v>100</v>
      </c>
      <c r="I38" s="109" t="s">
        <v>3194</v>
      </c>
      <c r="J38" s="777">
        <f>SUMIF(114:114,I38,115:115)-SUMIF(114:114,C38,115:115)+100</f>
        <v>100</v>
      </c>
      <c r="K38" s="954">
        <v>5</v>
      </c>
      <c r="L38" s="2300"/>
      <c r="M38" s="2295"/>
      <c r="N38" s="2295"/>
      <c r="O38" s="2295"/>
      <c r="P38" s="3644" t="s">
        <v>1027</v>
      </c>
      <c r="Q38" s="1349" t="str">
        <f t="shared" si="11"/>
        <v>业态</v>
      </c>
      <c r="R38" s="1350" t="s">
        <v>62</v>
      </c>
      <c r="S38" s="1351">
        <f t="shared" si="12"/>
        <v>100</v>
      </c>
      <c r="T38" s="1350" t="s">
        <v>62</v>
      </c>
      <c r="U38" s="1351">
        <f t="shared" si="13"/>
        <v>100</v>
      </c>
      <c r="V38" s="1350" t="s">
        <v>62</v>
      </c>
      <c r="W38" s="1351">
        <f t="shared" si="14"/>
        <v>100</v>
      </c>
      <c r="X38" s="1338"/>
      <c r="Y38" s="3646" t="s">
        <v>1027</v>
      </c>
      <c r="Z38" s="1352" t="str">
        <f t="shared" si="15"/>
        <v>业态</v>
      </c>
      <c r="AA38" s="1353">
        <f t="shared" si="3"/>
        <v>1</v>
      </c>
      <c r="AB38" s="1353">
        <f t="shared" si="4"/>
        <v>1</v>
      </c>
      <c r="AC38" s="1353">
        <f t="shared" si="5"/>
        <v>1</v>
      </c>
    </row>
    <row r="39" spans="1:29" ht="15">
      <c r="A39" s="161"/>
      <c r="B39" s="12" t="s">
        <v>1028</v>
      </c>
      <c r="C39" s="109" t="s">
        <v>3120</v>
      </c>
      <c r="D39" s="777">
        <v>100</v>
      </c>
      <c r="E39" s="109" t="s">
        <v>3120</v>
      </c>
      <c r="F39" s="803">
        <f>SUMIF(116:116,E39,117:117)-SUMIF(116:116,C39,117:117)+100</f>
        <v>100</v>
      </c>
      <c r="G39" s="109" t="s">
        <v>3120</v>
      </c>
      <c r="H39" s="777">
        <f>SUMIF(116:116,G39,117:117)-SUMIF(116:116,C39,117:117)+100</f>
        <v>100</v>
      </c>
      <c r="I39" s="109" t="s">
        <v>3120</v>
      </c>
      <c r="J39" s="777">
        <f>SUMIF(116:116,I39,117:117)-SUMIF(116:116,C39,117:117)+100</f>
        <v>100</v>
      </c>
      <c r="K39" s="954">
        <v>2</v>
      </c>
      <c r="L39" s="2300"/>
      <c r="M39" s="2295"/>
      <c r="N39" s="2295"/>
      <c r="O39" s="2295"/>
      <c r="P39" s="3644"/>
      <c r="Q39" s="1349" t="str">
        <f t="shared" si="11"/>
        <v>层高</v>
      </c>
      <c r="R39" s="1350" t="s">
        <v>62</v>
      </c>
      <c r="S39" s="1351">
        <f t="shared" si="12"/>
        <v>100</v>
      </c>
      <c r="T39" s="1350" t="s">
        <v>62</v>
      </c>
      <c r="U39" s="1351">
        <f t="shared" si="13"/>
        <v>100</v>
      </c>
      <c r="V39" s="1350" t="s">
        <v>62</v>
      </c>
      <c r="W39" s="1351">
        <f t="shared" si="14"/>
        <v>100</v>
      </c>
      <c r="X39" s="1338"/>
      <c r="Y39" s="3646"/>
      <c r="Z39" s="1352" t="str">
        <f t="shared" si="15"/>
        <v>层高</v>
      </c>
      <c r="AA39" s="1353">
        <f t="shared" si="3"/>
        <v>1</v>
      </c>
      <c r="AB39" s="1353">
        <f t="shared" si="4"/>
        <v>1</v>
      </c>
      <c r="AC39" s="1353">
        <f t="shared" si="5"/>
        <v>1</v>
      </c>
    </row>
    <row r="40" spans="1:29" ht="14.25">
      <c r="A40" s="161"/>
      <c r="B40" s="12" t="s">
        <v>1029</v>
      </c>
      <c r="C40" s="959">
        <f>'数据-汇总表'!F19</f>
        <v>301.2</v>
      </c>
      <c r="D40" s="777">
        <v>100</v>
      </c>
      <c r="E40" s="959">
        <v>150</v>
      </c>
      <c r="F40" s="803">
        <f>SUMIF(118:118,E40,119:119)-SUMIF(118:118,C40,119:119)+100</f>
        <v>101</v>
      </c>
      <c r="G40" s="959">
        <v>150</v>
      </c>
      <c r="H40" s="777">
        <f>SUMIF(118:118,G40,119:119)-SUMIF(118:118,C40,119:119)+100</f>
        <v>101</v>
      </c>
      <c r="I40" s="959">
        <v>161</v>
      </c>
      <c r="J40" s="777">
        <f>SUMIF(118:118,I40,119:119)-SUMIF(118:118,C40,119:119)+100</f>
        <v>101</v>
      </c>
      <c r="K40" s="188"/>
      <c r="L40" s="2300"/>
      <c r="M40" s="2295"/>
      <c r="N40" s="2295"/>
      <c r="O40" s="2295"/>
      <c r="P40" s="3644"/>
      <c r="Q40" s="1349" t="str">
        <f t="shared" si="11"/>
        <v>单套建筑面积</v>
      </c>
      <c r="R40" s="1350" t="s">
        <v>62</v>
      </c>
      <c r="S40" s="1351">
        <f t="shared" si="12"/>
        <v>101</v>
      </c>
      <c r="T40" s="1350" t="s">
        <v>62</v>
      </c>
      <c r="U40" s="1351">
        <f t="shared" si="13"/>
        <v>101</v>
      </c>
      <c r="V40" s="1350" t="s">
        <v>62</v>
      </c>
      <c r="W40" s="1351">
        <f t="shared" si="14"/>
        <v>101</v>
      </c>
      <c r="X40" s="1338"/>
      <c r="Y40" s="3646"/>
      <c r="Z40" s="1352" t="str">
        <f t="shared" si="15"/>
        <v>单套建筑面积</v>
      </c>
      <c r="AA40" s="1353">
        <f t="shared" si="3"/>
        <v>0.99009900990099009</v>
      </c>
      <c r="AB40" s="1353">
        <f t="shared" si="4"/>
        <v>0.99009900990099009</v>
      </c>
      <c r="AC40" s="1353">
        <f t="shared" si="5"/>
        <v>0.99009900990099009</v>
      </c>
    </row>
    <row r="41" spans="1:29" s="1037" customFormat="1" ht="15">
      <c r="A41" s="1041"/>
      <c r="B41" s="191" t="s">
        <v>1030</v>
      </c>
      <c r="C41" s="182" t="s">
        <v>3084</v>
      </c>
      <c r="D41" s="777">
        <v>100</v>
      </c>
      <c r="E41" s="182" t="s">
        <v>3082</v>
      </c>
      <c r="F41" s="803">
        <f>SUMIF(120:120,E41,121:121)-SUMIF(120:120,C41,121:121)+100</f>
        <v>98</v>
      </c>
      <c r="G41" s="182" t="s">
        <v>3082</v>
      </c>
      <c r="H41" s="777">
        <f>SUMIF(120:120,G41,121:121)-SUMIF(120:120,C41,121:121)+100</f>
        <v>98</v>
      </c>
      <c r="I41" s="182" t="s">
        <v>3084</v>
      </c>
      <c r="J41" s="777">
        <f>SUMIF(120:120,I41,121:121)-SUMIF(120:120,C41,121:121)+100</f>
        <v>100</v>
      </c>
      <c r="K41" s="954">
        <v>2</v>
      </c>
      <c r="L41" s="2299"/>
      <c r="M41" s="2301"/>
      <c r="N41" s="2301"/>
      <c r="O41" s="2301"/>
      <c r="P41" s="3644"/>
      <c r="Q41" s="1357" t="str">
        <f t="shared" si="11"/>
        <v>进深比</v>
      </c>
      <c r="R41" s="1358" t="s">
        <v>62</v>
      </c>
      <c r="S41" s="1359">
        <f t="shared" si="12"/>
        <v>98</v>
      </c>
      <c r="T41" s="1358" t="s">
        <v>62</v>
      </c>
      <c r="U41" s="1359">
        <f t="shared" si="13"/>
        <v>98</v>
      </c>
      <c r="V41" s="1358" t="s">
        <v>62</v>
      </c>
      <c r="W41" s="1359">
        <f t="shared" si="14"/>
        <v>100</v>
      </c>
      <c r="X41" s="1360"/>
      <c r="Y41" s="3646"/>
      <c r="Z41" s="1361" t="str">
        <f t="shared" si="15"/>
        <v>进深比</v>
      </c>
      <c r="AA41" s="1353">
        <f t="shared" si="3"/>
        <v>1.0204081632653061</v>
      </c>
      <c r="AB41" s="1353">
        <f t="shared" si="4"/>
        <v>1.0204081632653061</v>
      </c>
      <c r="AC41" s="1353">
        <f t="shared" si="5"/>
        <v>1</v>
      </c>
    </row>
    <row r="42" spans="1:29" ht="15">
      <c r="A42" s="161"/>
      <c r="B42" s="12" t="s">
        <v>1031</v>
      </c>
      <c r="C42" s="109" t="s">
        <v>3121</v>
      </c>
      <c r="D42" s="777">
        <v>100</v>
      </c>
      <c r="E42" s="109" t="s">
        <v>3121</v>
      </c>
      <c r="F42" s="803">
        <f>SUMIF(122:122,E42,123:123)-SUMIF(122:122,C42,123:123)+100</f>
        <v>100</v>
      </c>
      <c r="G42" s="109" t="s">
        <v>3121</v>
      </c>
      <c r="H42" s="777">
        <f>SUMIF(122:122,G42,123:123)-SUMIF(122:122,C42,123:123)+100</f>
        <v>100</v>
      </c>
      <c r="I42" s="109" t="s">
        <v>3121</v>
      </c>
      <c r="J42" s="777">
        <f>SUMIF(122:122,I42,123:123)-SUMIF(122:122,C42,123:123)+100</f>
        <v>100</v>
      </c>
      <c r="K42" s="954">
        <v>2</v>
      </c>
      <c r="L42" s="2300"/>
      <c r="M42" s="2295"/>
      <c r="N42" s="2295"/>
      <c r="O42" s="2295"/>
      <c r="P42" s="3644"/>
      <c r="Q42" s="1349" t="str">
        <f t="shared" si="11"/>
        <v>内部装修</v>
      </c>
      <c r="R42" s="1350" t="s">
        <v>62</v>
      </c>
      <c r="S42" s="1351">
        <f t="shared" si="12"/>
        <v>100</v>
      </c>
      <c r="T42" s="1350" t="s">
        <v>62</v>
      </c>
      <c r="U42" s="1351">
        <f t="shared" si="13"/>
        <v>100</v>
      </c>
      <c r="V42" s="1350" t="s">
        <v>62</v>
      </c>
      <c r="W42" s="1351">
        <f t="shared" si="14"/>
        <v>100</v>
      </c>
      <c r="X42" s="1338"/>
      <c r="Y42" s="3646"/>
      <c r="Z42" s="1352" t="str">
        <f t="shared" si="15"/>
        <v>内部装修</v>
      </c>
      <c r="AA42" s="1353">
        <f t="shared" si="3"/>
        <v>1</v>
      </c>
      <c r="AB42" s="1353">
        <f t="shared" si="4"/>
        <v>1</v>
      </c>
      <c r="AC42" s="1353">
        <f t="shared" si="5"/>
        <v>1</v>
      </c>
    </row>
    <row r="43" spans="1:29" ht="27" hidden="1">
      <c r="A43" s="161"/>
      <c r="B43" s="12" t="s">
        <v>81</v>
      </c>
      <c r="C43" s="109" t="s">
        <v>3084</v>
      </c>
      <c r="D43" s="777">
        <v>100</v>
      </c>
      <c r="E43" s="109" t="s">
        <v>3084</v>
      </c>
      <c r="F43" s="803">
        <f>SUMIF(124:124,E43,125:125)-SUMIF(124:124,C43,125:125)+100</f>
        <v>100</v>
      </c>
      <c r="G43" s="109" t="s">
        <v>3084</v>
      </c>
      <c r="H43" s="777">
        <f>SUMIF(124:124,G43,125:125)-SUMIF(124:124,C43,125:125)+100</f>
        <v>100</v>
      </c>
      <c r="I43" s="109" t="s">
        <v>3084</v>
      </c>
      <c r="J43" s="777">
        <f>SUMIF(124:124,I43,125:125)-SUMIF(124:124,C43,125:125)+100</f>
        <v>100</v>
      </c>
      <c r="K43" s="954"/>
      <c r="L43" s="2300"/>
      <c r="M43" s="2295"/>
      <c r="N43" s="2295"/>
      <c r="O43" s="2295"/>
      <c r="P43" s="3644"/>
      <c r="Q43" s="1349" t="str">
        <f t="shared" si="11"/>
        <v>内部装修维护情况</v>
      </c>
      <c r="R43" s="1350" t="s">
        <v>62</v>
      </c>
      <c r="S43" s="1351">
        <f t="shared" si="12"/>
        <v>100</v>
      </c>
      <c r="T43" s="1350" t="s">
        <v>62</v>
      </c>
      <c r="U43" s="1351">
        <f t="shared" si="13"/>
        <v>100</v>
      </c>
      <c r="V43" s="1350" t="s">
        <v>62</v>
      </c>
      <c r="W43" s="1351">
        <f t="shared" si="14"/>
        <v>100</v>
      </c>
      <c r="X43" s="1338"/>
      <c r="Y43" s="3646"/>
      <c r="Z43" s="1352" t="str">
        <f t="shared" si="15"/>
        <v>内部装修维护情况</v>
      </c>
      <c r="AA43" s="1353">
        <f t="shared" si="3"/>
        <v>1</v>
      </c>
      <c r="AB43" s="1353">
        <f t="shared" si="4"/>
        <v>1</v>
      </c>
      <c r="AC43" s="1353">
        <f t="shared" si="5"/>
        <v>1</v>
      </c>
    </row>
    <row r="44" spans="1:29" s="40" customFormat="1" ht="14.25">
      <c r="A44" s="1039"/>
      <c r="B44" s="1355" t="s">
        <v>3216</v>
      </c>
      <c r="C44" s="1356" t="s">
        <v>3191</v>
      </c>
      <c r="D44" s="425">
        <v>100</v>
      </c>
      <c r="E44" s="93" t="s">
        <v>3191</v>
      </c>
      <c r="F44" s="767">
        <f>SUMIF(126:126,E44,127:127)-SUMIF(126:126,C44,127:127)+100</f>
        <v>100</v>
      </c>
      <c r="G44" s="93" t="s">
        <v>3191</v>
      </c>
      <c r="H44" s="425">
        <f>SUMIF(126:126,G44,127:127)-SUMIF(126:126,C44,127:127)+100</f>
        <v>100</v>
      </c>
      <c r="I44" s="93" t="s">
        <v>3166</v>
      </c>
      <c r="J44" s="425">
        <f>SUMIF(126:126,I44,127:127)-SUMIF(126:126,C44,127:127)+100</f>
        <v>96</v>
      </c>
      <c r="K44" s="188"/>
      <c r="L44" s="2296"/>
      <c r="M44" s="2258"/>
      <c r="N44" s="2258"/>
      <c r="O44" s="2258"/>
      <c r="P44" s="3644"/>
      <c r="Q44" s="7" t="str">
        <f t="shared" si="11"/>
        <v>平面位置</v>
      </c>
      <c r="R44" s="1340" t="s">
        <v>62</v>
      </c>
      <c r="S44" s="1341">
        <f t="shared" si="12"/>
        <v>100</v>
      </c>
      <c r="T44" s="1340" t="s">
        <v>62</v>
      </c>
      <c r="U44" s="1341">
        <f t="shared" si="13"/>
        <v>100</v>
      </c>
      <c r="V44" s="1340" t="s">
        <v>62</v>
      </c>
      <c r="W44" s="1341">
        <f t="shared" si="14"/>
        <v>96</v>
      </c>
      <c r="X44" s="287"/>
      <c r="Y44" s="3646"/>
      <c r="Z44" s="288" t="str">
        <f t="shared" si="15"/>
        <v>平面位置</v>
      </c>
      <c r="AA44" s="1342">
        <f t="shared" si="3"/>
        <v>1</v>
      </c>
      <c r="AB44" s="1342">
        <f t="shared" si="4"/>
        <v>1</v>
      </c>
      <c r="AC44" s="1342">
        <f t="shared" si="5"/>
        <v>1.0416666666666667</v>
      </c>
    </row>
    <row r="45" spans="1:29" ht="15" thickBot="1">
      <c r="A45" s="161"/>
      <c r="B45" s="1355" t="s">
        <v>3190</v>
      </c>
      <c r="C45" s="93" t="s">
        <v>3192</v>
      </c>
      <c r="D45" s="777">
        <v>100</v>
      </c>
      <c r="E45" s="93" t="s">
        <v>3192</v>
      </c>
      <c r="F45" s="803">
        <f>SUMIF(128:128,E45,129:129)-SUMIF(128:128,C45,129:129)+100</f>
        <v>100</v>
      </c>
      <c r="G45" s="93" t="s">
        <v>3191</v>
      </c>
      <c r="H45" s="777">
        <f>SUMIF(128:128,G45,129:129)-SUMIF(128:128,C45,129:129)+100</f>
        <v>96</v>
      </c>
      <c r="I45" s="93" t="s">
        <v>3193</v>
      </c>
      <c r="J45" s="777">
        <f>SUMIF(128:128,I45,129:129)-SUMIF(128:128,C45,129:129)+100</f>
        <v>92</v>
      </c>
      <c r="K45" s="188"/>
      <c r="L45" s="2300"/>
      <c r="M45" s="2295"/>
      <c r="N45" s="2295"/>
      <c r="O45" s="2295"/>
      <c r="P45" s="3644"/>
      <c r="Q45" s="1349" t="str">
        <f t="shared" si="11"/>
        <v>可视性</v>
      </c>
      <c r="R45" s="1350" t="s">
        <v>62</v>
      </c>
      <c r="S45" s="1351">
        <f t="shared" si="12"/>
        <v>100</v>
      </c>
      <c r="T45" s="1350" t="s">
        <v>62</v>
      </c>
      <c r="U45" s="1351">
        <f t="shared" si="13"/>
        <v>96</v>
      </c>
      <c r="V45" s="1350" t="s">
        <v>62</v>
      </c>
      <c r="W45" s="1351">
        <f t="shared" si="14"/>
        <v>92</v>
      </c>
      <c r="X45" s="1338"/>
      <c r="Y45" s="3646"/>
      <c r="Z45" s="1352" t="str">
        <f t="shared" si="15"/>
        <v>可视性</v>
      </c>
      <c r="AA45" s="1353">
        <f t="shared" si="3"/>
        <v>1</v>
      </c>
      <c r="AB45" s="1353">
        <f t="shared" si="4"/>
        <v>1.0416666666666667</v>
      </c>
      <c r="AC45" s="1353">
        <f t="shared" si="5"/>
        <v>1.0869565217391304</v>
      </c>
    </row>
    <row r="46" spans="1:29" ht="15" hidden="1"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45"/>
      <c r="Q46" s="1349">
        <f t="shared" si="11"/>
        <v>111</v>
      </c>
      <c r="R46" s="1350" t="s">
        <v>62</v>
      </c>
      <c r="S46" s="1351">
        <f t="shared" si="12"/>
        <v>100</v>
      </c>
      <c r="T46" s="1350" t="s">
        <v>62</v>
      </c>
      <c r="U46" s="1351">
        <f t="shared" si="13"/>
        <v>100</v>
      </c>
      <c r="V46" s="1350" t="s">
        <v>62</v>
      </c>
      <c r="W46" s="1351">
        <f t="shared" si="14"/>
        <v>100</v>
      </c>
      <c r="X46" s="1338"/>
      <c r="Y46" s="3647"/>
      <c r="Z46" s="1352">
        <f t="shared" si="15"/>
        <v>111</v>
      </c>
      <c r="AA46" s="1353">
        <f t="shared" si="3"/>
        <v>1</v>
      </c>
      <c r="AB46" s="1353">
        <f t="shared" si="4"/>
        <v>1</v>
      </c>
      <c r="AC46" s="1353">
        <f t="shared" si="5"/>
        <v>1</v>
      </c>
    </row>
    <row r="47" spans="1:29" ht="15">
      <c r="A47" s="163" t="s">
        <v>1032</v>
      </c>
      <c r="B47" s="164"/>
      <c r="C47" s="2834" t="s">
        <v>23</v>
      </c>
      <c r="D47" s="2835"/>
      <c r="E47" s="2836">
        <v>29800</v>
      </c>
      <c r="F47" s="2837"/>
      <c r="G47" s="2838">
        <v>25000</v>
      </c>
      <c r="H47" s="2839"/>
      <c r="I47" s="2836">
        <v>24000</v>
      </c>
      <c r="J47" s="2839"/>
      <c r="K47" s="1391"/>
      <c r="L47" s="2302"/>
      <c r="M47" s="2303"/>
      <c r="N47" s="2295"/>
      <c r="O47" s="2303"/>
      <c r="P47" s="3639" t="str">
        <f>A47</f>
        <v>成交单价（元/平方米）</v>
      </c>
      <c r="Q47" s="3639"/>
      <c r="R47" s="3634">
        <f>E47</f>
        <v>29800</v>
      </c>
      <c r="S47" s="3634"/>
      <c r="T47" s="3634">
        <f>G47</f>
        <v>25000</v>
      </c>
      <c r="U47" s="3634"/>
      <c r="V47" s="3634">
        <f>I47</f>
        <v>24000</v>
      </c>
      <c r="W47" s="3634"/>
      <c r="X47" s="1363"/>
      <c r="Y47" s="1364"/>
      <c r="Z47" s="1363"/>
      <c r="AA47" s="1363"/>
      <c r="AB47" s="1363"/>
      <c r="AC47" s="1363"/>
    </row>
    <row r="48" spans="1:29" ht="15.75" thickBot="1">
      <c r="A48" s="165" t="s">
        <v>1033</v>
      </c>
      <c r="B48" s="166"/>
      <c r="C48" s="2840">
        <f>R49</f>
        <v>28246</v>
      </c>
      <c r="D48" s="2841"/>
      <c r="E48" s="2842">
        <f>R48</f>
        <v>30107</v>
      </c>
      <c r="F48" s="2842"/>
      <c r="G48" s="2840">
        <f>T48</f>
        <v>26310</v>
      </c>
      <c r="H48" s="2841"/>
      <c r="I48" s="2842">
        <f>V48</f>
        <v>28321</v>
      </c>
      <c r="J48" s="2841"/>
      <c r="K48" s="1392"/>
      <c r="L48" s="2302"/>
      <c r="M48" s="2303"/>
      <c r="N48" s="2295"/>
      <c r="O48" s="2303"/>
      <c r="P48" s="3639" t="str">
        <f>A48</f>
        <v>比较价值（元/平方米）</v>
      </c>
      <c r="Q48" s="3639"/>
      <c r="R48" s="3640">
        <f>IF(F1="售价",ROUND(PRODUCT(R47,AA7:AA46),0),ROUND(PRODUCT(R47,AA7:AA46),1))</f>
        <v>30107</v>
      </c>
      <c r="S48" s="3640"/>
      <c r="T48" s="3640">
        <f>IF(F1="售价",ROUND(PRODUCT(T47,AB7:AB46),0),ROUND(PRODUCT(T47,AB7:AB46),1))</f>
        <v>26310</v>
      </c>
      <c r="U48" s="3640"/>
      <c r="V48" s="3640">
        <f>IF(F1="售价",ROUND(PRODUCT(V47,AC7:AC46),0),ROUND(PRODUCT(V47,AC7:AC46),1))</f>
        <v>28321</v>
      </c>
      <c r="W48" s="3640"/>
      <c r="X48" s="1363"/>
      <c r="Y48" s="1363"/>
      <c r="Z48" s="1363"/>
      <c r="AA48" s="1363"/>
      <c r="AB48" s="1363"/>
      <c r="AC48" s="1363"/>
    </row>
    <row r="49" spans="1:29" ht="15.75" thickBot="1">
      <c r="A49" s="115" t="s">
        <v>3016</v>
      </c>
      <c r="B49" s="116"/>
      <c r="C49" s="2844">
        <f>R49</f>
        <v>28246</v>
      </c>
      <c r="D49" s="2844"/>
      <c r="E49" s="2844"/>
      <c r="F49" s="2844"/>
      <c r="G49" s="2844"/>
      <c r="H49" s="2844"/>
      <c r="I49" s="2844"/>
      <c r="J49" s="2844"/>
      <c r="K49" s="1393"/>
      <c r="L49" s="2302"/>
      <c r="M49" s="2303"/>
      <c r="N49" s="2295"/>
      <c r="O49" s="2303"/>
      <c r="P49" s="3636" t="str">
        <f>A49</f>
        <v>估价对象XX用房的比较价值（楼面单价，元/平方米）</v>
      </c>
      <c r="Q49" s="3637"/>
      <c r="R49" s="3638">
        <f>IF(F1="售价",ROUND(AVERAGE(R48:V48),0),ROUND(AVERAGE(R48:V48),1))</f>
        <v>28246</v>
      </c>
      <c r="S49" s="3638"/>
      <c r="T49" s="3638"/>
      <c r="U49" s="3638"/>
      <c r="V49" s="3638"/>
      <c r="W49" s="363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1003</v>
      </c>
      <c r="D52" s="840"/>
      <c r="E52" s="841">
        <f>IF(E47&lt;E48,E48/E47-1,E47/E48-1)</f>
        <v>1.030201342281889E-2</v>
      </c>
      <c r="F52" s="842" t="str">
        <f>IF(OR(E52&gt;=0.3,E52&lt;=-0.3),"超过30%","")</f>
        <v/>
      </c>
      <c r="G52" s="841">
        <f>IF(G47&lt;G48,G48/G47-1,G47/G48-1)</f>
        <v>5.2400000000000002E-2</v>
      </c>
      <c r="H52" s="842" t="str">
        <f>IF(OR(G52&gt;=0.3,G52&lt;=-0.3),"超过30%","")</f>
        <v/>
      </c>
      <c r="I52" s="841">
        <f>IF(I47&lt;I48,I48/I47-1,I47/I48-1)</f>
        <v>0.18004166666666666</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1004</v>
      </c>
      <c r="D53" s="843"/>
      <c r="E53" s="841">
        <f>IF(E48&lt;G48,G48/E48-1,E48/G48-1)</f>
        <v>0.14431774990497903</v>
      </c>
      <c r="F53" s="842" t="str">
        <f>IF(OR(E53&gt;=0.2,E53&lt;=-0.2),"超过20%","")</f>
        <v/>
      </c>
      <c r="G53" s="841">
        <f>IF(G48&lt;I48,I48/G48-1,G48/I48-1)</f>
        <v>7.6434815659444988E-2</v>
      </c>
      <c r="H53" s="842" t="str">
        <f>IF(OR(G53&gt;=0.2,G53&lt;=-0.2),"超过20%","")</f>
        <v/>
      </c>
      <c r="I53" s="841">
        <f>IF(I48&lt;E48,E48/I48-1,I48/E48-1)</f>
        <v>6.3062744959570649E-2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1005</v>
      </c>
      <c r="D54" s="843"/>
      <c r="E54" s="841">
        <f>IF(E47&lt;G47,G47/E47-1,E47/G47-1)</f>
        <v>0.19199999999999995</v>
      </c>
      <c r="F54" s="842" t="str">
        <f>IF(OR(E54&gt;=0.3,E54&lt;=-0.3),"超过30%","")</f>
        <v/>
      </c>
      <c r="G54" s="841">
        <f>IF(G47&lt;I47,I47/G47-1,G47/I47-1)</f>
        <v>4.1666666666666741E-2</v>
      </c>
      <c r="H54" s="842" t="str">
        <f>IF(OR(G54&gt;=0.3,G54&lt;=-0.3),"超过30%","")</f>
        <v/>
      </c>
      <c r="I54" s="841">
        <f>IF(I47&lt;E47,E47/I47-1,I47/E47-1)</f>
        <v>0.2416666666666667</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2791</v>
      </c>
      <c r="B58" s="848"/>
      <c r="C58" s="3043" t="str">
        <f>YEAR(C7)&amp;"-"&amp;MONTH(C7)</f>
        <v>2017-9</v>
      </c>
      <c r="D58" s="3044">
        <f>EDATE(C58,-1)</f>
        <v>42948</v>
      </c>
      <c r="E58" s="3044">
        <f t="shared" ref="E58:N58" si="16">EDATE(D58,-1)</f>
        <v>42917</v>
      </c>
      <c r="F58" s="3044">
        <f t="shared" si="16"/>
        <v>42887</v>
      </c>
      <c r="G58" s="3044">
        <f t="shared" si="16"/>
        <v>42856</v>
      </c>
      <c r="H58" s="3044">
        <f t="shared" si="16"/>
        <v>42826</v>
      </c>
      <c r="I58" s="3044">
        <f t="shared" si="16"/>
        <v>42795</v>
      </c>
      <c r="J58" s="3044">
        <f t="shared" si="16"/>
        <v>42767</v>
      </c>
      <c r="K58" s="3044">
        <f t="shared" si="16"/>
        <v>42736</v>
      </c>
      <c r="L58" s="3044">
        <f t="shared" si="16"/>
        <v>42705</v>
      </c>
      <c r="M58" s="3044">
        <f t="shared" si="16"/>
        <v>42675</v>
      </c>
      <c r="N58" s="3044">
        <f t="shared" si="16"/>
        <v>42644</v>
      </c>
      <c r="O58" s="3044">
        <f>EDATE(N58,-1)</f>
        <v>42614</v>
      </c>
      <c r="P58" s="3037"/>
    </row>
    <row r="59" spans="1:29" s="40" customFormat="1" ht="14.25">
      <c r="A59" s="1043"/>
      <c r="B59" s="1044"/>
      <c r="C59" s="3041">
        <v>100</v>
      </c>
      <c r="D59" s="854"/>
      <c r="E59" s="854"/>
      <c r="F59" s="854"/>
      <c r="G59" s="854"/>
      <c r="H59" s="854"/>
      <c r="I59" s="854"/>
      <c r="J59" s="854"/>
      <c r="K59" s="854"/>
      <c r="L59" s="854"/>
      <c r="M59" s="855"/>
      <c r="N59" s="854"/>
      <c r="O59" s="855"/>
      <c r="P59" s="1375"/>
    </row>
    <row r="60" spans="1:29" s="40" customFormat="1" ht="15" thickBot="1">
      <c r="A60" s="1045" t="s">
        <v>1035</v>
      </c>
      <c r="B60" s="1046"/>
      <c r="C60" s="859"/>
      <c r="D60" s="860"/>
      <c r="E60" s="860"/>
      <c r="F60" s="860"/>
      <c r="G60" s="860"/>
      <c r="H60" s="860"/>
      <c r="I60" s="860"/>
      <c r="J60" s="860"/>
      <c r="K60" s="860"/>
      <c r="L60" s="860"/>
      <c r="M60" s="861"/>
      <c r="N60" s="860"/>
      <c r="O60" s="861"/>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1038</v>
      </c>
      <c r="B63" s="286" t="s">
        <v>1039</v>
      </c>
      <c r="C63" s="176" t="str">
        <f>C9</f>
        <v>商业</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1040</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3"/>
      <c r="C66" s="886" t="s">
        <v>135</v>
      </c>
      <c r="D66" s="886" t="s">
        <v>136</v>
      </c>
      <c r="E66" s="886" t="s">
        <v>137</v>
      </c>
      <c r="F66" s="886">
        <v>100</v>
      </c>
      <c r="G66" s="886">
        <f>F66-$K10</f>
        <v>98</v>
      </c>
      <c r="H66" s="886">
        <f>G66-$K10</f>
        <v>96</v>
      </c>
      <c r="I66" s="886">
        <f>H66-$K10</f>
        <v>94</v>
      </c>
      <c r="J66" s="886"/>
      <c r="K66" s="886"/>
      <c r="L66" s="886"/>
      <c r="M66" s="887"/>
      <c r="N66" s="1388"/>
      <c r="O66" s="1388"/>
      <c r="P66" s="1377"/>
      <c r="Q66" s="121"/>
    </row>
    <row r="67" spans="1:17" ht="15" thickTop="1">
      <c r="A67" s="173"/>
      <c r="B67" s="1054" t="s">
        <v>1041</v>
      </c>
      <c r="C67" s="889" t="str">
        <f>C68&amp;"（含）"&amp;"-"&amp;D68</f>
        <v>1（含）-2</v>
      </c>
      <c r="D67" s="889" t="str">
        <f t="shared" ref="D67:L67" si="17">D68&amp;"（含）"&amp;"-"&amp;E68</f>
        <v>2（含）-3</v>
      </c>
      <c r="E67" s="889" t="str">
        <f t="shared" si="17"/>
        <v>3（含）-4</v>
      </c>
      <c r="F67" s="889" t="str">
        <f t="shared" si="17"/>
        <v>4（含）-5</v>
      </c>
      <c r="G67" s="889" t="str">
        <f t="shared" si="17"/>
        <v>5（含）-6</v>
      </c>
      <c r="H67" s="889" t="str">
        <f t="shared" si="17"/>
        <v>6（含）-7</v>
      </c>
      <c r="I67" s="889" t="str">
        <f t="shared" si="17"/>
        <v>7（含）-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1</v>
      </c>
      <c r="D68" s="891">
        <v>2</v>
      </c>
      <c r="E68" s="891">
        <v>3</v>
      </c>
      <c r="F68" s="891">
        <v>4</v>
      </c>
      <c r="G68" s="891">
        <v>5</v>
      </c>
      <c r="H68" s="891">
        <v>6</v>
      </c>
      <c r="I68" s="891">
        <v>7</v>
      </c>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1042</v>
      </c>
      <c r="B76" s="286" t="s">
        <v>1043</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1049</v>
      </c>
      <c r="C78" s="920" t="s">
        <v>422</v>
      </c>
      <c r="D78" s="920" t="s">
        <v>423</v>
      </c>
      <c r="E78" s="920" t="s">
        <v>424</v>
      </c>
      <c r="F78" s="920" t="s">
        <v>425</v>
      </c>
      <c r="G78" s="920" t="s">
        <v>426</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2634</v>
      </c>
      <c r="C80" s="920" t="s">
        <v>422</v>
      </c>
      <c r="D80" s="920" t="s">
        <v>423</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2653</v>
      </c>
      <c r="C82" s="213" t="s">
        <v>2654</v>
      </c>
      <c r="D82" s="213" t="s">
        <v>2655</v>
      </c>
      <c r="E82" s="213" t="s">
        <v>2656</v>
      </c>
      <c r="F82" s="213" t="s">
        <v>2657</v>
      </c>
      <c r="G82" s="213" t="s">
        <v>2658</v>
      </c>
      <c r="H82" s="881"/>
      <c r="I82" s="881"/>
      <c r="J82" s="881"/>
      <c r="K82" s="881"/>
      <c r="L82" s="881"/>
      <c r="M82" s="2763"/>
      <c r="N82" s="1388"/>
      <c r="O82" s="1388"/>
      <c r="P82" s="1377"/>
      <c r="Q82" s="121"/>
    </row>
    <row r="83" spans="1:17" ht="15" thickBot="1">
      <c r="A83" s="173"/>
      <c r="B83" s="1054"/>
      <c r="C83" s="886">
        <v>100</v>
      </c>
      <c r="D83" s="886">
        <f>C83-$K21</f>
        <v>99</v>
      </c>
      <c r="E83" s="886">
        <f t="shared" ref="E83:G83" si="19">D83-$K21</f>
        <v>98</v>
      </c>
      <c r="F83" s="886">
        <f t="shared" si="19"/>
        <v>97</v>
      </c>
      <c r="G83" s="886">
        <f t="shared" si="19"/>
        <v>96</v>
      </c>
      <c r="H83" s="1001"/>
      <c r="I83" s="1001"/>
      <c r="J83" s="1001"/>
      <c r="K83" s="1001"/>
      <c r="L83" s="1001"/>
      <c r="M83" s="792"/>
      <c r="N83" s="1388"/>
      <c r="O83" s="1388"/>
      <c r="P83" s="1377"/>
      <c r="Q83" s="121"/>
    </row>
    <row r="84" spans="1:17" ht="15" thickTop="1">
      <c r="A84" s="173"/>
      <c r="B84" s="1052" t="s">
        <v>1050</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1051</v>
      </c>
      <c r="C86" s="139" t="s">
        <v>3126</v>
      </c>
      <c r="D86" s="139" t="s">
        <v>3127</v>
      </c>
      <c r="E86" s="139" t="s">
        <v>3128</v>
      </c>
      <c r="F86" s="139" t="s">
        <v>3129</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95</v>
      </c>
      <c r="E87" s="886">
        <f t="shared" si="20"/>
        <v>90</v>
      </c>
      <c r="F87" s="886">
        <f t="shared" si="20"/>
        <v>85</v>
      </c>
      <c r="G87" s="886">
        <f t="shared" si="20"/>
        <v>80</v>
      </c>
      <c r="H87" s="886">
        <f t="shared" si="20"/>
        <v>75</v>
      </c>
      <c r="I87" s="886">
        <f t="shared" si="20"/>
        <v>70</v>
      </c>
      <c r="J87" s="886">
        <f t="shared" si="20"/>
        <v>65</v>
      </c>
      <c r="K87" s="886">
        <f t="shared" si="20"/>
        <v>60</v>
      </c>
      <c r="L87" s="886">
        <f t="shared" si="20"/>
        <v>55</v>
      </c>
      <c r="M87" s="886">
        <f t="shared" si="20"/>
        <v>50</v>
      </c>
      <c r="N87" s="1388"/>
      <c r="O87" s="1388"/>
      <c r="P87" s="1377"/>
      <c r="Q87" s="121"/>
    </row>
    <row r="88" spans="1:17" s="40" customFormat="1" ht="14.25" thickTop="1">
      <c r="A88" s="1070"/>
      <c r="B88" s="1052" t="str">
        <f>B26</f>
        <v>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2575</v>
      </c>
      <c r="D90" s="139" t="s">
        <v>3130</v>
      </c>
      <c r="E90" s="139" t="s">
        <v>1046</v>
      </c>
      <c r="F90" s="139" t="s">
        <v>3131</v>
      </c>
      <c r="G90" s="139" t="s">
        <v>2577</v>
      </c>
      <c r="H90" s="1057"/>
      <c r="I90" s="1057"/>
      <c r="J90" s="1057"/>
      <c r="K90" s="1057"/>
      <c r="L90" s="1058"/>
      <c r="M90" s="1059"/>
      <c r="N90" s="1389"/>
      <c r="O90" s="1389"/>
      <c r="P90" s="1378"/>
      <c r="Q90" s="1061"/>
    </row>
    <row r="91" spans="1:17" s="1037" customFormat="1" ht="15" thickBot="1">
      <c r="A91" s="1056"/>
      <c r="B91" s="1053"/>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1"/>
    </row>
    <row r="92" spans="1:17" ht="14.25" thickTop="1">
      <c r="A92" s="173"/>
      <c r="B92" s="1052" t="str">
        <f>B28</f>
        <v>楼层</v>
      </c>
      <c r="C92" s="139" t="s">
        <v>3137</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1052</v>
      </c>
      <c r="B100" s="286" t="s">
        <v>1053</v>
      </c>
      <c r="C100" s="122" t="s">
        <v>3138</v>
      </c>
      <c r="D100" s="122" t="s">
        <v>3139</v>
      </c>
      <c r="E100" s="122" t="s">
        <v>3140</v>
      </c>
      <c r="F100" s="122" t="s">
        <v>3141</v>
      </c>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8"/>
      <c r="O101" s="1388"/>
      <c r="P101" s="1377"/>
      <c r="Q101" s="121"/>
    </row>
    <row r="102" spans="1:17" ht="15" thickTop="1">
      <c r="A102" s="173"/>
      <c r="B102" s="1052" t="s">
        <v>1054</v>
      </c>
      <c r="C102" s="920" t="str">
        <f>C103&amp;"(含)"&amp;"-"&amp;D103</f>
        <v>0(含)-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937">
        <v>0</v>
      </c>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v>100</v>
      </c>
      <c r="D104" s="878"/>
      <c r="E104" s="878"/>
      <c r="F104" s="878"/>
      <c r="G104" s="878"/>
      <c r="H104" s="878"/>
      <c r="I104" s="878"/>
      <c r="J104" s="878"/>
      <c r="K104" s="878"/>
      <c r="L104" s="878"/>
      <c r="M104" s="879"/>
      <c r="N104" s="1388"/>
      <c r="O104" s="1388"/>
      <c r="P104" s="1378"/>
      <c r="Q104" s="1061"/>
    </row>
    <row r="105" spans="1:17" ht="14.25" thickTop="1">
      <c r="A105" s="175"/>
      <c r="B105" s="1052" t="s">
        <v>1055</v>
      </c>
      <c r="C105" s="139" t="s">
        <v>3098</v>
      </c>
      <c r="D105" s="139" t="s">
        <v>3099</v>
      </c>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8"/>
      <c r="O106" s="1388"/>
      <c r="P106" s="1377"/>
      <c r="Q106" s="121"/>
    </row>
    <row r="107" spans="1:17" ht="14.25" thickTop="1">
      <c r="A107" s="175"/>
      <c r="B107" s="1052" t="s">
        <v>1056</v>
      </c>
      <c r="C107" s="139" t="s">
        <v>3100</v>
      </c>
      <c r="D107" s="139" t="s">
        <v>3101</v>
      </c>
      <c r="E107" s="139" t="s">
        <v>3102</v>
      </c>
      <c r="F107" s="131" t="s">
        <v>3103</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8"/>
      <c r="O111" s="1388"/>
      <c r="P111" s="1377"/>
      <c r="Q111" s="121"/>
    </row>
    <row r="112" spans="1:17" s="1037" customFormat="1" ht="14.25" thickTop="1">
      <c r="A112" s="1071"/>
      <c r="B112" s="1052" t="s">
        <v>2636</v>
      </c>
      <c r="C112" s="139" t="s">
        <v>3142</v>
      </c>
      <c r="D112" s="139" t="s">
        <v>3110</v>
      </c>
      <c r="E112" s="139" t="s">
        <v>3111</v>
      </c>
      <c r="F112" s="139" t="s">
        <v>3143</v>
      </c>
      <c r="G112" s="139" t="s">
        <v>3144</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1058</v>
      </c>
      <c r="C114" s="139" t="s">
        <v>3145</v>
      </c>
      <c r="D114" s="139" t="s">
        <v>3146</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1059</v>
      </c>
      <c r="C116" s="139" t="s">
        <v>3114</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98</v>
      </c>
      <c r="E117" s="886">
        <f>D117-$K39</f>
        <v>96</v>
      </c>
      <c r="F117" s="886">
        <f>E117-$K39</f>
        <v>94</v>
      </c>
      <c r="G117" s="886">
        <f>F117-$K39</f>
        <v>92</v>
      </c>
      <c r="H117" s="886"/>
      <c r="I117" s="886"/>
      <c r="J117" s="886"/>
      <c r="K117" s="886"/>
      <c r="L117" s="886"/>
      <c r="M117" s="887"/>
      <c r="N117" s="1388"/>
      <c r="O117" s="1388"/>
      <c r="P117" s="1377"/>
      <c r="Q117" s="121"/>
    </row>
    <row r="118" spans="1:17" ht="15" thickTop="1">
      <c r="A118" s="175"/>
      <c r="B118" s="1052" t="s">
        <v>1060</v>
      </c>
      <c r="C118" s="968">
        <v>150</v>
      </c>
      <c r="D118" s="968">
        <v>301.2</v>
      </c>
      <c r="E118" s="968">
        <v>161</v>
      </c>
      <c r="F118" s="968"/>
      <c r="G118" s="968"/>
      <c r="H118" s="897"/>
      <c r="I118" s="897"/>
      <c r="J118" s="897"/>
      <c r="K118" s="897"/>
      <c r="L118" s="898"/>
      <c r="M118" s="899"/>
      <c r="N118" s="1387"/>
      <c r="O118" s="1387"/>
      <c r="P118" s="1377"/>
      <c r="Q118" s="121"/>
    </row>
    <row r="119" spans="1:17" ht="15" thickBot="1">
      <c r="A119" s="173"/>
      <c r="B119" s="1053"/>
      <c r="C119" s="902">
        <v>101</v>
      </c>
      <c r="D119" s="878">
        <v>100</v>
      </c>
      <c r="E119" s="878">
        <v>101</v>
      </c>
      <c r="F119" s="878"/>
      <c r="G119" s="878"/>
      <c r="H119" s="878"/>
      <c r="I119" s="878"/>
      <c r="J119" s="878"/>
      <c r="K119" s="878"/>
      <c r="L119" s="878"/>
      <c r="M119" s="879"/>
      <c r="N119" s="1388"/>
      <c r="O119" s="1388"/>
      <c r="P119" s="1377"/>
      <c r="Q119" s="121"/>
    </row>
    <row r="120" spans="1:17" s="1037" customFormat="1" ht="14.25" thickTop="1">
      <c r="A120" s="1071"/>
      <c r="B120" s="1052" t="s">
        <v>1061</v>
      </c>
      <c r="C120" s="131" t="s">
        <v>1044</v>
      </c>
      <c r="D120" s="131" t="s">
        <v>1045</v>
      </c>
      <c r="E120" s="131" t="s">
        <v>3133</v>
      </c>
      <c r="F120" s="131" t="s">
        <v>1047</v>
      </c>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98</v>
      </c>
      <c r="E121" s="886">
        <f t="shared" ref="E121:M121" si="29">D121-$K41</f>
        <v>96</v>
      </c>
      <c r="F121" s="886">
        <f t="shared" si="29"/>
        <v>94</v>
      </c>
      <c r="G121" s="886">
        <f t="shared" si="29"/>
        <v>92</v>
      </c>
      <c r="H121" s="886">
        <f t="shared" si="29"/>
        <v>90</v>
      </c>
      <c r="I121" s="886">
        <f t="shared" si="29"/>
        <v>88</v>
      </c>
      <c r="J121" s="886">
        <f t="shared" si="29"/>
        <v>86</v>
      </c>
      <c r="K121" s="886">
        <f t="shared" si="29"/>
        <v>84</v>
      </c>
      <c r="L121" s="886">
        <f t="shared" si="29"/>
        <v>82</v>
      </c>
      <c r="M121" s="887">
        <f t="shared" si="29"/>
        <v>80</v>
      </c>
      <c r="N121" s="1389"/>
      <c r="O121" s="1389"/>
      <c r="P121" s="1378"/>
      <c r="Q121" s="1061"/>
    </row>
    <row r="122" spans="1:17" ht="14.25" thickTop="1">
      <c r="A122" s="175"/>
      <c r="B122" s="1052" t="s">
        <v>1062</v>
      </c>
      <c r="C122" s="139" t="s">
        <v>3100</v>
      </c>
      <c r="D122" s="139" t="s">
        <v>3101</v>
      </c>
      <c r="E122" s="139" t="s">
        <v>3102</v>
      </c>
      <c r="F122" s="131" t="s">
        <v>3103</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t="str">
        <f>B44</f>
        <v>平面位置</v>
      </c>
      <c r="C126" s="139" t="s">
        <v>1044</v>
      </c>
      <c r="D126" s="139" t="s">
        <v>3220</v>
      </c>
      <c r="E126" s="139" t="s">
        <v>1046</v>
      </c>
      <c r="F126" s="139" t="s">
        <v>3218</v>
      </c>
      <c r="G126" s="139" t="s">
        <v>3219</v>
      </c>
      <c r="H126" s="1057"/>
      <c r="I126" s="1057"/>
      <c r="J126" s="1057"/>
      <c r="K126" s="1057"/>
      <c r="L126" s="1058"/>
      <c r="M126" s="1059"/>
      <c r="N126" s="1389"/>
      <c r="O126" s="1389"/>
      <c r="P126" s="1378"/>
      <c r="Q126" s="1061"/>
    </row>
    <row r="127" spans="1:17" s="1037" customFormat="1" ht="15" thickBot="1">
      <c r="A127" s="1056"/>
      <c r="B127" s="1053"/>
      <c r="C127" s="902">
        <v>100</v>
      </c>
      <c r="D127" s="878">
        <v>96</v>
      </c>
      <c r="E127" s="878">
        <v>92</v>
      </c>
      <c r="F127" s="878">
        <v>88</v>
      </c>
      <c r="G127" s="902">
        <v>84</v>
      </c>
      <c r="H127" s="904"/>
      <c r="I127" s="904"/>
      <c r="J127" s="904"/>
      <c r="K127" s="904"/>
      <c r="L127" s="904"/>
      <c r="M127" s="905"/>
      <c r="N127" s="1389"/>
      <c r="O127" s="1389"/>
      <c r="P127" s="1378"/>
      <c r="Q127" s="1061"/>
    </row>
    <row r="128" spans="1:17" ht="14.25" thickTop="1">
      <c r="A128" s="175"/>
      <c r="B128" s="1052" t="str">
        <f>B45</f>
        <v>可视性</v>
      </c>
      <c r="C128" s="139" t="s">
        <v>1044</v>
      </c>
      <c r="D128" s="139" t="s">
        <v>1045</v>
      </c>
      <c r="E128" s="139" t="s">
        <v>1046</v>
      </c>
      <c r="F128" s="1384" t="s">
        <v>1047</v>
      </c>
      <c r="G128" s="139" t="s">
        <v>1048</v>
      </c>
      <c r="H128" s="131"/>
      <c r="I128" s="131"/>
      <c r="J128" s="131"/>
      <c r="K128" s="132"/>
      <c r="L128" s="133"/>
      <c r="M128" s="134"/>
      <c r="N128" s="1387"/>
      <c r="O128" s="1387"/>
      <c r="P128" s="1377"/>
      <c r="Q128" s="121"/>
    </row>
    <row r="129" spans="1:17" ht="15" thickBot="1">
      <c r="A129" s="173"/>
      <c r="B129" s="1053"/>
      <c r="C129" s="902">
        <v>100</v>
      </c>
      <c r="D129" s="878">
        <v>96</v>
      </c>
      <c r="E129" s="878">
        <v>92</v>
      </c>
      <c r="F129" s="878">
        <v>88</v>
      </c>
      <c r="G129" s="878">
        <v>84</v>
      </c>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6" sqref="D26"/>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3213</v>
      </c>
      <c r="D1" s="1272"/>
      <c r="E1" s="2583" t="s">
        <v>535</v>
      </c>
      <c r="F1" s="2584">
        <f ca="1">J53</f>
        <v>33.9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ROUND(D2/10000,0)</f>
        <v>856</v>
      </c>
      <c r="C2" s="1298" t="s">
        <v>1094</v>
      </c>
      <c r="D2" s="2722">
        <f ca="1">C40+J29+L46</f>
        <v>8560616</v>
      </c>
      <c r="E2" s="2573" t="s">
        <v>2620</v>
      </c>
      <c r="F2" s="1275"/>
      <c r="G2" s="2286"/>
      <c r="H2" s="1273"/>
      <c r="I2" s="1273"/>
      <c r="J2" s="1273"/>
      <c r="K2" s="1297"/>
      <c r="L2" s="1273"/>
      <c r="M2" s="1273"/>
    </row>
    <row r="3" spans="1:37" ht="18" customHeight="1" thickBot="1">
      <c r="A3" s="674" t="s">
        <v>343</v>
      </c>
      <c r="B3" s="1406">
        <f ca="1">IF(ISERROR(D2/F43),0,ROUND(D2/F43,0))</f>
        <v>28422</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435959</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ROUND(F6*F8*F7*(1-F9),0)</f>
        <v>435354</v>
      </c>
      <c r="D6" s="2623" t="s">
        <v>2535</v>
      </c>
      <c r="E6" s="683" t="s">
        <v>913</v>
      </c>
      <c r="F6" s="684">
        <f ca="1">INDIRECT("'数据-取费表'!u"&amp;$G$1)</f>
        <v>4.4000000000000004</v>
      </c>
      <c r="G6" s="2287"/>
      <c r="H6" s="2620" t="s">
        <v>2372</v>
      </c>
      <c r="I6" s="3650" t="s">
        <v>2533</v>
      </c>
      <c r="J6" s="682">
        <f ca="1">ROUND(M6*M8*M7*(1-M9),0)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301.2</v>
      </c>
      <c r="G7" s="2287"/>
      <c r="H7" s="685"/>
      <c r="I7" s="3651"/>
      <c r="J7" s="687"/>
      <c r="K7" s="688"/>
      <c r="L7" s="683" t="s">
        <v>914</v>
      </c>
      <c r="M7" s="684">
        <f ca="1">F7</f>
        <v>301.2</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ROUND(IF(F10="押一",F6*F8*F7/12*F11,IF(F10="押二",F6*F8*F7/12*2*F11,IF(F10="押三",F6*F8*F7/12*3*F11,C11*F11))),0)</f>
        <v>605</v>
      </c>
      <c r="D10" s="2632" t="s">
        <v>2536</v>
      </c>
      <c r="E10" s="2096" t="s">
        <v>2530</v>
      </c>
      <c r="F10" s="2829" t="s">
        <v>3122</v>
      </c>
      <c r="G10" s="2287"/>
      <c r="H10" s="2620" t="s">
        <v>2379</v>
      </c>
      <c r="I10" s="2621" t="s">
        <v>2528</v>
      </c>
      <c r="J10" s="682">
        <f ca="1">ROUND(IF(M10="押一",M6*M8*M7/12*M11,IF(M10="押二",M6*M8*M7/12*2*M11,IF(M10="押三",M6*M8*M7/12*3*M11,J11*M11))),0)</f>
        <v>0</v>
      </c>
      <c r="K10" s="2632" t="s">
        <v>2536</v>
      </c>
      <c r="L10" s="2096" t="s">
        <v>2530</v>
      </c>
      <c r="M10" s="2829" t="s">
        <v>2692</v>
      </c>
    </row>
    <row r="11" spans="1:37" ht="18" customHeight="1">
      <c r="A11" s="689"/>
      <c r="B11" s="2622" t="s">
        <v>2538</v>
      </c>
      <c r="C11" s="2414"/>
      <c r="D11" s="688"/>
      <c r="E11" s="2096" t="s">
        <v>2531</v>
      </c>
      <c r="F11" s="695">
        <f ca="1">'数据-取费表'!B39</f>
        <v>1.4999999999999999E-2</v>
      </c>
      <c r="G11" s="2287"/>
      <c r="H11" s="2633"/>
      <c r="I11" s="2622" t="s">
        <v>2693</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896389</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ROUND(INDIRECT("'数据-取费表'!l"&amp;$G$1)*F43+'数据-取费表'!L14*INDIRECT("'数据-取费表'!S"&amp;$G$1),0)</f>
        <v>542160</v>
      </c>
      <c r="D14" s="2717" t="s">
        <v>920</v>
      </c>
      <c r="E14" s="2716"/>
      <c r="F14" s="702"/>
      <c r="G14" s="2287"/>
      <c r="H14" s="2437" t="s">
        <v>2372</v>
      </c>
      <c r="I14" s="683" t="s">
        <v>921</v>
      </c>
      <c r="J14" s="313">
        <f ca="1">C29</f>
        <v>896389</v>
      </c>
      <c r="K14" s="303"/>
      <c r="L14" s="699"/>
      <c r="M14" s="700"/>
    </row>
    <row r="15" spans="1:37" s="705" customFormat="1" ht="18" customHeight="1" thickBot="1">
      <c r="A15" s="2437" t="s">
        <v>2605</v>
      </c>
      <c r="B15" s="683" t="s">
        <v>357</v>
      </c>
      <c r="C15" s="313">
        <f ca="1">ROUND(C14*F15,0)</f>
        <v>16265</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ROUND(INDIRECT("'数据-取费表'!l"&amp;$G$1)*F43*F16,0)</f>
        <v>0</v>
      </c>
      <c r="D16" s="683" t="s">
        <v>922</v>
      </c>
      <c r="E16" s="683" t="s">
        <v>362</v>
      </c>
      <c r="F16" s="706">
        <f ca="1">IF(INDIRECT("'数据-取费表'!c"&amp;$G$1)="住宅",'数据-取费表'!B34,0)</f>
        <v>0</v>
      </c>
      <c r="G16" s="2287"/>
      <c r="H16" s="2664" t="s">
        <v>2337</v>
      </c>
      <c r="I16" s="2665" t="s">
        <v>924</v>
      </c>
      <c r="J16" s="691">
        <f ca="1">ROUND(J17+J22+J23+J24,0)</f>
        <v>20976</v>
      </c>
      <c r="K16" s="2674" t="s">
        <v>925</v>
      </c>
      <c r="L16" s="2675"/>
      <c r="M16" s="2626"/>
    </row>
    <row r="17" spans="1:37" s="705" customFormat="1" ht="18" customHeight="1">
      <c r="A17" s="2437" t="s">
        <v>2607</v>
      </c>
      <c r="B17" s="683" t="s">
        <v>359</v>
      </c>
      <c r="C17" s="313">
        <f ca="1">ROUND(F17*(F43+INDIRECT("'数据-取费表'!S"&amp;$G$1)),0)</f>
        <v>45180</v>
      </c>
      <c r="D17" s="683" t="s">
        <v>926</v>
      </c>
      <c r="E17" s="683" t="s">
        <v>927</v>
      </c>
      <c r="F17" s="315">
        <f>'数据-取费表'!B35</f>
        <v>150</v>
      </c>
      <c r="G17" s="2288"/>
      <c r="H17" s="2437" t="s">
        <v>2372</v>
      </c>
      <c r="I17" s="683" t="s">
        <v>360</v>
      </c>
      <c r="J17" s="313">
        <f ca="1">ROUND(IF(项目基本情况!B11="自然人",J5*M17,J18+J19+J20),0)</f>
        <v>7530</v>
      </c>
      <c r="K17" s="2717" t="s">
        <v>928</v>
      </c>
      <c r="L17" s="2718"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8132</v>
      </c>
      <c r="D18" s="683" t="s">
        <v>922</v>
      </c>
      <c r="E18" s="683" t="s">
        <v>362</v>
      </c>
      <c r="F18" s="706">
        <f>'数据-取费表'!B36</f>
        <v>1.4999999999999999E-2</v>
      </c>
      <c r="G18" s="2288"/>
      <c r="H18" s="2437" t="s">
        <v>2369</v>
      </c>
      <c r="I18" s="683" t="s">
        <v>930</v>
      </c>
      <c r="J18" s="313">
        <f ca="1">ROUND(J5*M18/(1+'数据-取费表'!C42),0)</f>
        <v>0</v>
      </c>
      <c r="K18" s="2718"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611737</v>
      </c>
      <c r="D19" s="470" t="s">
        <v>932</v>
      </c>
      <c r="E19" s="2720"/>
      <c r="F19" s="315"/>
      <c r="G19" s="2287"/>
      <c r="H19" s="2437" t="s">
        <v>2605</v>
      </c>
      <c r="I19" s="683" t="s">
        <v>933</v>
      </c>
      <c r="J19" s="313">
        <f ca="1">IF(K19="按租金收入计税",ROUND(J5*M19,0),ROUND(C29*M19*0.7,0))</f>
        <v>7530</v>
      </c>
      <c r="K19" s="1299" t="s">
        <v>2412</v>
      </c>
      <c r="L19" s="683" t="s">
        <v>362</v>
      </c>
      <c r="M19" s="706">
        <f>IF(K19="按租金收入计税",'数据-取费表'!B51,'数据-取费表'!B50)</f>
        <v>1.2E-2</v>
      </c>
    </row>
    <row r="20" spans="1:37" s="705" customFormat="1" ht="18" customHeight="1">
      <c r="A20" s="2437" t="s">
        <v>2609</v>
      </c>
      <c r="B20" s="683" t="s">
        <v>364</v>
      </c>
      <c r="C20" s="313">
        <f ca="1">ROUND(C19*F20,0)</f>
        <v>12235</v>
      </c>
      <c r="D20" s="708" t="s">
        <v>934</v>
      </c>
      <c r="E20" s="683" t="s">
        <v>362</v>
      </c>
      <c r="F20" s="706">
        <f>'数据-取费表'!B37</f>
        <v>0.02</v>
      </c>
      <c r="G20" s="2288"/>
      <c r="H20" s="2437" t="s">
        <v>2606</v>
      </c>
      <c r="I20" s="495" t="s">
        <v>935</v>
      </c>
      <c r="J20" s="314">
        <f ca="1">ROUND(M20*M21,0)</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23</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2720"/>
      <c r="F22" s="315"/>
      <c r="G22" s="2287"/>
      <c r="H22" s="2437" t="s">
        <v>2379</v>
      </c>
      <c r="I22" s="683" t="s">
        <v>943</v>
      </c>
      <c r="J22" s="313">
        <f ca="1">ROUND(J14*M22,0)</f>
        <v>13446</v>
      </c>
      <c r="K22" s="2718"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44982</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ROUND(J13*M23,0)</f>
        <v>0</v>
      </c>
      <c r="K23" s="2718"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ROUND(J5*M24,0)</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2720"/>
      <c r="F25" s="315"/>
      <c r="G25" s="2287"/>
      <c r="H25" s="2664" t="s">
        <v>2352</v>
      </c>
      <c r="I25" s="2681" t="s">
        <v>374</v>
      </c>
      <c r="J25" s="691">
        <f ca="1">J5-J16</f>
        <v>-20976</v>
      </c>
      <c r="K25" s="2682" t="s">
        <v>375</v>
      </c>
      <c r="L25" s="2683"/>
      <c r="M25" s="2684"/>
    </row>
    <row r="26" spans="1:37" ht="18" customHeight="1">
      <c r="A26" s="2437" t="s">
        <v>2369</v>
      </c>
      <c r="B26" s="683" t="s">
        <v>2526</v>
      </c>
      <c r="C26" s="313">
        <f ca="1">ROUND((C19+C20)*F26,0)</f>
        <v>155993</v>
      </c>
      <c r="D26" s="708" t="s">
        <v>953</v>
      </c>
      <c r="E26" s="694" t="s">
        <v>954</v>
      </c>
      <c r="F26" s="693">
        <f ca="1">INDIRECT("'数据-取费表'!q"&amp;$G$1)</f>
        <v>0.25</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5.0000000000000001E-3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896389</v>
      </c>
      <c r="D29" s="2679"/>
      <c r="E29" s="2677"/>
      <c r="F29" s="2680"/>
      <c r="G29" s="2288"/>
      <c r="H29" s="719" t="s">
        <v>2362</v>
      </c>
      <c r="I29" s="720" t="s">
        <v>959</v>
      </c>
      <c r="J29" s="721">
        <f ca="1">ROUND(J26/(1+F40)^F41,0)</f>
        <v>0</v>
      </c>
      <c r="K29" s="722" t="s">
        <v>960</v>
      </c>
      <c r="L29" s="723"/>
      <c r="M29" s="724">
        <f ca="1">INDIRECT("'数据-取费表'!k"&amp;$G$1)</f>
        <v>301.2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52559</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ROUND(IF(项目基本情况!B11="自然人",C5*F31,C32+C33+C34),0)</f>
        <v>30781</v>
      </c>
      <c r="D31" s="2717" t="s">
        <v>928</v>
      </c>
      <c r="E31" s="2718"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IF(项目基本情况!B11="自然人","——",ROUND(C5*F32/(1+'数据-取费表'!C42),0))</f>
        <v>23251</v>
      </c>
      <c r="D32" s="2718"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IF(项目基本情况!B11="自然人","——",IF(D33="按租金收入计税",ROUND(C5*F33,0),IF(D33="按房产原值计税",ROUND(C29*F33*0.7,0),INDIRECT("'数据-取费表'!Aj"&amp;$G$1))))</f>
        <v>7530</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ROUND(C29*F36,0)</f>
        <v>13446</v>
      </c>
      <c r="D36" s="2718"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ROUND(C13*F37,0)</f>
        <v>1793</v>
      </c>
      <c r="D37" s="2718"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6539.4</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383400</v>
      </c>
      <c r="D39" s="2682" t="s">
        <v>375</v>
      </c>
      <c r="E39" s="2683"/>
      <c r="F39" s="2684"/>
      <c r="G39" s="2287"/>
      <c r="H39" s="1288"/>
      <c r="I39" s="2882"/>
      <c r="J39" s="2883"/>
      <c r="K39" s="1293"/>
      <c r="L39" s="1288"/>
      <c r="M39" s="1288"/>
    </row>
    <row r="40" spans="1:18" ht="18" customHeight="1">
      <c r="A40" s="680" t="s">
        <v>2355</v>
      </c>
      <c r="B40" s="681" t="s">
        <v>376</v>
      </c>
      <c r="C40" s="682">
        <f ca="1">ROUND(C39*(1-((1+F42)/(1+F40))^F41)/(F40-F42),0)</f>
        <v>8560616</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2.5000000000000001E-2</v>
      </c>
      <c r="G42" s="2287"/>
      <c r="H42" s="1190"/>
      <c r="I42" s="2882"/>
      <c r="J42" s="2883"/>
      <c r="K42" s="1292"/>
      <c r="L42" s="1190"/>
      <c r="M42" s="1190"/>
    </row>
    <row r="43" spans="1:18" ht="18" customHeight="1" thickBot="1">
      <c r="A43" s="719" t="s">
        <v>2362</v>
      </c>
      <c r="B43" s="720" t="s">
        <v>380</v>
      </c>
      <c r="C43" s="721">
        <f ca="1">ROUND(C40/F43,0)</f>
        <v>28422</v>
      </c>
      <c r="D43" s="722" t="s">
        <v>381</v>
      </c>
      <c r="E43" s="723" t="s">
        <v>382</v>
      </c>
      <c r="F43" s="724">
        <f ca="1">INDIRECT("'数据-取费表'!k"&amp;$G$1)</f>
        <v>301.2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f ca="1">C68-C40</f>
        <v>-9069006</v>
      </c>
      <c r="D45" s="2726" t="s">
        <v>2621</v>
      </c>
      <c r="E45" s="1431"/>
      <c r="F45" s="1431"/>
      <c r="O45" s="2589" t="s">
        <v>2485</v>
      </c>
      <c r="P45" s="1294"/>
      <c r="Q45" s="1294"/>
      <c r="R45" s="1294"/>
    </row>
    <row r="46" spans="1:18" s="1453" customFormat="1" ht="21" thickBot="1">
      <c r="A46" s="2395" t="s">
        <v>2324</v>
      </c>
      <c r="B46" s="2396"/>
      <c r="C46" s="2723">
        <f ca="1">ROUND(C45/10000,0)</f>
        <v>-907</v>
      </c>
      <c r="D46" s="2724" t="str">
        <f>C2</f>
        <v>万元</v>
      </c>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908</v>
      </c>
      <c r="B47" s="2433" t="s">
        <v>909</v>
      </c>
      <c r="C47" s="2433" t="s">
        <v>910</v>
      </c>
      <c r="D47" s="2433" t="s">
        <v>911</v>
      </c>
      <c r="E47" s="2535" t="s">
        <v>912</v>
      </c>
      <c r="F47" s="2536"/>
      <c r="G47" s="1455"/>
      <c r="I47" s="2551" t="s">
        <v>2413</v>
      </c>
      <c r="J47" s="2552" t="s">
        <v>3116</v>
      </c>
      <c r="K47" s="2561" t="s">
        <v>2436</v>
      </c>
      <c r="L47" s="2562">
        <f ca="1">INDIRECT("'数据-取费表'!d"&amp;$G$1)</f>
        <v>40</v>
      </c>
      <c r="M47" s="2582" t="str">
        <f>IF(ISNUMBER(FIND("住宅",C1)),"住宅","非住宅")</f>
        <v>非住宅</v>
      </c>
      <c r="O47" s="2585" t="s">
        <v>2448</v>
      </c>
      <c r="P47" s="2595" t="s">
        <v>2466</v>
      </c>
      <c r="Q47" s="2586">
        <f ca="1">C40+J29</f>
        <v>8560616</v>
      </c>
      <c r="R47" s="2586" t="s">
        <v>2467</v>
      </c>
    </row>
    <row r="48" spans="1:18" s="1453" customFormat="1" ht="47.25" thickBot="1">
      <c r="A48" s="2709" t="s">
        <v>2616</v>
      </c>
      <c r="B48" s="681" t="s">
        <v>2331</v>
      </c>
      <c r="C48" s="2719">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ROUND(F49*F51*F50*(1-F52),0)</f>
        <v>0</v>
      </c>
      <c r="D49" s="2531" t="s">
        <v>2332</v>
      </c>
      <c r="E49" s="2534" t="s">
        <v>2325</v>
      </c>
      <c r="F49" s="2537"/>
      <c r="G49" s="1457"/>
      <c r="H49" s="1456"/>
      <c r="I49" s="2542" t="s">
        <v>2434</v>
      </c>
      <c r="J49" s="2554">
        <v>2017</v>
      </c>
      <c r="K49" s="2564" t="s">
        <v>2439</v>
      </c>
      <c r="L49" s="2565"/>
      <c r="O49" s="2587" t="s">
        <v>2450</v>
      </c>
      <c r="P49" s="2595" t="s">
        <v>2469</v>
      </c>
      <c r="Q49" s="2586">
        <f ca="1">C29</f>
        <v>896389</v>
      </c>
      <c r="R49" s="2586" t="s">
        <v>2467</v>
      </c>
    </row>
    <row r="50" spans="1:18" s="1453" customFormat="1" ht="15.75" thickBot="1">
      <c r="A50" s="2431"/>
      <c r="B50" s="2434"/>
      <c r="C50" s="2435"/>
      <c r="D50" s="2404"/>
      <c r="E50" s="2532" t="s">
        <v>914</v>
      </c>
      <c r="F50" s="2533">
        <f ca="1">F7</f>
        <v>301.2</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5291581</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710" t="s">
        <v>2618</v>
      </c>
      <c r="B53" s="2711" t="s">
        <v>2528</v>
      </c>
      <c r="C53" s="697">
        <f ca="1">ROUND(IF(F53="押一",F49*F51*F50/12*F11,IF(F53="押二",F49*F51*F50/12*2*F11,IF(F53="押三",F49*F51*F50/12*3*F11,C54*F11))),0)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8560616</v>
      </c>
      <c r="R53" s="2586" t="s">
        <v>2455</v>
      </c>
    </row>
    <row r="54" spans="1:18" s="1453" customFormat="1" ht="16.5" thickBot="1">
      <c r="A54" s="2430"/>
      <c r="B54" s="2826" t="s">
        <v>2693</v>
      </c>
      <c r="C54" s="2414"/>
      <c r="D54" s="2632"/>
      <c r="E54" s="2776"/>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2715"/>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917</v>
      </c>
      <c r="C56" s="607">
        <f ca="1">C13</f>
        <v>896389</v>
      </c>
      <c r="D56" s="2696"/>
      <c r="E56" s="2410"/>
      <c r="F56" s="2538"/>
      <c r="I56" s="2541" t="s">
        <v>2424</v>
      </c>
      <c r="J56" s="2570" t="s">
        <v>3070</v>
      </c>
      <c r="K56" s="2542" t="s">
        <v>2428</v>
      </c>
      <c r="L56" s="2167" t="str">
        <f ca="1">IF(L48&lt;J51,"——",L48-J51)</f>
        <v>——</v>
      </c>
      <c r="O56" s="2585" t="s">
        <v>2448</v>
      </c>
      <c r="P56" s="2595" t="s">
        <v>2466</v>
      </c>
      <c r="Q56" s="2586">
        <f ca="1">C40+J29</f>
        <v>8560616</v>
      </c>
      <c r="R56" s="2586" t="s">
        <v>2467</v>
      </c>
    </row>
    <row r="57" spans="1:18" s="1453" customFormat="1" ht="29.25" thickBot="1">
      <c r="A57" s="2539"/>
      <c r="B57" s="2401" t="s">
        <v>966</v>
      </c>
      <c r="C57" s="613">
        <f ca="1">C29</f>
        <v>896389</v>
      </c>
      <c r="D57" s="2412"/>
      <c r="E57" s="2413"/>
      <c r="F57" s="2540"/>
      <c r="I57" s="2543" t="s">
        <v>2445</v>
      </c>
      <c r="J57" s="2547" t="str">
        <f ca="1">IF(OR(M47="住宅",J51&lt;L48,J56="是"),"——",J51-L48)</f>
        <v>——</v>
      </c>
      <c r="K57" s="2542" t="s">
        <v>2438</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22769</v>
      </c>
      <c r="D58" s="2415" t="s">
        <v>925</v>
      </c>
      <c r="E58" s="2416"/>
      <c r="F58" s="2417"/>
      <c r="I58" s="2543" t="s">
        <v>2425</v>
      </c>
      <c r="J58" s="3321" t="e">
        <f ca="1">IF(J55&lt;0.4,0.4,J55)</f>
        <v>#VALUE!</v>
      </c>
      <c r="K58" s="2566" t="s">
        <v>2447</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ROUND(IF(项目基本情况!B11="自然人",C48*F59,C60+C61+C62),0)</f>
        <v>7530</v>
      </c>
      <c r="D59" s="2418" t="s">
        <v>928</v>
      </c>
      <c r="E59" s="2419" t="s">
        <v>929</v>
      </c>
      <c r="F59" s="707" t="str">
        <f ca="1">IF(项目基本情况!B11="企业","",IF(INDIRECT("'数据-取费表'!c"&amp;$G$1)="住宅",5%,IF(F49*F50*F51/12/(1+'数据-取费表'!C42)&gt;20000,12%,7%)))</f>
        <v/>
      </c>
      <c r="I59" s="2543" t="s">
        <v>2426</v>
      </c>
      <c r="J59" s="2547" t="str">
        <f ca="1">IF(OR(M47="住宅",J51&lt;L48,J56="是"),"——",ROUND(C29*J58,0))</f>
        <v>——</v>
      </c>
      <c r="K59" s="2566" t="s">
        <v>2435</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IF(项目基本情况!B11="自然人","——",ROUND(C48*F60/(1+'数据-取费表'!C42),0))</f>
        <v>0</v>
      </c>
      <c r="D60" s="2419" t="s">
        <v>931</v>
      </c>
      <c r="E60" s="2401" t="s">
        <v>362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IF(项目基本情况!B11="自然人","——",IF(D61="按租金收入计税",ROUND(C48*F61,0),IF(D61="按房产原值计税",ROUND(C57*F61*0.7,0),INDIRECT("'数据-取费表'!Aj"&amp;$G$1))))</f>
        <v>7530</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IF(项目基本情况!B11="自然人","——",ROUND(F62*F63,0))</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8560616</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ROUND(C57*F64,0)</f>
        <v>13446</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ROUND(C56*F65,0)</f>
        <v>1793</v>
      </c>
      <c r="D65" s="2419" t="s">
        <v>366</v>
      </c>
      <c r="E65" s="2401" t="s">
        <v>362</v>
      </c>
      <c r="F65" s="715">
        <f t="shared" ca="1" si="0"/>
        <v>2E-3</v>
      </c>
      <c r="I65" s="2545" t="s">
        <v>2433</v>
      </c>
      <c r="J65" s="3325">
        <v>40</v>
      </c>
      <c r="K65" s="3325">
        <v>30</v>
      </c>
      <c r="L65" s="3325">
        <v>50</v>
      </c>
      <c r="M65" s="3323">
        <v>0.02</v>
      </c>
      <c r="O65" s="2585" t="s">
        <v>2448</v>
      </c>
      <c r="P65" s="2595" t="s">
        <v>2466</v>
      </c>
      <c r="Q65" s="2586">
        <f ca="1">C40+J29</f>
        <v>8560616</v>
      </c>
      <c r="R65" s="2586" t="s">
        <v>2467</v>
      </c>
    </row>
    <row r="66" spans="1:18" s="1453" customFormat="1" ht="20.25" thickBot="1">
      <c r="A66" s="2437" t="s">
        <v>2374</v>
      </c>
      <c r="B66" s="2401" t="s">
        <v>364</v>
      </c>
      <c r="C66" s="313">
        <f ca="1">ROUND(C48*F66,0)</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-22769</v>
      </c>
      <c r="D67" s="2418" t="s">
        <v>375</v>
      </c>
      <c r="E67" s="2423"/>
      <c r="F67" s="2424"/>
      <c r="O67" s="2587" t="s">
        <v>2450</v>
      </c>
      <c r="P67" s="2595" t="s">
        <v>2480</v>
      </c>
      <c r="Q67" s="2590">
        <f ca="1">L51</f>
        <v>5291581</v>
      </c>
      <c r="R67" s="2591" t="s">
        <v>2490</v>
      </c>
    </row>
    <row r="68" spans="1:18" s="1453" customFormat="1" ht="20.25" thickBot="1">
      <c r="A68" s="2398" t="s">
        <v>2355</v>
      </c>
      <c r="B68" s="2399" t="s">
        <v>376</v>
      </c>
      <c r="C68" s="682">
        <f ca="1">ROUND(C67*(1-((1+F70)/(1+F68))^F69)/(F68-F70),0)</f>
        <v>-508390</v>
      </c>
      <c r="D68" s="2420" t="s">
        <v>370</v>
      </c>
      <c r="E68" s="2401" t="s">
        <v>371</v>
      </c>
      <c r="F68" s="693">
        <f ca="1">F40</f>
        <v>0.05</v>
      </c>
      <c r="O68" s="2587" t="s">
        <v>2451</v>
      </c>
      <c r="P68" s="2596" t="s">
        <v>2484</v>
      </c>
      <c r="Q68" s="2586">
        <f ca="1">ROUND(Q69-Q70*Q71,0)</f>
        <v>307207</v>
      </c>
      <c r="R68" s="2586" t="s">
        <v>2489</v>
      </c>
    </row>
    <row r="69" spans="1:18" s="1453" customFormat="1" ht="15.75" thickBot="1">
      <c r="A69" s="2402"/>
      <c r="B69" s="2403"/>
      <c r="C69" s="687"/>
      <c r="D69" s="2425" t="s">
        <v>958</v>
      </c>
      <c r="E69" s="2401" t="s">
        <v>378</v>
      </c>
      <c r="F69" s="718">
        <f ca="1">F41</f>
        <v>33.9</v>
      </c>
      <c r="O69" s="2587" t="s">
        <v>2459</v>
      </c>
      <c r="P69" s="2596" t="s">
        <v>2474</v>
      </c>
      <c r="Q69" s="2586">
        <f ca="1">C39</f>
        <v>383400</v>
      </c>
      <c r="R69" s="2586" t="s">
        <v>2467</v>
      </c>
    </row>
    <row r="70" spans="1:18" s="1453" customFormat="1" ht="15.75" thickBot="1">
      <c r="A70" s="2405"/>
      <c r="B70" s="2406"/>
      <c r="C70" s="691"/>
      <c r="D70" s="2421"/>
      <c r="E70" s="2401" t="s">
        <v>379</v>
      </c>
      <c r="F70" s="2530">
        <f ca="1">F42</f>
        <v>2.5000000000000001E-2</v>
      </c>
      <c r="O70" s="2587" t="s">
        <v>2460</v>
      </c>
      <c r="P70" s="2596" t="s">
        <v>2475</v>
      </c>
      <c r="Q70" s="2586">
        <f ca="1">C13</f>
        <v>896389</v>
      </c>
      <c r="R70" s="2586" t="s">
        <v>2467</v>
      </c>
    </row>
    <row r="71" spans="1:18" s="1453" customFormat="1" ht="15.75" thickBot="1">
      <c r="A71" s="2426" t="s">
        <v>2362</v>
      </c>
      <c r="B71" s="2427" t="s">
        <v>380</v>
      </c>
      <c r="C71" s="721">
        <f ca="1">ROUND(C68/F71,0)</f>
        <v>-1688</v>
      </c>
      <c r="D71" s="2428" t="s">
        <v>381</v>
      </c>
      <c r="E71" s="2429" t="s">
        <v>382</v>
      </c>
      <c r="F71" s="724">
        <f ca="1">F43</f>
        <v>301.2</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76193</v>
      </c>
      <c r="D75" s="1453"/>
      <c r="E75" s="1453"/>
      <c r="F75" s="1453"/>
      <c r="K75" s="1454"/>
      <c r="L75" s="1453"/>
      <c r="O75" s="2585" t="s">
        <v>2454</v>
      </c>
      <c r="P75" s="2595" t="s">
        <v>2472</v>
      </c>
      <c r="Q75" s="2586">
        <f ca="1">Q65+Q66</f>
        <v>8560616</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0.80099999999999993</v>
      </c>
    </row>
    <row r="80" spans="1:18">
      <c r="B80" s="2874" t="s">
        <v>2701</v>
      </c>
      <c r="C80" s="649">
        <f ca="1">ROUND(C75/C39,3)</f>
        <v>0.19900000000000001</v>
      </c>
    </row>
    <row r="81" spans="2:3">
      <c r="B81" s="645" t="s">
        <v>384</v>
      </c>
      <c r="C81" s="646"/>
    </row>
    <row r="82" spans="2:3">
      <c r="B82" s="2873" t="s">
        <v>2698</v>
      </c>
      <c r="C82" s="650">
        <f ca="1">1-C83</f>
        <v>0.89500000000000002</v>
      </c>
    </row>
    <row r="83" spans="2:3">
      <c r="B83" s="2873" t="s">
        <v>2697</v>
      </c>
      <c r="C83" s="649">
        <f ca="1">ROUND(C13/C40,3)</f>
        <v>0.105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3074</v>
      </c>
      <c r="D1" s="1272"/>
      <c r="E1" s="2583" t="s">
        <v>2442</v>
      </c>
      <c r="F1" s="2584" t="e">
        <f ca="1">J53</f>
        <v>#N/A</v>
      </c>
      <c r="G1" s="671" t="e">
        <f>MATCH(C1,'数据-取费表'!A6:A16,0)+5</f>
        <v>#N/A</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t="e">
        <f ca="1">C40+J29+L46</f>
        <v>#N/A</v>
      </c>
      <c r="C2" s="1298" t="s">
        <v>1094</v>
      </c>
      <c r="D2" s="1274"/>
      <c r="E2" s="2573"/>
      <c r="F2" s="1275"/>
      <c r="G2" s="2286"/>
      <c r="H2" s="1273"/>
      <c r="I2" s="1273"/>
      <c r="J2" s="1273"/>
      <c r="K2" s="1297"/>
      <c r="L2" s="1273"/>
      <c r="M2" s="1273"/>
    </row>
    <row r="3" spans="1:37" ht="18" customHeight="1" thickBot="1">
      <c r="A3" s="674" t="s">
        <v>817</v>
      </c>
      <c r="B3" s="1406">
        <f ca="1">IF(ISERROR(B2*10000/F43),0,ROUND(B2*10000/F43,0))</f>
        <v>0</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2532</v>
      </c>
      <c r="C5" s="2624" t="e">
        <f ca="1">C6+C10+C12</f>
        <v>#N/A</v>
      </c>
      <c r="D5" s="2634" t="s">
        <v>2534</v>
      </c>
      <c r="E5" s="2625"/>
      <c r="F5" s="2626"/>
      <c r="G5" s="2287"/>
      <c r="H5" s="680">
        <v>1</v>
      </c>
      <c r="I5" s="681" t="s">
        <v>2532</v>
      </c>
      <c r="J5" s="2624" t="e">
        <f ca="1">J6+J10+J12</f>
        <v>#N/A</v>
      </c>
      <c r="K5" s="2627" t="s">
        <v>2534</v>
      </c>
      <c r="L5" s="2625"/>
      <c r="M5" s="2626"/>
    </row>
    <row r="6" spans="1:37" ht="18" customHeight="1">
      <c r="A6" s="2620" t="s">
        <v>2539</v>
      </c>
      <c r="B6" s="3650" t="s">
        <v>2533</v>
      </c>
      <c r="C6" s="2629" t="e">
        <f ca="1">ROUND(F6*F8*F7*(1-F9)/10000,0)</f>
        <v>#N/A</v>
      </c>
      <c r="D6" s="2623" t="s">
        <v>2535</v>
      </c>
      <c r="E6" s="683" t="s">
        <v>913</v>
      </c>
      <c r="F6" s="684" t="e">
        <f ca="1">INDIRECT("'数据-取费表'!u"&amp;$G$1)</f>
        <v>#N/A</v>
      </c>
      <c r="G6" s="2287"/>
      <c r="H6" s="2620" t="s">
        <v>2542</v>
      </c>
      <c r="I6" s="3650" t="s">
        <v>2533</v>
      </c>
      <c r="J6" s="682" t="e">
        <f ca="1">ROUND(M6*M8*M7*(1-M9)/10000,0)</f>
        <v>#N/A</v>
      </c>
      <c r="K6" s="2623" t="s">
        <v>2535</v>
      </c>
      <c r="L6" s="683" t="s">
        <v>913</v>
      </c>
      <c r="M6" s="684" t="e">
        <f ca="1">INDIRECT("'数据-取费表'!z"&amp;$G$1)</f>
        <v>#N/A</v>
      </c>
    </row>
    <row r="7" spans="1:37" ht="18" customHeight="1">
      <c r="A7" s="2628"/>
      <c r="B7" s="3651"/>
      <c r="C7" s="2630"/>
      <c r="D7" s="2060"/>
      <c r="E7" s="2631" t="s">
        <v>914</v>
      </c>
      <c r="F7" s="684" t="e">
        <f ca="1">IF(INDIRECT("'数据-取费表'!ah"&amp;$G$1)="",INDIRECT("'数据-取费表'!k"&amp;$G$1),INDIRECT("'数据-取费表'!ah"&amp;$G$1))</f>
        <v>#N/A</v>
      </c>
      <c r="G7" s="2287"/>
      <c r="H7" s="685"/>
      <c r="I7" s="3651"/>
      <c r="J7" s="687"/>
      <c r="K7" s="688"/>
      <c r="L7" s="683" t="s">
        <v>914</v>
      </c>
      <c r="M7" s="684" t="e">
        <f ca="1">F7</f>
        <v>#N/A</v>
      </c>
    </row>
    <row r="8" spans="1:37" ht="18" customHeight="1">
      <c r="A8" s="685"/>
      <c r="B8" s="3651"/>
      <c r="C8" s="687"/>
      <c r="D8" s="688"/>
      <c r="E8" s="683" t="s">
        <v>915</v>
      </c>
      <c r="F8" s="684" t="e">
        <f ca="1">INDIRECT("'数据-取费表'!ai"&amp;$G$1)</f>
        <v>#N/A</v>
      </c>
      <c r="G8" s="2287"/>
      <c r="H8" s="685"/>
      <c r="I8" s="3651"/>
      <c r="J8" s="687"/>
      <c r="K8" s="688"/>
      <c r="L8" s="683" t="s">
        <v>915</v>
      </c>
      <c r="M8" s="684" t="e">
        <f ca="1">INDIRECT("'数据-取费表'!ai"&amp;$G$1)</f>
        <v>#N/A</v>
      </c>
    </row>
    <row r="9" spans="1:37" ht="18" customHeight="1">
      <c r="A9" s="685"/>
      <c r="B9" s="3652"/>
      <c r="C9" s="687"/>
      <c r="D9" s="688"/>
      <c r="E9" s="683" t="s">
        <v>916</v>
      </c>
      <c r="F9" s="693" t="e">
        <f ca="1">INDIRECT("'数据-取费表'!w"&amp;$G$1)</f>
        <v>#N/A</v>
      </c>
      <c r="G9" s="2287"/>
      <c r="H9" s="685"/>
      <c r="I9" s="3652"/>
      <c r="J9" s="687"/>
      <c r="K9" s="688"/>
      <c r="L9" s="694" t="s">
        <v>916</v>
      </c>
      <c r="M9" s="695" t="e">
        <f ca="1">INDIRECT("'数据-取费表'!ab"&amp;$G$1)</f>
        <v>#N/A</v>
      </c>
    </row>
    <row r="10" spans="1:37" ht="18" customHeight="1">
      <c r="A10" s="2620" t="s">
        <v>2540</v>
      </c>
      <c r="B10" s="2621" t="s">
        <v>2528</v>
      </c>
      <c r="C10" s="697" t="e">
        <f ca="1">ROUND(IF(F10="押一",F6*F8*F7/12*F11,IF(F10="押二",F6*F8*F7/12*2*F11,IF(F10="押三",F6*F8*F7/12*3*F11,C11*F11)))/10000,0)</f>
        <v>#N/A</v>
      </c>
      <c r="D10" s="2632" t="s">
        <v>2536</v>
      </c>
      <c r="E10" s="2096" t="s">
        <v>2530</v>
      </c>
      <c r="F10" s="2829" t="s">
        <v>3122</v>
      </c>
      <c r="G10" s="2287"/>
      <c r="H10" s="2620" t="s">
        <v>2543</v>
      </c>
      <c r="I10" s="2621" t="s">
        <v>2528</v>
      </c>
      <c r="J10" s="682" t="e">
        <f ca="1">ROUND(IF(M10="押一",M6*M8*M7/12*M11,IF(M10="押二",M6*M8*M7/12*2*M11,IF(M10="押三",M6*M8*M7/12*3*M11,J11*M11)))/10000,0)</f>
        <v>#N/A</v>
      </c>
      <c r="K10" s="2632" t="s">
        <v>2536</v>
      </c>
      <c r="L10" s="2096" t="s">
        <v>2530</v>
      </c>
      <c r="M10" s="2727" t="s">
        <v>2622</v>
      </c>
    </row>
    <row r="11" spans="1:37" ht="18" customHeight="1">
      <c r="A11" s="689"/>
      <c r="B11" s="2622" t="s">
        <v>2695</v>
      </c>
      <c r="C11" s="2414"/>
      <c r="D11" s="2868"/>
      <c r="E11" s="2096" t="s">
        <v>2531</v>
      </c>
      <c r="F11" s="695">
        <f ca="1">'数据-取费表'!B39</f>
        <v>1.4999999999999999E-2</v>
      </c>
      <c r="G11" s="2287"/>
      <c r="H11" s="2633"/>
      <c r="I11" s="2622" t="s">
        <v>2695</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2544</v>
      </c>
      <c r="I12" s="2669" t="s">
        <v>2529</v>
      </c>
      <c r="J12" s="2670"/>
      <c r="K12" s="2687"/>
      <c r="L12" s="2672"/>
      <c r="M12" s="2688"/>
    </row>
    <row r="13" spans="1:37" ht="18" customHeight="1" thickTop="1">
      <c r="A13" s="2664">
        <v>2</v>
      </c>
      <c r="B13" s="2665" t="s">
        <v>917</v>
      </c>
      <c r="C13" s="691" t="e">
        <f ca="1">ROUND(C29*F13,0)</f>
        <v>#N/A</v>
      </c>
      <c r="D13" s="2666" t="s">
        <v>918</v>
      </c>
      <c r="E13" s="2666" t="s">
        <v>919</v>
      </c>
      <c r="F13" s="2667" t="e">
        <f ca="1">INDIRECT("'数据-取费表'!y"&amp;$G$1)</f>
        <v>#N/A</v>
      </c>
      <c r="G13" s="2287"/>
      <c r="H13" s="2664">
        <v>2</v>
      </c>
      <c r="I13" s="2665" t="s">
        <v>917</v>
      </c>
      <c r="J13" s="2619" t="e">
        <f ca="1">ROUND(J14*J15,0)</f>
        <v>#N/A</v>
      </c>
      <c r="K13" s="2674" t="s">
        <v>918</v>
      </c>
      <c r="L13" s="2685"/>
      <c r="M13" s="2686"/>
    </row>
    <row r="14" spans="1:37" ht="18" customHeight="1">
      <c r="A14" s="2437" t="s">
        <v>2369</v>
      </c>
      <c r="B14" s="683" t="s">
        <v>356</v>
      </c>
      <c r="C14" s="701" t="e">
        <f ca="1">INDIRECT("'数据-取费表'!m"&amp;$G$1)+INDIRECT("'数据-取费表'!t"&amp;$G$1)</f>
        <v>#N/A</v>
      </c>
      <c r="D14" s="2214" t="s">
        <v>920</v>
      </c>
      <c r="E14" s="2213"/>
      <c r="F14" s="702"/>
      <c r="G14" s="2287"/>
      <c r="H14" s="2437" t="s">
        <v>2372</v>
      </c>
      <c r="I14" s="683" t="s">
        <v>921</v>
      </c>
      <c r="J14" s="313" t="e">
        <f ca="1">C29</f>
        <v>#N/A</v>
      </c>
      <c r="K14" s="303"/>
      <c r="L14" s="699"/>
      <c r="M14" s="700"/>
    </row>
    <row r="15" spans="1:37" s="705" customFormat="1" ht="18" customHeight="1" thickBot="1">
      <c r="A15" s="2437" t="s">
        <v>2605</v>
      </c>
      <c r="B15" s="683" t="s">
        <v>357</v>
      </c>
      <c r="C15" s="313" t="e">
        <f ca="1">ROUND(C14*F15,0)</f>
        <v>#N/A</v>
      </c>
      <c r="D15" s="703" t="s">
        <v>922</v>
      </c>
      <c r="E15" s="703" t="s">
        <v>923</v>
      </c>
      <c r="F15" s="704">
        <f>'数据-取费表'!B33</f>
        <v>0.03</v>
      </c>
      <c r="G15" s="2288"/>
      <c r="H15" s="2676" t="s">
        <v>2379</v>
      </c>
      <c r="I15" s="2677" t="s">
        <v>919</v>
      </c>
      <c r="J15" s="2688" t="e">
        <f ca="1">INDIRECT("'数据-取费表'!ad"&amp;$G$1)</f>
        <v>#N/A</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t="e">
        <f ca="1">ROUND(INDIRECT("'数据-取费表'!m"&amp;$G$1)*F16,0)</f>
        <v>#N/A</v>
      </c>
      <c r="D16" s="683" t="s">
        <v>922</v>
      </c>
      <c r="E16" s="683" t="s">
        <v>923</v>
      </c>
      <c r="F16" s="706" t="e">
        <f ca="1">IF(INDIRECT("'数据-取费表'!c"&amp;$G$1)="住宅",'数据-取费表'!B34,0)</f>
        <v>#N/A</v>
      </c>
      <c r="G16" s="2287"/>
      <c r="H16" s="2664" t="s">
        <v>2337</v>
      </c>
      <c r="I16" s="2665" t="s">
        <v>924</v>
      </c>
      <c r="J16" s="691" t="e">
        <f ca="1">ROUND(J17+J22+J23+J24,0)</f>
        <v>#N/A</v>
      </c>
      <c r="K16" s="2674" t="s">
        <v>925</v>
      </c>
      <c r="L16" s="2675"/>
      <c r="M16" s="2626"/>
    </row>
    <row r="17" spans="1:37" s="705" customFormat="1" ht="18" customHeight="1">
      <c r="A17" s="2437" t="s">
        <v>2607</v>
      </c>
      <c r="B17" s="683" t="s">
        <v>359</v>
      </c>
      <c r="C17" s="313" t="e">
        <f ca="1">ROUND(F17*(F43+INDIRECT("'数据-取费表'!S"&amp;$G$1))/10000,0)</f>
        <v>#N/A</v>
      </c>
      <c r="D17" s="683" t="s">
        <v>926</v>
      </c>
      <c r="E17" s="683" t="s">
        <v>927</v>
      </c>
      <c r="F17" s="315">
        <f>'数据-取费表'!B35</f>
        <v>150</v>
      </c>
      <c r="G17" s="2288"/>
      <c r="H17" s="2437" t="s">
        <v>2372</v>
      </c>
      <c r="I17" s="683" t="s">
        <v>360</v>
      </c>
      <c r="J17" s="313" t="e">
        <f ca="1">ROUND(IF(项目基本情况!B11="自然人",J5*M17,J18+J19+J20),1)</f>
        <v>#N/A</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t="e">
        <f ca="1">ROUND(C14*F18,0)</f>
        <v>#N/A</v>
      </c>
      <c r="D18" s="683" t="s">
        <v>922</v>
      </c>
      <c r="E18" s="683" t="s">
        <v>923</v>
      </c>
      <c r="F18" s="706">
        <f>'数据-取费表'!B36</f>
        <v>1.4999999999999999E-2</v>
      </c>
      <c r="G18" s="2288"/>
      <c r="H18" s="2437" t="s">
        <v>2369</v>
      </c>
      <c r="I18" s="683" t="s">
        <v>930</v>
      </c>
      <c r="J18" s="313" t="e">
        <f ca="1">ROUND(J5*M18/(1+'数据-取费表'!C42),2)</f>
        <v>#N/A</v>
      </c>
      <c r="K18" s="2212" t="s">
        <v>931</v>
      </c>
      <c r="L18" s="683" t="s">
        <v>923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2539</v>
      </c>
      <c r="B19" s="683" t="s">
        <v>363</v>
      </c>
      <c r="C19" s="313" t="e">
        <f ca="1">SUM(C14:C18)</f>
        <v>#N/A</v>
      </c>
      <c r="D19" s="470" t="s">
        <v>932</v>
      </c>
      <c r="E19" s="2222"/>
      <c r="F19" s="315"/>
      <c r="G19" s="2287"/>
      <c r="H19" s="2437" t="s">
        <v>2605</v>
      </c>
      <c r="I19" s="683" t="s">
        <v>933</v>
      </c>
      <c r="J19" s="313" t="e">
        <f ca="1">IF(K19="按租金收入计税",ROUND(J5*M19,2),ROUND(C29*M19*0.7,2))</f>
        <v>#N/A</v>
      </c>
      <c r="K19" s="1299" t="s">
        <v>2412</v>
      </c>
      <c r="L19" s="683" t="s">
        <v>923</v>
      </c>
      <c r="M19" s="706">
        <f>IF(K19="按租金收入计税",'数据-取费表'!B51,'数据-取费表'!B50)</f>
        <v>1.2E-2</v>
      </c>
    </row>
    <row r="20" spans="1:37" s="705" customFormat="1" ht="18" customHeight="1">
      <c r="A20" s="2437" t="s">
        <v>2609</v>
      </c>
      <c r="B20" s="683" t="s">
        <v>364</v>
      </c>
      <c r="C20" s="313" t="e">
        <f ca="1">ROUND(C19*F20,0)</f>
        <v>#N/A</v>
      </c>
      <c r="D20" s="708" t="s">
        <v>934</v>
      </c>
      <c r="E20" s="683" t="s">
        <v>923</v>
      </c>
      <c r="F20" s="706">
        <f>'数据-取费表'!B37</f>
        <v>0.02</v>
      </c>
      <c r="G20" s="2288"/>
      <c r="H20" s="2437" t="s">
        <v>2606</v>
      </c>
      <c r="I20" s="495" t="s">
        <v>935</v>
      </c>
      <c r="J20" s="314" t="e">
        <f ca="1">ROUND(M20*M21/10000,2)</f>
        <v>#N/A</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68</v>
      </c>
      <c r="D21" s="708" t="s">
        <v>939</v>
      </c>
      <c r="E21" s="683" t="s">
        <v>940</v>
      </c>
      <c r="F21" s="706">
        <f>'数据-取费表'!B38</f>
        <v>0.02</v>
      </c>
      <c r="G21" s="2288"/>
      <c r="H21" s="711"/>
      <c r="I21" s="692"/>
      <c r="J21" s="318"/>
      <c r="K21" s="712"/>
      <c r="L21" s="683" t="s">
        <v>941</v>
      </c>
      <c r="M21" s="684"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2222"/>
      <c r="F22" s="315"/>
      <c r="G22" s="2287"/>
      <c r="H22" s="2437" t="s">
        <v>2379</v>
      </c>
      <c r="I22" s="683" t="s">
        <v>943</v>
      </c>
      <c r="J22" s="313" t="e">
        <f ca="1">ROUND(J14*M22,1)</f>
        <v>#N/A</v>
      </c>
      <c r="K22" s="2212" t="s">
        <v>944</v>
      </c>
      <c r="L22" s="683" t="s">
        <v>923</v>
      </c>
      <c r="M22" s="713" t="e">
        <f ca="1">INDIRECT("'数据-取费表'!Ak"&amp;$G$1)</f>
        <v>#N/A</v>
      </c>
    </row>
    <row r="23" spans="1:37" s="705" customFormat="1" ht="18" customHeight="1">
      <c r="A23" s="2437" t="s">
        <v>2369</v>
      </c>
      <c r="B23" s="683" t="s">
        <v>2525</v>
      </c>
      <c r="C23" s="313" t="e">
        <f ca="1">IF('数据-取费表'!B22&lt;=1,ROUND(C19*F24*F23/2,0)+ROUND(C20*F24*F23/2,0),ROUND(C19*(POWER((1+F24),F23/2)-1),0)+ROUND(C20*(POWER((1+F24),F23/2)-1),0))</f>
        <v>#N/A</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t="e">
        <f ca="1">ROUND(J13*M23,1)</f>
        <v>#N/A</v>
      </c>
      <c r="K23" s="2212" t="s">
        <v>946</v>
      </c>
      <c r="L23" s="683" t="s">
        <v>923</v>
      </c>
      <c r="M23" s="715"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t="e">
        <f ca="1">ROUND(J5*M24,1)</f>
        <v>#N/A</v>
      </c>
      <c r="K24" s="2679" t="s">
        <v>949</v>
      </c>
      <c r="L24" s="2677" t="s">
        <v>923</v>
      </c>
      <c r="M24" s="2673"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2222"/>
      <c r="F25" s="315"/>
      <c r="G25" s="2287"/>
      <c r="H25" s="2664" t="s">
        <v>2352</v>
      </c>
      <c r="I25" s="2681" t="s">
        <v>951</v>
      </c>
      <c r="J25" s="691" t="e">
        <f ca="1">J5-J16</f>
        <v>#N/A</v>
      </c>
      <c r="K25" s="2682" t="s">
        <v>952</v>
      </c>
      <c r="L25" s="2683"/>
      <c r="M25" s="2684"/>
    </row>
    <row r="26" spans="1:37" ht="18" customHeight="1">
      <c r="A26" s="2437" t="s">
        <v>2369</v>
      </c>
      <c r="B26" s="683" t="s">
        <v>2526</v>
      </c>
      <c r="C26" s="313" t="e">
        <f ca="1">ROUND((C19+C20)*F26,0)</f>
        <v>#N/A</v>
      </c>
      <c r="D26" s="708" t="s">
        <v>953</v>
      </c>
      <c r="E26" s="694" t="s">
        <v>954</v>
      </c>
      <c r="F26" s="693" t="e">
        <f ca="1">INDIRECT("'数据-取费表'!q"&amp;$G$1)</f>
        <v>#N/A</v>
      </c>
      <c r="G26" s="2287"/>
      <c r="H26" s="680" t="s">
        <v>2355</v>
      </c>
      <c r="I26" s="681" t="s">
        <v>955</v>
      </c>
      <c r="J26" s="682" t="e">
        <f ca="1">IF(J5&lt;&gt;0,ROUND(J25*(1-((1+M28)/(1+M26))^M27)/(M26-M28),0),0)</f>
        <v>#N/A</v>
      </c>
      <c r="K26" s="709" t="s">
        <v>956</v>
      </c>
      <c r="L26" s="683" t="s">
        <v>962</v>
      </c>
      <c r="M26" s="693" t="e">
        <f ca="1">INDIRECT("'数据-取费表'!I"&amp;$G$1)</f>
        <v>#N/A</v>
      </c>
    </row>
    <row r="27" spans="1:37" ht="18" customHeight="1">
      <c r="A27" s="2437" t="s">
        <v>2375</v>
      </c>
      <c r="B27" s="683" t="s">
        <v>372</v>
      </c>
      <c r="C27" s="313" t="e">
        <f ca="1">ROUND(F21*F26,4)</f>
        <v>#N/A</v>
      </c>
      <c r="D27" s="708" t="s">
        <v>957</v>
      </c>
      <c r="E27" s="703"/>
      <c r="F27" s="704"/>
      <c r="G27" s="2287"/>
      <c r="H27" s="685"/>
      <c r="I27" s="686"/>
      <c r="J27" s="687"/>
      <c r="K27" s="717" t="s">
        <v>958</v>
      </c>
      <c r="L27" s="683" t="s">
        <v>963</v>
      </c>
      <c r="M27" s="718" t="e">
        <f ca="1">INDIRECT("'数据-取费表'!ag"&amp;$G$1)</f>
        <v>#N/A</v>
      </c>
    </row>
    <row r="28" spans="1:37" s="705" customFormat="1" ht="18" customHeight="1">
      <c r="A28" s="2437" t="s">
        <v>2377</v>
      </c>
      <c r="B28" s="683" t="s">
        <v>373</v>
      </c>
      <c r="C28" s="313">
        <f>ROUND(F28/(1+'数据-取费表'!C42),4)</f>
        <v>5.33E-2</v>
      </c>
      <c r="D28" s="708" t="s">
        <v>964</v>
      </c>
      <c r="E28" s="683" t="s">
        <v>923</v>
      </c>
      <c r="F28" s="706">
        <f>'数据-取费表'!B41</f>
        <v>5.6000000000000001E-2</v>
      </c>
      <c r="G28" s="2288"/>
      <c r="H28" s="689"/>
      <c r="I28" s="690"/>
      <c r="J28" s="691"/>
      <c r="K28" s="712"/>
      <c r="L28" s="683" t="s">
        <v>965</v>
      </c>
      <c r="M28" s="693"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t="e">
        <f ca="1">ROUND((C19+C20+C23+C26)/(1-F21-C24-C27-C28),0)</f>
        <v>#N/A</v>
      </c>
      <c r="D29" s="2679"/>
      <c r="E29" s="2677"/>
      <c r="F29" s="2680"/>
      <c r="G29" s="2288"/>
      <c r="H29" s="719" t="s">
        <v>2362</v>
      </c>
      <c r="I29" s="720" t="s">
        <v>959</v>
      </c>
      <c r="J29" s="721" t="e">
        <f ca="1">ROUND(J26/(1+F40)^F41,0)</f>
        <v>#N/A</v>
      </c>
      <c r="K29" s="722" t="s">
        <v>960</v>
      </c>
      <c r="L29" s="723"/>
      <c r="M29" s="724"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t="e">
        <f ca="1">ROUND(C31+C36+C37+C38,0)</f>
        <v>#N/A</v>
      </c>
      <c r="D30" s="2674" t="s">
        <v>925</v>
      </c>
      <c r="E30" s="2675"/>
      <c r="F30" s="2626"/>
      <c r="G30" s="2287"/>
      <c r="H30" s="1276"/>
      <c r="I30" s="1277"/>
      <c r="J30" s="1278"/>
      <c r="K30" s="1279"/>
      <c r="L30" s="1280"/>
      <c r="M30" s="1281"/>
    </row>
    <row r="31" spans="1:37" ht="18" customHeight="1">
      <c r="A31" s="2437" t="s">
        <v>2539</v>
      </c>
      <c r="B31" s="683" t="s">
        <v>360</v>
      </c>
      <c r="C31" s="313" t="e">
        <f ca="1">ROUND(IF(项目基本情况!B11="自然人",C5*F31,C32+C33+C34),1)</f>
        <v>#N/A</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2604</v>
      </c>
      <c r="B32" s="683" t="s">
        <v>930</v>
      </c>
      <c r="C32" s="313" t="e">
        <f ca="1">IF(项目基本情况!B11="自然人","——",ROUND(C5*F32/(1+'数据-取费表'!C42),2))</f>
        <v>#N/A</v>
      </c>
      <c r="D32" s="2212" t="s">
        <v>931</v>
      </c>
      <c r="E32" s="683" t="s">
        <v>923</v>
      </c>
      <c r="F32" s="716">
        <f>'数据-取费表'!B41</f>
        <v>5.6000000000000001E-2</v>
      </c>
      <c r="G32" s="2287"/>
      <c r="H32" s="1282"/>
      <c r="I32" s="1283"/>
      <c r="J32" s="1284"/>
      <c r="K32" s="1285"/>
      <c r="L32" s="1286"/>
      <c r="M32" s="1287"/>
    </row>
    <row r="33" spans="1:18" ht="18" customHeight="1">
      <c r="A33" s="2437" t="s">
        <v>2605</v>
      </c>
      <c r="B33" s="683" t="s">
        <v>933</v>
      </c>
      <c r="C33" s="313" t="e">
        <f ca="1">IF(项目基本情况!B11="自然人","——",IF(D33="按租金收入计税",ROUND(C5*F33,2),IF(D33="按房产原值计税",ROUND(C29*F33*0.7,2),INDIRECT("'数据-取费表'!Aj"&amp;$G$1))))</f>
        <v>#N/A</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968</v>
      </c>
      <c r="C34" s="314" t="e">
        <f ca="1">IF(项目基本情况!B11="自然人","——",ROUND(F34*F35/10000,2))</f>
        <v>#N/A</v>
      </c>
      <c r="D34" s="709" t="s">
        <v>969</v>
      </c>
      <c r="E34" s="683" t="s">
        <v>970</v>
      </c>
      <c r="F34" s="710">
        <f>'数据-取费表'!B52</f>
        <v>0</v>
      </c>
      <c r="G34" s="2287"/>
      <c r="H34" s="1276"/>
      <c r="I34" s="2882"/>
      <c r="J34" s="2883"/>
      <c r="K34" s="1290"/>
      <c r="L34" s="1291"/>
      <c r="M34" s="1291"/>
    </row>
    <row r="35" spans="1:18" ht="18" customHeight="1">
      <c r="A35" s="2694"/>
      <c r="B35" s="2692"/>
      <c r="C35" s="318"/>
      <c r="D35" s="712"/>
      <c r="E35" s="683" t="s">
        <v>941</v>
      </c>
      <c r="F35" s="684" t="e">
        <f ca="1">INDIRECT("'数据-取费表'!r"&amp;$G$1)</f>
        <v>#N/A</v>
      </c>
      <c r="G35" s="2287"/>
      <c r="H35" s="1276"/>
      <c r="I35" s="2882"/>
      <c r="J35" s="2883"/>
      <c r="K35" s="1289"/>
      <c r="L35" s="1288"/>
      <c r="M35" s="1288"/>
    </row>
    <row r="36" spans="1:18" ht="18" customHeight="1">
      <c r="A36" s="2693" t="s">
        <v>2379</v>
      </c>
      <c r="B36" s="683" t="s">
        <v>943</v>
      </c>
      <c r="C36" s="313" t="e">
        <f ca="1">ROUND(C29*F36,1)</f>
        <v>#N/A</v>
      </c>
      <c r="D36" s="2212" t="s">
        <v>973</v>
      </c>
      <c r="E36" s="683" t="s">
        <v>974</v>
      </c>
      <c r="F36" s="713" t="e">
        <f ca="1">INDIRECT("'数据-取费表'!Ak"&amp;$G$1)</f>
        <v>#N/A</v>
      </c>
      <c r="G36" s="2287"/>
      <c r="H36" s="1288"/>
      <c r="I36" s="2882"/>
      <c r="J36" s="2883"/>
      <c r="K36" s="1292"/>
      <c r="L36" s="1288"/>
      <c r="M36" s="1288"/>
    </row>
    <row r="37" spans="1:18" ht="18" customHeight="1">
      <c r="A37" s="2437" t="s">
        <v>2610</v>
      </c>
      <c r="B37" s="683" t="s">
        <v>365</v>
      </c>
      <c r="C37" s="313" t="e">
        <f ca="1">ROUND(C13*F37,1)</f>
        <v>#N/A</v>
      </c>
      <c r="D37" s="2212" t="s">
        <v>366</v>
      </c>
      <c r="E37" s="683" t="s">
        <v>367</v>
      </c>
      <c r="F37" s="715" t="e">
        <f ca="1">INDIRECT("'数据-取费表'!Al"&amp;$G$1)</f>
        <v>#N/A</v>
      </c>
      <c r="G37" s="2287"/>
      <c r="H37" s="1288"/>
      <c r="I37" s="2882"/>
      <c r="J37" s="2883"/>
      <c r="K37" s="1292"/>
      <c r="L37" s="1288"/>
      <c r="M37" s="1288"/>
    </row>
    <row r="38" spans="1:18" ht="18" customHeight="1" thickBot="1">
      <c r="A38" s="2676" t="s">
        <v>2611</v>
      </c>
      <c r="B38" s="2677" t="s">
        <v>364</v>
      </c>
      <c r="C38" s="2678" t="e">
        <f ca="1">ROUND(C5*F38,1)</f>
        <v>#N/A</v>
      </c>
      <c r="D38" s="2679" t="s">
        <v>368</v>
      </c>
      <c r="E38" s="2677" t="s">
        <v>367</v>
      </c>
      <c r="F38" s="2673" t="e">
        <f ca="1">INDIRECT("'数据-取费表'!Am"&amp;$G$1)</f>
        <v>#N/A</v>
      </c>
      <c r="G38" s="2287"/>
      <c r="H38" s="1288"/>
      <c r="I38" s="2882"/>
      <c r="J38" s="2883"/>
      <c r="K38" s="1293"/>
      <c r="L38" s="1288"/>
      <c r="M38" s="1288"/>
    </row>
    <row r="39" spans="1:18" ht="24.6" customHeight="1" thickTop="1">
      <c r="A39" s="2664" t="s">
        <v>2352</v>
      </c>
      <c r="B39" s="2681" t="s">
        <v>374</v>
      </c>
      <c r="C39" s="691" t="e">
        <f ca="1">C5-C30</f>
        <v>#N/A</v>
      </c>
      <c r="D39" s="2682" t="s">
        <v>375</v>
      </c>
      <c r="E39" s="2683"/>
      <c r="F39" s="2684"/>
      <c r="G39" s="2287"/>
      <c r="H39" s="1288"/>
      <c r="I39" s="2882"/>
      <c r="J39" s="2883"/>
      <c r="K39" s="1293"/>
      <c r="L39" s="1288"/>
      <c r="M39" s="1288"/>
    </row>
    <row r="40" spans="1:18" ht="18" customHeight="1">
      <c r="A40" s="680" t="s">
        <v>2355</v>
      </c>
      <c r="B40" s="681" t="s">
        <v>376</v>
      </c>
      <c r="C40" s="682" t="e">
        <f ca="1">ROUND(C39*(1-((1+F42)/(1+F40))^F41)/(F40-F42),0)</f>
        <v>#N/A</v>
      </c>
      <c r="D40" s="709" t="s">
        <v>370</v>
      </c>
      <c r="E40" s="683" t="s">
        <v>371</v>
      </c>
      <c r="F40" s="693" t="e">
        <f ca="1">INDIRECT("'数据-取费表'!I"&amp;$G$1)</f>
        <v>#N/A</v>
      </c>
      <c r="G40" s="2287"/>
      <c r="H40" s="1294"/>
      <c r="I40" s="2882"/>
      <c r="J40" s="2883"/>
      <c r="K40" s="1293"/>
      <c r="L40" s="1294"/>
      <c r="M40" s="1294"/>
    </row>
    <row r="41" spans="1:18" ht="18" customHeight="1">
      <c r="A41" s="685"/>
      <c r="B41" s="686"/>
      <c r="C41" s="687"/>
      <c r="D41" s="717" t="s">
        <v>377</v>
      </c>
      <c r="E41" s="683" t="s">
        <v>378</v>
      </c>
      <c r="F41" s="718" t="e">
        <f ca="1">IF(INDIRECT("'数据-取费表'!af"&amp;$G$1)=0,INDIRECT("'数据-取费表'!ae"&amp;$G$1),INDIRECT("'数据-取费表'!af"&amp;$G$1))</f>
        <v>#N/A</v>
      </c>
      <c r="G41" s="2287"/>
      <c r="H41" s="1190"/>
      <c r="I41" s="2882"/>
      <c r="J41" s="2883"/>
      <c r="K41" s="1292"/>
      <c r="L41" s="1190"/>
      <c r="M41" s="1190"/>
    </row>
    <row r="42" spans="1:18" ht="18" customHeight="1">
      <c r="A42" s="689"/>
      <c r="B42" s="690"/>
      <c r="C42" s="691"/>
      <c r="D42" s="712"/>
      <c r="E42" s="683" t="s">
        <v>379</v>
      </c>
      <c r="F42" s="693" t="e">
        <f ca="1">INDIRECT("'数据-取费表'!v"&amp;$G$1)</f>
        <v>#N/A</v>
      </c>
      <c r="G42" s="2287"/>
      <c r="H42" s="1190"/>
      <c r="I42" s="2882"/>
      <c r="J42" s="2883"/>
      <c r="K42" s="1292"/>
      <c r="L42" s="1190"/>
      <c r="M42" s="1190"/>
    </row>
    <row r="43" spans="1:18" ht="18" customHeight="1" thickBot="1">
      <c r="A43" s="719" t="s">
        <v>2362</v>
      </c>
      <c r="B43" s="720" t="s">
        <v>380</v>
      </c>
      <c r="C43" s="721" t="e">
        <f ca="1">ROUND(C40*10000/F43,0)</f>
        <v>#N/A</v>
      </c>
      <c r="D43" s="722" t="s">
        <v>381</v>
      </c>
      <c r="E43" s="723" t="s">
        <v>382</v>
      </c>
      <c r="F43" s="724" t="e">
        <f ca="1">INDIRECT("'数据-取费表'!k"&amp;$G$1)</f>
        <v>#N/A</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2485</v>
      </c>
      <c r="P45" s="1294"/>
      <c r="Q45" s="1294"/>
      <c r="R45" s="1294"/>
    </row>
    <row r="46" spans="1:18" s="1453" customFormat="1" ht="21" thickBot="1">
      <c r="A46" s="2395" t="s">
        <v>2324</v>
      </c>
      <c r="B46" s="2396"/>
      <c r="C46" s="2723" t="e">
        <f ca="1">C68-C40</f>
        <v>#N/A</v>
      </c>
      <c r="D46" s="2724" t="str">
        <f>C2</f>
        <v>万元</v>
      </c>
      <c r="E46" s="1431"/>
      <c r="F46" s="1431"/>
      <c r="I46" s="2576" t="s">
        <v>2420</v>
      </c>
      <c r="J46" s="2577"/>
      <c r="K46" s="2578"/>
      <c r="L46" s="2580" t="e">
        <f ca="1">IF(M47="住宅",0,IF(L48&gt;J51,L60,J60))</f>
        <v>#N/A</v>
      </c>
      <c r="O46" s="2592" t="s">
        <v>2463</v>
      </c>
      <c r="P46" s="2593" t="s">
        <v>2464</v>
      </c>
      <c r="Q46" s="2594" t="s">
        <v>2462</v>
      </c>
      <c r="R46" s="2594" t="s">
        <v>2465</v>
      </c>
    </row>
    <row r="47" spans="1:18" s="1453" customFormat="1" ht="15.75" thickBot="1">
      <c r="A47" s="2397" t="s">
        <v>2326</v>
      </c>
      <c r="B47" s="2433" t="s">
        <v>2327</v>
      </c>
      <c r="C47" s="2728" t="s">
        <v>2328</v>
      </c>
      <c r="D47" s="2433" t="s">
        <v>2329</v>
      </c>
      <c r="E47" s="2535" t="s">
        <v>2330</v>
      </c>
      <c r="F47" s="2536"/>
      <c r="G47" s="1455"/>
      <c r="I47" s="2551" t="s">
        <v>2413</v>
      </c>
      <c r="J47" s="2552" t="s">
        <v>3116</v>
      </c>
      <c r="K47" s="2561" t="s">
        <v>2436</v>
      </c>
      <c r="L47" s="2562" t="e">
        <f ca="1">INDIRECT("'数据-取费表'!d"&amp;$G$1)</f>
        <v>#N/A</v>
      </c>
      <c r="M47" s="2582" t="str">
        <f>IF(ISNUMBER(FIND("住宅",C1)),"住宅","非住宅")</f>
        <v>非住宅</v>
      </c>
      <c r="O47" s="2585" t="s">
        <v>2448</v>
      </c>
      <c r="P47" s="2595" t="s">
        <v>2466</v>
      </c>
      <c r="Q47" s="2586" t="e">
        <f ca="1">C40+J29</f>
        <v>#N/A</v>
      </c>
      <c r="R47" s="2586" t="s">
        <v>2467</v>
      </c>
    </row>
    <row r="48" spans="1:18" s="1453" customFormat="1" ht="47.25" thickBot="1">
      <c r="A48" s="2709" t="s">
        <v>2616</v>
      </c>
      <c r="B48" s="681" t="s">
        <v>2331</v>
      </c>
      <c r="C48" s="2719" t="e">
        <f ca="1">C49+C53+C55</f>
        <v>#N/A</v>
      </c>
      <c r="D48" s="2713"/>
      <c r="E48" s="2714"/>
      <c r="F48" s="2417"/>
      <c r="G48" s="1455"/>
      <c r="H48" s="1456"/>
      <c r="I48" s="2542" t="s">
        <v>2414</v>
      </c>
      <c r="J48" s="2553" t="s">
        <v>2415</v>
      </c>
      <c r="K48" s="2563" t="s">
        <v>2437</v>
      </c>
      <c r="L48" s="2167" t="e">
        <f ca="1">INDIRECT("'数据-取费表'!f"&amp;$G$1)</f>
        <v>#N/A</v>
      </c>
      <c r="O48" s="2585" t="s">
        <v>2449</v>
      </c>
      <c r="P48" s="2595" t="s">
        <v>2468</v>
      </c>
      <c r="Q48" s="2586" t="e">
        <f ca="1">J60</f>
        <v>#N/A</v>
      </c>
      <c r="R48" s="2586" t="s">
        <v>2476</v>
      </c>
    </row>
    <row r="49" spans="1:18" s="1453" customFormat="1" ht="15.75" thickBot="1">
      <c r="A49" s="2430" t="s">
        <v>2617</v>
      </c>
      <c r="B49" s="2712" t="s">
        <v>2619</v>
      </c>
      <c r="C49" s="2721" t="e">
        <f ca="1">ROUND(F49*F51*F50*(1-F52)/10000,0)</f>
        <v>#N/A</v>
      </c>
      <c r="D49" s="2531" t="s">
        <v>2332</v>
      </c>
      <c r="E49" s="2534" t="s">
        <v>2325</v>
      </c>
      <c r="F49" s="2537"/>
      <c r="G49" s="1457"/>
      <c r="H49" s="1456"/>
      <c r="I49" s="2542" t="s">
        <v>2434</v>
      </c>
      <c r="J49" s="2554">
        <v>2017</v>
      </c>
      <c r="K49" s="2564" t="s">
        <v>2439</v>
      </c>
      <c r="L49" s="2565"/>
      <c r="O49" s="2587" t="s">
        <v>2450</v>
      </c>
      <c r="P49" s="2595" t="s">
        <v>2469</v>
      </c>
      <c r="Q49" s="2586" t="e">
        <f ca="1">C29</f>
        <v>#N/A</v>
      </c>
      <c r="R49" s="2586" t="s">
        <v>2467</v>
      </c>
    </row>
    <row r="50" spans="1:18" s="1453" customFormat="1" ht="15.75" thickBot="1">
      <c r="A50" s="2431"/>
      <c r="B50" s="2434"/>
      <c r="C50" s="2729"/>
      <c r="D50" s="2404"/>
      <c r="E50" s="2532" t="s">
        <v>2333</v>
      </c>
      <c r="F50" s="2533" t="e">
        <f ca="1">F7</f>
        <v>#N/A</v>
      </c>
      <c r="H50" s="1456"/>
      <c r="I50" s="2542" t="s">
        <v>2416</v>
      </c>
      <c r="J50" s="2555">
        <f>SUMPRODUCT((I63:I65=J47)*(J62:L62=J48)*(J63:L65))</f>
        <v>60</v>
      </c>
      <c r="K50" s="2564" t="s">
        <v>2440</v>
      </c>
      <c r="L50" s="2565"/>
      <c r="M50" s="2559"/>
      <c r="O50" s="2587" t="s">
        <v>2451</v>
      </c>
      <c r="P50" s="2595" t="s">
        <v>2477</v>
      </c>
      <c r="Q50" s="2588" t="e">
        <f ca="1">J58</f>
        <v>#N/A</v>
      </c>
      <c r="R50" s="2586"/>
    </row>
    <row r="51" spans="1:18" s="1453" customFormat="1" ht="15.75" thickBot="1">
      <c r="A51" s="2432"/>
      <c r="B51" s="2434"/>
      <c r="C51" s="2435"/>
      <c r="D51" s="2404"/>
      <c r="E51" s="2436" t="s">
        <v>2334</v>
      </c>
      <c r="F51" s="684" t="e">
        <f ca="1">F8</f>
        <v>#N/A</v>
      </c>
      <c r="I51" s="2556" t="s">
        <v>2421</v>
      </c>
      <c r="J51" s="2557">
        <f>IF(J49="",J50,J49+J50-YEAR('数据-取费表'!B2))</f>
        <v>60</v>
      </c>
      <c r="K51" s="2566" t="s">
        <v>2441</v>
      </c>
      <c r="L51" s="2579" t="e">
        <f ca="1">ROUND(-PV(INDIRECT("'数据-取费表'!h"&amp;$G$1),L48,(C39-C13*C76),0),0)</f>
        <v>#N/A</v>
      </c>
      <c r="M51" s="2560"/>
      <c r="O51" s="2587" t="s">
        <v>2452</v>
      </c>
      <c r="P51" s="2595" t="s">
        <v>2478</v>
      </c>
      <c r="Q51" s="2588">
        <f>J52</f>
        <v>0.09</v>
      </c>
      <c r="R51" s="2586"/>
    </row>
    <row r="52" spans="1:18" s="1453" customFormat="1" ht="15.75" thickBot="1">
      <c r="A52" s="2432"/>
      <c r="B52" s="2434"/>
      <c r="C52" s="2435"/>
      <c r="D52" s="2404"/>
      <c r="E52" s="2436" t="s">
        <v>2335</v>
      </c>
      <c r="F52" s="2530"/>
      <c r="I52" s="2558" t="s">
        <v>2444</v>
      </c>
      <c r="J52" s="2572">
        <v>0.09</v>
      </c>
      <c r="K52" s="2558" t="s">
        <v>2429</v>
      </c>
      <c r="L52" s="2572"/>
      <c r="M52" s="2396"/>
      <c r="O52" s="2587" t="s">
        <v>2453</v>
      </c>
      <c r="P52" s="2595" t="s">
        <v>2470</v>
      </c>
      <c r="Q52" s="2586" t="e">
        <f ca="1">J53</f>
        <v>#N/A</v>
      </c>
      <c r="R52" s="2586" t="s">
        <v>2471</v>
      </c>
    </row>
    <row r="53" spans="1:18" s="1453" customFormat="1" ht="43.5" thickBot="1">
      <c r="A53" s="2827" t="s">
        <v>2618</v>
      </c>
      <c r="B53" s="432" t="s">
        <v>2528</v>
      </c>
      <c r="C53" s="697">
        <f ca="1">ROUND(IF(F53="押一",F49*F51*F50/12*F11,IF(F53="押二",F49*F51*F50/12*2*F11,IF(F53="押三",F49*F51*F50/12*3*F11,C54*F11)))/10000,0)</f>
        <v>0</v>
      </c>
      <c r="D53" s="2632" t="s">
        <v>2536</v>
      </c>
      <c r="E53" s="2096" t="s">
        <v>2530</v>
      </c>
      <c r="F53" s="2829"/>
      <c r="I53" s="2568" t="s">
        <v>2446</v>
      </c>
      <c r="J53" s="2569" t="e">
        <f ca="1">IF(M47="住宅",J51,MIN(J51,L48))</f>
        <v>#N/A</v>
      </c>
      <c r="K53" s="36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4"/>
      <c r="O53" s="2585" t="s">
        <v>2454</v>
      </c>
      <c r="P53" s="2595" t="s">
        <v>2472</v>
      </c>
      <c r="Q53" s="2586" t="e">
        <f ca="1">Q47+Q48</f>
        <v>#N/A</v>
      </c>
      <c r="R53" s="2586" t="s">
        <v>2455</v>
      </c>
    </row>
    <row r="54" spans="1:18" s="1453" customFormat="1" ht="16.5" thickBot="1">
      <c r="A54" s="2828"/>
      <c r="B54" s="2622" t="s">
        <v>2695</v>
      </c>
      <c r="C54" s="2414"/>
      <c r="D54" s="2632"/>
      <c r="E54" s="2776"/>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2708"/>
      <c r="F55" s="2538"/>
      <c r="I55" s="3320" t="s">
        <v>2422</v>
      </c>
      <c r="J55" s="3319" t="e">
        <f ca="1">ROUND(IF(J47="钢混",J57/J50,1-(1-2%)*(J50-J57)/J50),3)</f>
        <v>#N/A</v>
      </c>
      <c r="K55" s="2549" t="s">
        <v>2423</v>
      </c>
      <c r="L55" s="2571"/>
      <c r="O55" s="2592" t="s">
        <v>2463</v>
      </c>
      <c r="P55" s="2593" t="s">
        <v>2464</v>
      </c>
      <c r="Q55" s="2594" t="s">
        <v>2462</v>
      </c>
      <c r="R55" s="2594" t="s">
        <v>2465</v>
      </c>
    </row>
    <row r="56" spans="1:18" s="1453" customFormat="1" ht="44.25" thickTop="1" thickBot="1">
      <c r="A56" s="2408">
        <v>2</v>
      </c>
      <c r="B56" s="2409" t="s">
        <v>2336</v>
      </c>
      <c r="C56" s="607" t="e">
        <f ca="1">C13</f>
        <v>#N/A</v>
      </c>
      <c r="D56" s="2696"/>
      <c r="E56" s="2410"/>
      <c r="F56" s="2538"/>
      <c r="I56" s="2541" t="s">
        <v>2424</v>
      </c>
      <c r="J56" s="2570" t="s">
        <v>3070</v>
      </c>
      <c r="K56" s="2542" t="s">
        <v>2428</v>
      </c>
      <c r="L56" s="2167" t="e">
        <f ca="1">IF(L48&lt;J51,"——",L48-J51)</f>
        <v>#N/A</v>
      </c>
      <c r="O56" s="2585" t="s">
        <v>2448</v>
      </c>
      <c r="P56" s="2595" t="s">
        <v>2466</v>
      </c>
      <c r="Q56" s="2586" t="e">
        <f ca="1">C40+J29</f>
        <v>#N/A</v>
      </c>
      <c r="R56" s="2586" t="s">
        <v>2467</v>
      </c>
    </row>
    <row r="57" spans="1:18" s="1453" customFormat="1" ht="29.25" thickBot="1">
      <c r="A57" s="2539"/>
      <c r="B57" s="2401" t="s">
        <v>2366</v>
      </c>
      <c r="C57" s="613" t="e">
        <f ca="1">C29</f>
        <v>#N/A</v>
      </c>
      <c r="D57" s="2412"/>
      <c r="E57" s="2413"/>
      <c r="F57" s="2540"/>
      <c r="I57" s="2543" t="s">
        <v>2445</v>
      </c>
      <c r="J57" s="2547" t="e">
        <f ca="1">IF(OR(M47="住宅",J51&lt;L48,J56="是"),"——",J51-L48)</f>
        <v>#N/A</v>
      </c>
      <c r="K57" s="2542" t="s">
        <v>2900</v>
      </c>
      <c r="L57" s="2167" t="e">
        <f ca="1">IF(L48&lt;J51,"——",IF(L55="比较法",L49,IF(L55="基准地价",L50,L51)))</f>
        <v>#N/A</v>
      </c>
      <c r="O57" s="2585" t="s">
        <v>2449</v>
      </c>
      <c r="P57" s="2595" t="s">
        <v>2473</v>
      </c>
      <c r="Q57" s="2586" t="e">
        <f ca="1">L60</f>
        <v>#N/A</v>
      </c>
      <c r="R57" s="2586" t="s">
        <v>2488</v>
      </c>
    </row>
    <row r="58" spans="1:18" s="1453" customFormat="1" ht="29.25" thickBot="1">
      <c r="A58" s="696" t="s">
        <v>2337</v>
      </c>
      <c r="B58" s="2409" t="s">
        <v>2367</v>
      </c>
      <c r="C58" s="697" t="e">
        <f ca="1">ROUND(C59+C64+C65+C66,0)</f>
        <v>#N/A</v>
      </c>
      <c r="D58" s="2415" t="s">
        <v>2368</v>
      </c>
      <c r="E58" s="2416"/>
      <c r="F58" s="2417"/>
      <c r="I58" s="2543" t="s">
        <v>2425</v>
      </c>
      <c r="J58" s="3321" t="e">
        <f ca="1">IF(J55&lt;0.4,0.4,J55)</f>
        <v>#N/A</v>
      </c>
      <c r="K58" s="2566" t="s">
        <v>2901</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t="e">
        <f ca="1">ROUND(IF(项目基本情况!B11="自然人",C48*F59,C60+C61+C62),1)</f>
        <v>#N/A</v>
      </c>
      <c r="D59" s="2418" t="s">
        <v>2338</v>
      </c>
      <c r="E59" s="2419" t="s">
        <v>2339</v>
      </c>
      <c r="F59" s="707" t="str">
        <f ca="1">IF(项目基本情况!B11="企业","",IF(INDIRECT("'数据-取费表'!c"&amp;$G$1)="住宅",5%,IF(F49*F50*F51/12/(1+'数据-取费表'!C42)&gt;20000,12%,7%)))</f>
        <v/>
      </c>
      <c r="I59" s="2543" t="s">
        <v>2426</v>
      </c>
      <c r="J59" s="2547" t="e">
        <f ca="1">IF(OR(M47="住宅",J51&lt;L48,J56="是"),"——",ROUND(C29*J58,0))</f>
        <v>#N/A</v>
      </c>
      <c r="K59" s="2566" t="s">
        <v>2902</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2340</v>
      </c>
      <c r="C60" s="313" t="e">
        <f ca="1">IF(项目基本情况!B11="自然人","——",ROUND(C48*F60/(1+'数据-取费表'!C42),2))</f>
        <v>#N/A</v>
      </c>
      <c r="D60" s="2419" t="s">
        <v>2341</v>
      </c>
      <c r="E60" s="2401" t="s">
        <v>2342</v>
      </c>
      <c r="F60" s="716">
        <f t="shared" ref="F60:F66" si="0">F32</f>
        <v>5.6000000000000001E-2</v>
      </c>
      <c r="I60" s="2544" t="s">
        <v>2427</v>
      </c>
      <c r="J60" s="2548" t="e">
        <f ca="1">IF(OR(M47="住宅",J51&lt;L48,J56="是"),"0",ROUND(J59/(1+J52)^J53,0))</f>
        <v>#N/A</v>
      </c>
      <c r="K60" s="2550" t="s">
        <v>2430</v>
      </c>
      <c r="L60" s="2548" t="e">
        <f ca="1">IF(OR(M47="住宅",L48&lt;J51),0,ROUND(L57*(L58/L59-1),0))</f>
        <v>#N/A</v>
      </c>
      <c r="O60" s="2587" t="s">
        <v>2452</v>
      </c>
      <c r="P60" s="2595" t="s">
        <v>2482</v>
      </c>
      <c r="Q60" s="2586">
        <f ca="1">L58</f>
        <v>0</v>
      </c>
      <c r="R60" s="2586" t="s">
        <v>2457</v>
      </c>
    </row>
    <row r="61" spans="1:18" s="1453" customFormat="1" ht="20.25" thickBot="1">
      <c r="A61" s="2437" t="s">
        <v>2370</v>
      </c>
      <c r="B61" s="2401" t="s">
        <v>2343</v>
      </c>
      <c r="C61" s="313" t="e">
        <f ca="1">IF(项目基本情况!B11="自然人","——",IF(D61="按租金收入计税",ROUND(C48*F61,2),IF(D61="按房产原值计税",ROUND(C57*F61*0.7,2),INDIRECT("'数据-取费表'!Aj"&amp;$G$1))))</f>
        <v>#N/A</v>
      </c>
      <c r="D61" s="1299" t="s">
        <v>2412</v>
      </c>
      <c r="E61" s="2401" t="s">
        <v>2342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2344</v>
      </c>
      <c r="C62" s="314" t="e">
        <f ca="1">IF(项目基本情况!B11="自然人","——",ROUND(F62*F63/10000,2))</f>
        <v>#N/A</v>
      </c>
      <c r="D62" s="2420" t="s">
        <v>2345</v>
      </c>
      <c r="E62" s="2401" t="s">
        <v>2346</v>
      </c>
      <c r="F62" s="710">
        <f t="shared" si="0"/>
        <v>0</v>
      </c>
      <c r="I62" s="2545" t="s">
        <v>2417</v>
      </c>
      <c r="J62" s="2546" t="s">
        <v>2418</v>
      </c>
      <c r="K62" s="2546" t="s">
        <v>2419</v>
      </c>
      <c r="L62" s="2546" t="s">
        <v>2415</v>
      </c>
      <c r="M62" s="3322" t="s">
        <v>3037</v>
      </c>
      <c r="O62" s="2585" t="s">
        <v>2454</v>
      </c>
      <c r="P62" s="2595" t="s">
        <v>2472</v>
      </c>
      <c r="Q62" s="2586" t="e">
        <f ca="1">Q56+Q57</f>
        <v>#N/A</v>
      </c>
      <c r="R62" s="2586" t="s">
        <v>2455</v>
      </c>
    </row>
    <row r="63" spans="1:18" s="1453" customFormat="1" ht="16.5" thickBot="1">
      <c r="A63" s="711"/>
      <c r="B63" s="2407"/>
      <c r="C63" s="318"/>
      <c r="D63" s="2421"/>
      <c r="E63" s="2401" t="s">
        <v>2347</v>
      </c>
      <c r="F63" s="684" t="e">
        <f t="shared" ca="1" si="0"/>
        <v>#N/A</v>
      </c>
      <c r="I63" s="2545" t="s">
        <v>2431</v>
      </c>
      <c r="J63" s="3325">
        <v>70</v>
      </c>
      <c r="K63" s="3325">
        <v>50</v>
      </c>
      <c r="L63" s="3325">
        <v>80</v>
      </c>
      <c r="M63" s="3323">
        <v>0.02</v>
      </c>
      <c r="O63" s="2589" t="s">
        <v>2486</v>
      </c>
      <c r="P63" s="1294"/>
      <c r="Q63" s="1294"/>
      <c r="R63" s="1294"/>
    </row>
    <row r="64" spans="1:18" s="1453" customFormat="1" ht="15.75" thickBot="1">
      <c r="A64" s="2437" t="s">
        <v>2379</v>
      </c>
      <c r="B64" s="2401" t="s">
        <v>2348</v>
      </c>
      <c r="C64" s="313" t="e">
        <f ca="1">ROUND(C57*F64,1)</f>
        <v>#N/A</v>
      </c>
      <c r="D64" s="2419" t="s">
        <v>2349</v>
      </c>
      <c r="E64" s="2401" t="s">
        <v>2342</v>
      </c>
      <c r="F64" s="713" t="e">
        <f t="shared" ca="1" si="0"/>
        <v>#N/A</v>
      </c>
      <c r="I64" s="2545" t="s">
        <v>2432</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t="e">
        <f ca="1">ROUND(C56*F65,1)</f>
        <v>#N/A</v>
      </c>
      <c r="D65" s="2419" t="s">
        <v>2350</v>
      </c>
      <c r="E65" s="2401" t="s">
        <v>2342</v>
      </c>
      <c r="F65" s="715" t="e">
        <f t="shared" ca="1" si="0"/>
        <v>#N/A</v>
      </c>
      <c r="I65" s="2545" t="s">
        <v>2433</v>
      </c>
      <c r="J65" s="3325">
        <v>40</v>
      </c>
      <c r="K65" s="3325">
        <v>30</v>
      </c>
      <c r="L65" s="3325">
        <v>50</v>
      </c>
      <c r="M65" s="3323">
        <v>0.02</v>
      </c>
      <c r="O65" s="2585" t="s">
        <v>2448</v>
      </c>
      <c r="P65" s="2595" t="s">
        <v>2466</v>
      </c>
      <c r="Q65" s="2586" t="e">
        <f ca="1">C40+J29</f>
        <v>#N/A</v>
      </c>
      <c r="R65" s="2586" t="s">
        <v>2467</v>
      </c>
    </row>
    <row r="66" spans="1:18" s="1453" customFormat="1" ht="20.25" thickBot="1">
      <c r="A66" s="2437" t="s">
        <v>2374</v>
      </c>
      <c r="B66" s="2401" t="s">
        <v>364</v>
      </c>
      <c r="C66" s="313" t="e">
        <f ca="1">ROUND(C48*F66,1)</f>
        <v>#N/A</v>
      </c>
      <c r="D66" s="2419" t="s">
        <v>2351</v>
      </c>
      <c r="E66" s="2401" t="s">
        <v>2342</v>
      </c>
      <c r="F66" s="693" t="e">
        <f t="shared" ca="1" si="0"/>
        <v>#N/A</v>
      </c>
      <c r="O66" s="2585" t="s">
        <v>2449</v>
      </c>
      <c r="P66" s="2595" t="s">
        <v>2473</v>
      </c>
      <c r="Q66" s="2586" t="e">
        <f ca="1">L60</f>
        <v>#N/A</v>
      </c>
      <c r="R66" s="2586" t="s">
        <v>2456</v>
      </c>
    </row>
    <row r="67" spans="1:18" s="1453" customFormat="1" ht="24.75" thickBot="1">
      <c r="A67" s="2408" t="s">
        <v>2352</v>
      </c>
      <c r="B67" s="2422" t="s">
        <v>2353</v>
      </c>
      <c r="C67" s="697" t="e">
        <f ca="1">C48-C58</f>
        <v>#N/A</v>
      </c>
      <c r="D67" s="2418" t="s">
        <v>2354</v>
      </c>
      <c r="E67" s="2423"/>
      <c r="F67" s="2424"/>
      <c r="O67" s="2587" t="s">
        <v>2450</v>
      </c>
      <c r="P67" s="2595" t="s">
        <v>2480</v>
      </c>
      <c r="Q67" s="2590" t="e">
        <f ca="1">L51</f>
        <v>#N/A</v>
      </c>
      <c r="R67" s="2591" t="s">
        <v>2490</v>
      </c>
    </row>
    <row r="68" spans="1:18" s="1453" customFormat="1" ht="20.25" thickBot="1">
      <c r="A68" s="2398" t="s">
        <v>2355</v>
      </c>
      <c r="B68" s="2399" t="s">
        <v>2356</v>
      </c>
      <c r="C68" s="682" t="e">
        <f ca="1">ROUND(C67*(1-((1+F70)/(1+F68))^F69)/(F68-F70),0)</f>
        <v>#N/A</v>
      </c>
      <c r="D68" s="2420" t="s">
        <v>2357</v>
      </c>
      <c r="E68" s="2401" t="s">
        <v>2358</v>
      </c>
      <c r="F68" s="693" t="e">
        <f ca="1">F40</f>
        <v>#N/A</v>
      </c>
      <c r="O68" s="2587" t="s">
        <v>2451</v>
      </c>
      <c r="P68" s="2596" t="s">
        <v>2484</v>
      </c>
      <c r="Q68" s="2586" t="e">
        <f ca="1">ROUND(Q69-Q70*Q71,0)</f>
        <v>#N/A</v>
      </c>
      <c r="R68" s="2586" t="s">
        <v>2489</v>
      </c>
    </row>
    <row r="69" spans="1:18" s="1453" customFormat="1" ht="15.75" thickBot="1">
      <c r="A69" s="2402"/>
      <c r="B69" s="2403"/>
      <c r="C69" s="687"/>
      <c r="D69" s="2425" t="s">
        <v>2359</v>
      </c>
      <c r="E69" s="2401" t="s">
        <v>2360</v>
      </c>
      <c r="F69" s="718" t="e">
        <f ca="1">F41</f>
        <v>#N/A</v>
      </c>
      <c r="O69" s="2587" t="s">
        <v>2459</v>
      </c>
      <c r="P69" s="2596" t="s">
        <v>2474</v>
      </c>
      <c r="Q69" s="2586" t="e">
        <f ca="1">C39</f>
        <v>#N/A</v>
      </c>
      <c r="R69" s="2586" t="s">
        <v>2467</v>
      </c>
    </row>
    <row r="70" spans="1:18" s="1453" customFormat="1" ht="15.75" thickBot="1">
      <c r="A70" s="2405"/>
      <c r="B70" s="2406"/>
      <c r="C70" s="691"/>
      <c r="D70" s="2421"/>
      <c r="E70" s="2401" t="s">
        <v>2361</v>
      </c>
      <c r="F70" s="2530"/>
      <c r="O70" s="2587" t="s">
        <v>2460</v>
      </c>
      <c r="P70" s="2596" t="s">
        <v>2475</v>
      </c>
      <c r="Q70" s="2586" t="e">
        <f ca="1">C13</f>
        <v>#N/A</v>
      </c>
      <c r="R70" s="2586" t="s">
        <v>2467</v>
      </c>
    </row>
    <row r="71" spans="1:18" s="1453" customFormat="1" ht="15.75" thickBot="1">
      <c r="A71" s="2426" t="s">
        <v>2362</v>
      </c>
      <c r="B71" s="2427" t="s">
        <v>2363</v>
      </c>
      <c r="C71" s="721" t="e">
        <f ca="1">ROUND(C68*10000/F71,0)</f>
        <v>#N/A</v>
      </c>
      <c r="D71" s="2428" t="s">
        <v>2364</v>
      </c>
      <c r="E71" s="2429" t="s">
        <v>2365</v>
      </c>
      <c r="F71" s="724" t="e">
        <f ca="1">F43</f>
        <v>#N/A</v>
      </c>
      <c r="I71" s="2396"/>
      <c r="K71" s="2396"/>
      <c r="O71" s="2587" t="s">
        <v>2461</v>
      </c>
      <c r="P71" s="2596" t="s">
        <v>2487</v>
      </c>
      <c r="Q71" s="2588" t="e">
        <f ca="1">C76</f>
        <v>#N/A</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t="e">
        <f ca="1">ROUND(C13*C76,0)</f>
        <v>#N/A</v>
      </c>
      <c r="D75" s="1453"/>
      <c r="E75" s="1453"/>
      <c r="F75" s="1453"/>
      <c r="K75" s="1454"/>
      <c r="L75" s="1453"/>
      <c r="O75" s="2585" t="s">
        <v>2454</v>
      </c>
      <c r="P75" s="2595" t="s">
        <v>2472</v>
      </c>
      <c r="Q75" s="2586" t="e">
        <f ca="1">Q65+Q66</f>
        <v>#N/A</v>
      </c>
      <c r="R75" s="2586" t="s">
        <v>2455</v>
      </c>
    </row>
    <row r="76" spans="1:18">
      <c r="B76" s="730" t="s">
        <v>972</v>
      </c>
      <c r="C76" s="731" t="e">
        <f ca="1">INDIRECT("'数据-取费表'!j"&amp;$G$1)</f>
        <v>#N/A</v>
      </c>
      <c r="I76" s="1453"/>
      <c r="J76" s="1453"/>
      <c r="K76" s="1454"/>
      <c r="L76" s="1453"/>
    </row>
    <row r="77" spans="1:18">
      <c r="B77" s="732" t="s">
        <v>975</v>
      </c>
      <c r="C77" s="733"/>
      <c r="I77" s="1453"/>
      <c r="J77" s="1453"/>
      <c r="K77" s="1454"/>
      <c r="L77" s="1453"/>
    </row>
    <row r="78" spans="1:18">
      <c r="B78" s="645" t="s">
        <v>2696</v>
      </c>
      <c r="C78" s="734"/>
    </row>
    <row r="79" spans="1:18">
      <c r="B79" s="2874" t="s">
        <v>2700</v>
      </c>
      <c r="C79" s="649" t="e">
        <f ca="1">1-C80</f>
        <v>#N/A</v>
      </c>
    </row>
    <row r="80" spans="1:18">
      <c r="B80" s="2874" t="s">
        <v>2699</v>
      </c>
      <c r="C80" s="649" t="e">
        <f ca="1">ROUND(C75/C39,3)</f>
        <v>#N/A</v>
      </c>
    </row>
    <row r="81" spans="2:3">
      <c r="B81" s="645" t="s">
        <v>384</v>
      </c>
      <c r="C81" s="646"/>
    </row>
    <row r="82" spans="2:3">
      <c r="B82" s="2873" t="s">
        <v>2698</v>
      </c>
      <c r="C82" s="650" t="e">
        <f ca="1">1-C83</f>
        <v>#N/A</v>
      </c>
    </row>
    <row r="83" spans="2:3">
      <c r="B83" s="2873" t="s">
        <v>2697</v>
      </c>
      <c r="C83" s="649"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L45" sqref="L45"/>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3074</v>
      </c>
      <c r="E1" s="3108"/>
      <c r="F1" s="3107" t="s">
        <v>3078</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0</v>
      </c>
      <c r="C2" s="3099" t="s">
        <v>527</v>
      </c>
      <c r="D2" s="2722" t="e">
        <f ca="1">SUMIF(INDIRECT("'"&amp;F2&amp;"'"&amp;"!A:A"),"承租人权益价值",INDIRECT("'"&amp;F2&amp;"'"&amp;"!c:c"))</f>
        <v>#REF!</v>
      </c>
      <c r="E2" s="3100" t="s">
        <v>865</v>
      </c>
      <c r="F2" s="3101"/>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171</v>
      </c>
      <c r="B3" s="951">
        <f>IF(C2="——",C49,ROUND(B2*10000/D3,0))</f>
        <v>4.4000000000000004</v>
      </c>
      <c r="C3" s="142" t="s">
        <v>165</v>
      </c>
      <c r="D3" s="741">
        <f>IF(D1="",'数据-汇总表'!E3,SUMIF('数据-汇总表'!$C19:$C33,D1,'数据-汇总表'!$E19:$E33))</f>
        <v>0</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2" t="s">
        <v>54</v>
      </c>
      <c r="D4" s="3623"/>
      <c r="E4" s="3624" t="s">
        <v>55</v>
      </c>
      <c r="F4" s="3625"/>
      <c r="G4" s="3622" t="s">
        <v>56</v>
      </c>
      <c r="H4" s="3623"/>
      <c r="I4" s="3622" t="s">
        <v>57</v>
      </c>
      <c r="J4" s="3623"/>
      <c r="K4" s="187" t="s">
        <v>58</v>
      </c>
      <c r="L4" s="2294"/>
      <c r="M4" s="2295"/>
      <c r="N4" s="2295"/>
      <c r="O4" s="2295"/>
      <c r="P4" s="3626" t="s">
        <v>53</v>
      </c>
      <c r="Q4" s="3627"/>
      <c r="R4" s="3609" t="s">
        <v>55</v>
      </c>
      <c r="S4" s="3610"/>
      <c r="T4" s="3609" t="s">
        <v>56</v>
      </c>
      <c r="U4" s="3610"/>
      <c r="V4" s="3634" t="s">
        <v>57</v>
      </c>
      <c r="W4" s="3634"/>
      <c r="X4" s="3365"/>
      <c r="Y4" s="3609" t="s">
        <v>53</v>
      </c>
      <c r="Z4" s="3610"/>
      <c r="AA4" s="3604" t="s">
        <v>55</v>
      </c>
      <c r="AB4" s="3634" t="s">
        <v>56</v>
      </c>
      <c r="AC4" s="3604" t="s">
        <v>57</v>
      </c>
    </row>
    <row r="5" spans="1:29">
      <c r="A5" s="146"/>
      <c r="B5" s="147"/>
      <c r="C5" s="3615" t="s">
        <v>3079</v>
      </c>
      <c r="D5" s="3616"/>
      <c r="E5" s="3613" t="s">
        <v>3159</v>
      </c>
      <c r="F5" s="3614"/>
      <c r="G5" s="3615" t="s">
        <v>3160</v>
      </c>
      <c r="H5" s="3616"/>
      <c r="I5" s="3615" t="s">
        <v>3163</v>
      </c>
      <c r="J5" s="3616"/>
      <c r="K5" s="187"/>
      <c r="L5" s="2294"/>
      <c r="M5" s="2295"/>
      <c r="N5" s="2295"/>
      <c r="O5" s="2295"/>
      <c r="P5" s="3628"/>
      <c r="Q5" s="3629"/>
      <c r="R5" s="3611"/>
      <c r="S5" s="3612"/>
      <c r="T5" s="3611"/>
      <c r="U5" s="3612"/>
      <c r="V5" s="3634"/>
      <c r="W5" s="3634"/>
      <c r="X5" s="3365"/>
      <c r="Y5" s="3611"/>
      <c r="Z5" s="3612"/>
      <c r="AA5" s="3605"/>
      <c r="AB5" s="3634"/>
      <c r="AC5" s="3605"/>
    </row>
    <row r="6" spans="1:29" ht="14.25" thickBot="1">
      <c r="A6" s="148"/>
      <c r="B6" s="149"/>
      <c r="C6" s="3617" t="s">
        <v>60</v>
      </c>
      <c r="D6" s="3618"/>
      <c r="E6" s="3619" t="s">
        <v>60</v>
      </c>
      <c r="F6" s="3620"/>
      <c r="G6" s="3617" t="s">
        <v>60</v>
      </c>
      <c r="H6" s="3618"/>
      <c r="I6" s="3617" t="s">
        <v>60</v>
      </c>
      <c r="J6" s="3618"/>
      <c r="K6" s="187" t="s">
        <v>114</v>
      </c>
      <c r="L6" s="2294"/>
      <c r="M6" s="2295"/>
      <c r="N6" s="2295"/>
      <c r="O6" s="2295"/>
      <c r="P6" s="3630"/>
      <c r="Q6" s="3631"/>
      <c r="R6" s="3611"/>
      <c r="S6" s="3612"/>
      <c r="T6" s="3632"/>
      <c r="U6" s="3633"/>
      <c r="V6" s="3634"/>
      <c r="W6" s="3634"/>
      <c r="X6" s="3365"/>
      <c r="Y6" s="3632"/>
      <c r="Z6" s="3633"/>
      <c r="AA6" s="3606"/>
      <c r="AB6" s="3634"/>
      <c r="AC6" s="3606"/>
    </row>
    <row r="7" spans="1:29" s="40" customFormat="1" ht="15" thickBot="1">
      <c r="A7" s="1012" t="s">
        <v>61</v>
      </c>
      <c r="B7" s="1013"/>
      <c r="C7" s="1014">
        <f>'数据-取费表'!B2</f>
        <v>43003</v>
      </c>
      <c r="D7" s="753">
        <v>100</v>
      </c>
      <c r="E7" s="1015">
        <v>43003</v>
      </c>
      <c r="F7" s="755">
        <f>SUMIF(58:58,YEAR(E7)&amp;"-"&amp;MONTH(E7),59:59)</f>
        <v>100</v>
      </c>
      <c r="G7" s="1015">
        <v>43003</v>
      </c>
      <c r="H7" s="753">
        <f>SUMIF(58:58,YEAR(G7)&amp;"-"&amp;MONTH(G7),59:59)</f>
        <v>100</v>
      </c>
      <c r="I7" s="1015">
        <v>43003</v>
      </c>
      <c r="J7" s="753">
        <f>SUMIF(58:58,YEAR(I7)&amp;"-"&amp;MONTH(I7),59:59)</f>
        <v>100</v>
      </c>
      <c r="K7" s="1017"/>
      <c r="L7" s="2296"/>
      <c r="M7" s="2258"/>
      <c r="N7" s="2258"/>
      <c r="O7" s="2258"/>
      <c r="P7" s="3607" t="s">
        <v>61</v>
      </c>
      <c r="Q7" s="3635"/>
      <c r="R7" s="1340" t="s">
        <v>62</v>
      </c>
      <c r="S7" s="1341">
        <f t="shared" ref="S7:S15" si="0">F7</f>
        <v>100</v>
      </c>
      <c r="T7" s="1340" t="s">
        <v>62</v>
      </c>
      <c r="U7" s="1341">
        <f t="shared" ref="U7:U15" si="1">H7</f>
        <v>100</v>
      </c>
      <c r="V7" s="1340" t="s">
        <v>62</v>
      </c>
      <c r="W7" s="1341">
        <f t="shared" ref="W7:W15" si="2">J7</f>
        <v>100</v>
      </c>
      <c r="X7" s="287"/>
      <c r="Y7" s="3607" t="s">
        <v>61</v>
      </c>
      <c r="Z7" s="3608"/>
      <c r="AA7" s="1342">
        <f>D7/F7</f>
        <v>1</v>
      </c>
      <c r="AB7" s="1342">
        <f>D7/H7</f>
        <v>1</v>
      </c>
      <c r="AC7" s="1342">
        <f>D7/J7</f>
        <v>1</v>
      </c>
    </row>
    <row r="8" spans="1:29" s="40" customFormat="1" ht="15" thickBot="1">
      <c r="A8" s="1012" t="s">
        <v>63</v>
      </c>
      <c r="B8" s="1013"/>
      <c r="C8" s="1018" t="s">
        <v>113</v>
      </c>
      <c r="D8" s="753">
        <v>100</v>
      </c>
      <c r="E8" s="1018" t="s">
        <v>152</v>
      </c>
      <c r="F8" s="755">
        <f>SUMIF(61:61,E8,62:62)-SUMIF(61:61,C8,62:62)+100</f>
        <v>100</v>
      </c>
      <c r="G8" s="1018" t="s">
        <v>152</v>
      </c>
      <c r="H8" s="753">
        <f>SUMIF(61:61,G8,62:62)-SUMIF(61:61,C8,62:62)+100</f>
        <v>100</v>
      </c>
      <c r="I8" s="1018" t="s">
        <v>152</v>
      </c>
      <c r="J8" s="753">
        <f>SUMIF(61:61,I8,62:62)-SUMIF(61:61,C8,62:62)+100</f>
        <v>100</v>
      </c>
      <c r="K8" s="1017"/>
      <c r="L8" s="2296"/>
      <c r="M8" s="2258"/>
      <c r="N8" s="2258"/>
      <c r="O8" s="2258"/>
      <c r="P8" s="3607" t="s">
        <v>1018</v>
      </c>
      <c r="Q8" s="3608"/>
      <c r="R8" s="1340" t="s">
        <v>62</v>
      </c>
      <c r="S8" s="1341">
        <f t="shared" si="0"/>
        <v>100</v>
      </c>
      <c r="T8" s="1340" t="s">
        <v>62</v>
      </c>
      <c r="U8" s="1341">
        <f t="shared" si="1"/>
        <v>100</v>
      </c>
      <c r="V8" s="1340" t="s">
        <v>62</v>
      </c>
      <c r="W8" s="1341">
        <f t="shared" si="2"/>
        <v>100</v>
      </c>
      <c r="X8" s="287"/>
      <c r="Y8" s="3607" t="s">
        <v>1018</v>
      </c>
      <c r="Z8" s="3608"/>
      <c r="AA8" s="1342">
        <f t="shared" ref="AA8:AA46" si="3">D8/F8</f>
        <v>1</v>
      </c>
      <c r="AB8" s="1342">
        <f t="shared" ref="AB8:AB46" si="4">D8/H8</f>
        <v>1</v>
      </c>
      <c r="AC8" s="1342">
        <f t="shared" ref="AC8:AC46" si="5">D8/J8</f>
        <v>1</v>
      </c>
    </row>
    <row r="9" spans="1:29" s="40" customFormat="1" ht="14.25">
      <c r="A9" s="1019" t="s">
        <v>1019</v>
      </c>
      <c r="B9" s="62" t="s">
        <v>998</v>
      </c>
      <c r="C9" s="1344" t="s">
        <v>3125</v>
      </c>
      <c r="D9" s="424">
        <v>100</v>
      </c>
      <c r="E9" s="1345" t="s">
        <v>3043</v>
      </c>
      <c r="F9" s="760">
        <f>SUMIF(63:63,E9,64:64)-SUMIF(63:63,C9,64:64)+100</f>
        <v>100</v>
      </c>
      <c r="G9" s="1345" t="s">
        <v>3043</v>
      </c>
      <c r="H9" s="424">
        <f>SUMIF(63:63,G9,64:64)-SUMIF(63:63,C9,64:64)+100</f>
        <v>100</v>
      </c>
      <c r="I9" s="1345" t="s">
        <v>3043</v>
      </c>
      <c r="J9" s="424">
        <f>SUMIF(63:63,I9,64:64)-SUMIF(63:63,C9,64:64)+100</f>
        <v>100</v>
      </c>
      <c r="K9" s="1017"/>
      <c r="L9" s="2296"/>
      <c r="M9" s="2258"/>
      <c r="N9" s="2258"/>
      <c r="O9" s="2258"/>
      <c r="P9" s="3621" t="s">
        <v>64</v>
      </c>
      <c r="Q9" s="3359" t="str">
        <f t="shared" ref="Q9:Q15" si="6">B9</f>
        <v>用途</v>
      </c>
      <c r="R9" s="1340" t="s">
        <v>62</v>
      </c>
      <c r="S9" s="1341">
        <f t="shared" si="0"/>
        <v>100</v>
      </c>
      <c r="T9" s="1340" t="s">
        <v>62</v>
      </c>
      <c r="U9" s="1341">
        <f t="shared" si="1"/>
        <v>100</v>
      </c>
      <c r="V9" s="1340" t="s">
        <v>62</v>
      </c>
      <c r="W9" s="1341">
        <f t="shared" si="2"/>
        <v>100</v>
      </c>
      <c r="X9" s="287"/>
      <c r="Y9" s="3450" t="s">
        <v>64</v>
      </c>
      <c r="Z9" s="3360" t="str">
        <f t="shared" ref="Z9:Z15" si="7">Q9</f>
        <v>用途</v>
      </c>
      <c r="AA9" s="1342">
        <f t="shared" si="3"/>
        <v>1</v>
      </c>
      <c r="AB9" s="1342">
        <f t="shared" si="4"/>
        <v>1</v>
      </c>
      <c r="AC9" s="1342">
        <f t="shared" si="5"/>
        <v>1</v>
      </c>
    </row>
    <row r="10" spans="1:29" s="92" customFormat="1" ht="27.75" thickBot="1">
      <c r="A10" s="150"/>
      <c r="B10" s="3361" t="s">
        <v>103</v>
      </c>
      <c r="C10" s="1347" t="s">
        <v>3081</v>
      </c>
      <c r="D10" s="425">
        <v>100</v>
      </c>
      <c r="E10" s="1348" t="s">
        <v>3081</v>
      </c>
      <c r="F10" s="767">
        <f>SUMIF(65:65,E10,66:66)-SUMIF(65:65,C10,66:66)+100</f>
        <v>100</v>
      </c>
      <c r="G10" s="1347" t="s">
        <v>3081</v>
      </c>
      <c r="H10" s="425">
        <f>SUMIF(65:65,G10,66:66)-SUMIF(65:65,C10,66:66)+100</f>
        <v>100</v>
      </c>
      <c r="I10" s="1347" t="s">
        <v>3081</v>
      </c>
      <c r="J10" s="425">
        <f>SUMIF(65:65,I10,66:66)-SUMIF(65:65,C10,66:66)+100</f>
        <v>100</v>
      </c>
      <c r="K10" s="954">
        <v>2</v>
      </c>
      <c r="L10" s="2297"/>
      <c r="M10" s="2298"/>
      <c r="N10" s="2298"/>
      <c r="O10" s="2298"/>
      <c r="P10" s="3621"/>
      <c r="Q10" s="3359" t="str">
        <f t="shared" si="6"/>
        <v>土地使用年限（年）</v>
      </c>
      <c r="R10" s="1340" t="s">
        <v>62</v>
      </c>
      <c r="S10" s="1341">
        <f t="shared" si="0"/>
        <v>100</v>
      </c>
      <c r="T10" s="1340" t="s">
        <v>62</v>
      </c>
      <c r="U10" s="1341">
        <f t="shared" si="1"/>
        <v>100</v>
      </c>
      <c r="V10" s="1340" t="s">
        <v>62</v>
      </c>
      <c r="W10" s="1341">
        <f t="shared" si="2"/>
        <v>100</v>
      </c>
      <c r="X10" s="287"/>
      <c r="Y10" s="3450"/>
      <c r="Z10" s="3360" t="str">
        <f t="shared" si="7"/>
        <v>土地使用年限（年）</v>
      </c>
      <c r="AA10" s="1342">
        <f t="shared" si="3"/>
        <v>1</v>
      </c>
      <c r="AB10" s="1342">
        <f t="shared" si="4"/>
        <v>1</v>
      </c>
      <c r="AC10" s="1342">
        <f t="shared" si="5"/>
        <v>1</v>
      </c>
    </row>
    <row r="11" spans="1:29" ht="15.75" hidden="1" thickBot="1">
      <c r="A11" s="151"/>
      <c r="B11" s="3361" t="s">
        <v>90</v>
      </c>
      <c r="C11" s="771">
        <v>3.5</v>
      </c>
      <c r="D11" s="425">
        <v>100</v>
      </c>
      <c r="E11" s="772">
        <v>4.37</v>
      </c>
      <c r="F11" s="767">
        <f>LOOKUP(E11,68:68,69:69)-LOOKUP(C11,68:68,69:69)+100</f>
        <v>100</v>
      </c>
      <c r="G11" s="771">
        <v>3.99</v>
      </c>
      <c r="H11" s="425">
        <f>LOOKUP(G11,68:68,69:69)-LOOKUP(C11,68:68,69:69)+100</f>
        <v>100</v>
      </c>
      <c r="I11" s="771">
        <v>3.5</v>
      </c>
      <c r="J11" s="425">
        <f>LOOKUP(I11,68:68,69:69)-LOOKUP(C11,68:68,69:69)+100</f>
        <v>100</v>
      </c>
      <c r="K11" s="954"/>
      <c r="L11" s="2299"/>
      <c r="M11" s="2295"/>
      <c r="N11" s="2295"/>
      <c r="O11" s="2295"/>
      <c r="P11" s="3621"/>
      <c r="Q11" s="3359" t="str">
        <f t="shared" si="6"/>
        <v>容积率</v>
      </c>
      <c r="R11" s="1340" t="s">
        <v>62</v>
      </c>
      <c r="S11" s="1341">
        <f t="shared" si="0"/>
        <v>100</v>
      </c>
      <c r="T11" s="1340" t="s">
        <v>62</v>
      </c>
      <c r="U11" s="1341">
        <f t="shared" si="1"/>
        <v>100</v>
      </c>
      <c r="V11" s="1340" t="s">
        <v>62</v>
      </c>
      <c r="W11" s="1341">
        <f t="shared" si="2"/>
        <v>100</v>
      </c>
      <c r="X11" s="287"/>
      <c r="Y11" s="3450"/>
      <c r="Z11" s="3360" t="str">
        <f t="shared" si="7"/>
        <v>容积率</v>
      </c>
      <c r="AA11" s="1342">
        <f t="shared" si="3"/>
        <v>1</v>
      </c>
      <c r="AB11" s="1342">
        <f t="shared" si="4"/>
        <v>1</v>
      </c>
      <c r="AC11" s="1342">
        <f t="shared" si="5"/>
        <v>1</v>
      </c>
    </row>
    <row r="12" spans="1:29" s="40" customFormat="1" ht="15" hidden="1" thickBot="1">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21"/>
      <c r="Q12" s="3359">
        <f t="shared" si="6"/>
        <v>111</v>
      </c>
      <c r="R12" s="1340" t="s">
        <v>62</v>
      </c>
      <c r="S12" s="1341">
        <f t="shared" si="0"/>
        <v>100</v>
      </c>
      <c r="T12" s="1340" t="s">
        <v>62</v>
      </c>
      <c r="U12" s="1341">
        <f t="shared" si="1"/>
        <v>100</v>
      </c>
      <c r="V12" s="1340" t="s">
        <v>62</v>
      </c>
      <c r="W12" s="1341">
        <f t="shared" si="2"/>
        <v>100</v>
      </c>
      <c r="X12" s="287"/>
      <c r="Y12" s="3450"/>
      <c r="Z12" s="3360">
        <f t="shared" si="7"/>
        <v>111</v>
      </c>
      <c r="AA12" s="1342">
        <f>D12/F12</f>
        <v>1</v>
      </c>
      <c r="AB12" s="1342">
        <f>D12/H12</f>
        <v>1</v>
      </c>
      <c r="AC12" s="1342">
        <f>D12/J12</f>
        <v>1</v>
      </c>
    </row>
    <row r="13" spans="1:29" ht="15" hidden="1" thickBot="1">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21"/>
      <c r="Q13" s="3359">
        <f t="shared" si="6"/>
        <v>111</v>
      </c>
      <c r="R13" s="1340" t="s">
        <v>62</v>
      </c>
      <c r="S13" s="1341">
        <f t="shared" si="0"/>
        <v>100</v>
      </c>
      <c r="T13" s="1340" t="s">
        <v>62</v>
      </c>
      <c r="U13" s="1341">
        <f t="shared" si="1"/>
        <v>100</v>
      </c>
      <c r="V13" s="1340" t="s">
        <v>62</v>
      </c>
      <c r="W13" s="1341">
        <f t="shared" si="2"/>
        <v>100</v>
      </c>
      <c r="X13" s="287"/>
      <c r="Y13" s="3450"/>
      <c r="Z13" s="3360">
        <f t="shared" si="7"/>
        <v>111</v>
      </c>
      <c r="AA13" s="1342">
        <f t="shared" si="3"/>
        <v>1</v>
      </c>
      <c r="AB13" s="1342">
        <f t="shared" si="4"/>
        <v>1</v>
      </c>
      <c r="AC13" s="1342">
        <f t="shared" si="5"/>
        <v>1</v>
      </c>
    </row>
    <row r="14" spans="1:29" ht="15" hidden="1"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21"/>
      <c r="Q14" s="3359">
        <f t="shared" si="6"/>
        <v>111</v>
      </c>
      <c r="R14" s="1340" t="s">
        <v>62</v>
      </c>
      <c r="S14" s="1341">
        <f t="shared" si="0"/>
        <v>100</v>
      </c>
      <c r="T14" s="1340" t="s">
        <v>62</v>
      </c>
      <c r="U14" s="1341">
        <f t="shared" si="1"/>
        <v>100</v>
      </c>
      <c r="V14" s="1340" t="s">
        <v>62</v>
      </c>
      <c r="W14" s="1341">
        <f t="shared" si="2"/>
        <v>100</v>
      </c>
      <c r="X14" s="287"/>
      <c r="Y14" s="3450"/>
      <c r="Z14" s="3360">
        <f t="shared" si="7"/>
        <v>111</v>
      </c>
      <c r="AA14" s="1342">
        <f t="shared" si="3"/>
        <v>1</v>
      </c>
      <c r="AB14" s="1342">
        <f t="shared" si="4"/>
        <v>1</v>
      </c>
      <c r="AC14" s="1342">
        <f t="shared" si="5"/>
        <v>1</v>
      </c>
    </row>
    <row r="15" spans="1:29" ht="67.5">
      <c r="A15" s="155" t="s">
        <v>66</v>
      </c>
      <c r="B15" s="58" t="s">
        <v>127</v>
      </c>
      <c r="C15" s="157" t="str">
        <f>估价对象房地状况!C4</f>
        <v>估价对象位于开发区，周边商业氛围一般，人流量一般，商业繁华度一般</v>
      </c>
      <c r="D15" s="783">
        <v>100</v>
      </c>
      <c r="E15" s="95"/>
      <c r="F15" s="785">
        <f>SUMIF(76:76,E16,77:77)-SUMIF(76:76,C16,77:77)+100</f>
        <v>100</v>
      </c>
      <c r="G15" s="96"/>
      <c r="H15" s="783">
        <f>SUMIF(76:76,G16,77:77)-SUMIF(76:76,C16,77:77)+100</f>
        <v>100</v>
      </c>
      <c r="I15" s="95"/>
      <c r="J15" s="783">
        <f>SUMIF(76:76,I16,77:77)-SUMIF(76:76,C16,77:77)+100</f>
        <v>100</v>
      </c>
      <c r="K15" s="956">
        <v>2</v>
      </c>
      <c r="L15" s="2300"/>
      <c r="M15" s="2295"/>
      <c r="N15" s="2295"/>
      <c r="O15" s="2295"/>
      <c r="P15" s="3648" t="s">
        <v>66</v>
      </c>
      <c r="Q15" s="3363" t="str">
        <f t="shared" si="6"/>
        <v>商业繁华度</v>
      </c>
      <c r="R15" s="1350" t="s">
        <v>62</v>
      </c>
      <c r="S15" s="1351">
        <f t="shared" si="0"/>
        <v>100</v>
      </c>
      <c r="T15" s="1350" t="s">
        <v>62</v>
      </c>
      <c r="U15" s="1351">
        <f t="shared" si="1"/>
        <v>100</v>
      </c>
      <c r="V15" s="1350" t="s">
        <v>62</v>
      </c>
      <c r="W15" s="1351">
        <f t="shared" si="2"/>
        <v>100</v>
      </c>
      <c r="X15" s="3365"/>
      <c r="Y15" s="3641" t="s">
        <v>66</v>
      </c>
      <c r="Z15" s="3366" t="str">
        <f t="shared" si="7"/>
        <v>商业繁华度</v>
      </c>
      <c r="AA15" s="3364">
        <f t="shared" si="3"/>
        <v>1</v>
      </c>
      <c r="AB15" s="3364">
        <f t="shared" si="4"/>
        <v>1</v>
      </c>
      <c r="AC15" s="3364">
        <f t="shared" si="5"/>
        <v>1</v>
      </c>
    </row>
    <row r="16" spans="1:29" ht="14.25">
      <c r="A16" s="151"/>
      <c r="B16" s="156"/>
      <c r="C16" s="97" t="s">
        <v>3082</v>
      </c>
      <c r="D16" s="790"/>
      <c r="E16" s="97" t="s">
        <v>3082</v>
      </c>
      <c r="F16" s="791"/>
      <c r="G16" s="97" t="s">
        <v>3082</v>
      </c>
      <c r="H16" s="792"/>
      <c r="I16" s="97" t="s">
        <v>3082</v>
      </c>
      <c r="J16" s="790"/>
      <c r="K16" s="189"/>
      <c r="L16" s="2300"/>
      <c r="M16" s="2295"/>
      <c r="N16" s="2295"/>
      <c r="O16" s="2295"/>
      <c r="P16" s="3649"/>
      <c r="Q16" s="3363"/>
      <c r="R16" s="1350"/>
      <c r="S16" s="1351"/>
      <c r="T16" s="1350"/>
      <c r="U16" s="1351"/>
      <c r="V16" s="1350"/>
      <c r="W16" s="1351"/>
      <c r="X16" s="3365"/>
      <c r="Y16" s="3642"/>
      <c r="Z16" s="3366"/>
      <c r="AA16" s="3364">
        <v>1</v>
      </c>
      <c r="AB16" s="3364">
        <v>1</v>
      </c>
      <c r="AC16" s="3364">
        <v>1</v>
      </c>
    </row>
    <row r="17" spans="1:29" ht="81">
      <c r="A17" s="151"/>
      <c r="B17" s="1354" t="s">
        <v>69</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2</v>
      </c>
      <c r="L17" s="2300"/>
      <c r="M17" s="2295"/>
      <c r="N17" s="2295"/>
      <c r="O17" s="2295"/>
      <c r="P17" s="3649"/>
      <c r="Q17" s="3363" t="str">
        <f>B17</f>
        <v>交通便捷度</v>
      </c>
      <c r="R17" s="1350" t="s">
        <v>62</v>
      </c>
      <c r="S17" s="1351">
        <f>F17</f>
        <v>100</v>
      </c>
      <c r="T17" s="1350" t="s">
        <v>62</v>
      </c>
      <c r="U17" s="1351">
        <f>H17</f>
        <v>100</v>
      </c>
      <c r="V17" s="1350" t="s">
        <v>62</v>
      </c>
      <c r="W17" s="1351">
        <f>J17</f>
        <v>100</v>
      </c>
      <c r="X17" s="3365"/>
      <c r="Y17" s="3642"/>
      <c r="Z17" s="3366" t="str">
        <f>Q17</f>
        <v>交通便捷度</v>
      </c>
      <c r="AA17" s="3364">
        <f t="shared" si="3"/>
        <v>1</v>
      </c>
      <c r="AB17" s="3364">
        <f t="shared" si="4"/>
        <v>1</v>
      </c>
      <c r="AC17" s="3364">
        <f t="shared" si="5"/>
        <v>1</v>
      </c>
    </row>
    <row r="18" spans="1:29" ht="14.25">
      <c r="A18" s="151"/>
      <c r="B18" s="1038"/>
      <c r="C18" s="102" t="s">
        <v>3082</v>
      </c>
      <c r="D18" s="792"/>
      <c r="E18" s="103" t="s">
        <v>3082</v>
      </c>
      <c r="F18" s="795"/>
      <c r="G18" s="104" t="s">
        <v>3082</v>
      </c>
      <c r="H18" s="790"/>
      <c r="I18" s="103" t="s">
        <v>3082</v>
      </c>
      <c r="J18" s="790"/>
      <c r="K18" s="189"/>
      <c r="L18" s="2300"/>
      <c r="M18" s="2295"/>
      <c r="N18" s="2295"/>
      <c r="O18" s="2295"/>
      <c r="P18" s="3649"/>
      <c r="Q18" s="3363"/>
      <c r="R18" s="1350"/>
      <c r="S18" s="1351"/>
      <c r="T18" s="1350"/>
      <c r="U18" s="1351"/>
      <c r="V18" s="1350"/>
      <c r="W18" s="1351"/>
      <c r="X18" s="3365"/>
      <c r="Y18" s="3642"/>
      <c r="Z18" s="3366"/>
      <c r="AA18" s="3364">
        <v>1</v>
      </c>
      <c r="AB18" s="3364">
        <v>1</v>
      </c>
      <c r="AC18" s="3364">
        <v>1</v>
      </c>
    </row>
    <row r="19" spans="1:29" ht="40.5">
      <c r="A19" s="151"/>
      <c r="B19" s="1354" t="s">
        <v>2650</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2</v>
      </c>
      <c r="L19" s="2300"/>
      <c r="M19" s="2295"/>
      <c r="N19" s="2295"/>
      <c r="O19" s="2295"/>
      <c r="P19" s="3649"/>
      <c r="Q19" s="3363" t="str">
        <f>B19</f>
        <v>公共配套设施</v>
      </c>
      <c r="R19" s="1350" t="s">
        <v>62</v>
      </c>
      <c r="S19" s="1351">
        <f>F19</f>
        <v>100</v>
      </c>
      <c r="T19" s="1350" t="s">
        <v>62</v>
      </c>
      <c r="U19" s="1351">
        <f>H19</f>
        <v>100</v>
      </c>
      <c r="V19" s="1350" t="s">
        <v>62</v>
      </c>
      <c r="W19" s="1351">
        <f>J19</f>
        <v>100</v>
      </c>
      <c r="X19" s="3365"/>
      <c r="Y19" s="3642"/>
      <c r="Z19" s="3366" t="str">
        <f>Q19</f>
        <v>公共配套设施</v>
      </c>
      <c r="AA19" s="3364">
        <f t="shared" si="3"/>
        <v>1</v>
      </c>
      <c r="AB19" s="3364">
        <f t="shared" si="4"/>
        <v>1</v>
      </c>
      <c r="AC19" s="3364">
        <f t="shared" si="5"/>
        <v>1</v>
      </c>
    </row>
    <row r="20" spans="1:29" ht="14.25">
      <c r="A20" s="151"/>
      <c r="B20" s="1038"/>
      <c r="C20" s="97" t="s">
        <v>3082</v>
      </c>
      <c r="D20" s="790"/>
      <c r="E20" s="98" t="s">
        <v>3082</v>
      </c>
      <c r="F20" s="791"/>
      <c r="G20" s="99" t="s">
        <v>3082</v>
      </c>
      <c r="H20" s="790"/>
      <c r="I20" s="98" t="s">
        <v>3082</v>
      </c>
      <c r="J20" s="790"/>
      <c r="K20" s="189"/>
      <c r="L20" s="2300"/>
      <c r="M20" s="2295"/>
      <c r="N20" s="2295"/>
      <c r="O20" s="2295"/>
      <c r="P20" s="3649"/>
      <c r="Q20" s="3363"/>
      <c r="R20" s="1350"/>
      <c r="S20" s="1351"/>
      <c r="T20" s="1350"/>
      <c r="U20" s="1351"/>
      <c r="V20" s="1350"/>
      <c r="W20" s="1351"/>
      <c r="X20" s="3365"/>
      <c r="Y20" s="3642"/>
      <c r="Z20" s="3366"/>
      <c r="AA20" s="3364">
        <v>1</v>
      </c>
      <c r="AB20" s="3364">
        <v>1</v>
      </c>
      <c r="AC20" s="3364">
        <v>1</v>
      </c>
    </row>
    <row r="21" spans="1:29" ht="27">
      <c r="A21" s="151"/>
      <c r="B21" s="1410" t="s">
        <v>2651</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1</v>
      </c>
      <c r="L21" s="2300"/>
      <c r="M21" s="2295"/>
      <c r="N21" s="2295"/>
      <c r="O21" s="2295"/>
      <c r="P21" s="3649"/>
      <c r="Q21" s="3363" t="str">
        <f>B21</f>
        <v>基础设施水平</v>
      </c>
      <c r="R21" s="1350" t="s">
        <v>62</v>
      </c>
      <c r="S21" s="1351">
        <f>F21</f>
        <v>100</v>
      </c>
      <c r="T21" s="1350" t="s">
        <v>62</v>
      </c>
      <c r="U21" s="1351">
        <f>H21</f>
        <v>100</v>
      </c>
      <c r="V21" s="1350" t="s">
        <v>62</v>
      </c>
      <c r="W21" s="1351">
        <f>J21</f>
        <v>100</v>
      </c>
      <c r="X21" s="3365"/>
      <c r="Y21" s="3642"/>
      <c r="Z21" s="3366" t="str">
        <f>Q21</f>
        <v>基础设施水平</v>
      </c>
      <c r="AA21" s="3364">
        <f t="shared" ref="AA21" si="8">D21/F21</f>
        <v>1</v>
      </c>
      <c r="AB21" s="3364">
        <f t="shared" ref="AB21" si="9">D21/H21</f>
        <v>1</v>
      </c>
      <c r="AC21" s="3364">
        <f t="shared" ref="AC21" si="10">D21/J21</f>
        <v>1</v>
      </c>
    </row>
    <row r="22" spans="1:29" ht="14.25">
      <c r="A22" s="151"/>
      <c r="B22" s="1410"/>
      <c r="C22" s="102" t="s">
        <v>3083</v>
      </c>
      <c r="D22" s="790"/>
      <c r="E22" s="97" t="s">
        <v>3083</v>
      </c>
      <c r="F22" s="791"/>
      <c r="G22" s="97" t="s">
        <v>3083</v>
      </c>
      <c r="H22" s="790"/>
      <c r="I22" s="97" t="s">
        <v>3083</v>
      </c>
      <c r="J22" s="790"/>
      <c r="K22" s="2764"/>
      <c r="L22" s="2300"/>
      <c r="M22" s="2295"/>
      <c r="N22" s="2295"/>
      <c r="O22" s="2295"/>
      <c r="P22" s="3649"/>
      <c r="Q22" s="3363"/>
      <c r="R22" s="1350"/>
      <c r="S22" s="1351"/>
      <c r="T22" s="1350"/>
      <c r="U22" s="1351"/>
      <c r="V22" s="1350"/>
      <c r="W22" s="1351"/>
      <c r="X22" s="3365"/>
      <c r="Y22" s="3642"/>
      <c r="Z22" s="3366"/>
      <c r="AA22" s="3364">
        <v>1</v>
      </c>
      <c r="AB22" s="3364">
        <v>1</v>
      </c>
      <c r="AC22" s="3364">
        <v>1</v>
      </c>
    </row>
    <row r="23" spans="1:29" ht="54">
      <c r="A23" s="151"/>
      <c r="B23" s="1354" t="s">
        <v>70</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0"/>
      <c r="M23" s="2295"/>
      <c r="N23" s="2295"/>
      <c r="O23" s="2295"/>
      <c r="P23" s="3649"/>
      <c r="Q23" s="3363" t="str">
        <f>B23</f>
        <v>自然及人文环境</v>
      </c>
      <c r="R23" s="1350" t="s">
        <v>62</v>
      </c>
      <c r="S23" s="1351">
        <f>F23</f>
        <v>100</v>
      </c>
      <c r="T23" s="1350" t="s">
        <v>62</v>
      </c>
      <c r="U23" s="1351">
        <f>H23</f>
        <v>100</v>
      </c>
      <c r="V23" s="1350" t="s">
        <v>62</v>
      </c>
      <c r="W23" s="1351">
        <f>J23</f>
        <v>100</v>
      </c>
      <c r="X23" s="3365"/>
      <c r="Y23" s="3642"/>
      <c r="Z23" s="3366" t="str">
        <f>Q23</f>
        <v>自然及人文环境</v>
      </c>
      <c r="AA23" s="3364">
        <f t="shared" si="3"/>
        <v>1</v>
      </c>
      <c r="AB23" s="3364">
        <f t="shared" si="4"/>
        <v>1</v>
      </c>
      <c r="AC23" s="3364">
        <f t="shared" si="5"/>
        <v>1</v>
      </c>
    </row>
    <row r="24" spans="1:29" ht="14.25">
      <c r="A24" s="151"/>
      <c r="B24" s="1038"/>
      <c r="C24" s="97" t="s">
        <v>3082</v>
      </c>
      <c r="D24" s="790"/>
      <c r="E24" s="98" t="s">
        <v>3082</v>
      </c>
      <c r="F24" s="791"/>
      <c r="G24" s="99" t="s">
        <v>3082</v>
      </c>
      <c r="H24" s="790"/>
      <c r="I24" s="98" t="s">
        <v>3082</v>
      </c>
      <c r="J24" s="790"/>
      <c r="K24" s="189"/>
      <c r="L24" s="2300"/>
      <c r="M24" s="2295"/>
      <c r="N24" s="2295"/>
      <c r="O24" s="2295"/>
      <c r="P24" s="3649"/>
      <c r="Q24" s="3363"/>
      <c r="R24" s="1350"/>
      <c r="S24" s="1351"/>
      <c r="T24" s="1350"/>
      <c r="U24" s="1351"/>
      <c r="V24" s="1350"/>
      <c r="W24" s="1351"/>
      <c r="X24" s="3365"/>
      <c r="Y24" s="3642"/>
      <c r="Z24" s="3366"/>
      <c r="AA24" s="3364">
        <v>1</v>
      </c>
      <c r="AB24" s="3364">
        <v>1</v>
      </c>
      <c r="AC24" s="3364">
        <v>1</v>
      </c>
    </row>
    <row r="25" spans="1:29" ht="15">
      <c r="A25" s="151"/>
      <c r="B25" s="3361" t="s">
        <v>128</v>
      </c>
      <c r="C25" s="182" t="s">
        <v>3085</v>
      </c>
      <c r="D25" s="777">
        <v>100</v>
      </c>
      <c r="E25" s="182" t="s">
        <v>3085</v>
      </c>
      <c r="F25" s="803">
        <f>SUMIF(86:86,E25,87:87)-SUMIF(86:86,C25,87:87)+100</f>
        <v>100</v>
      </c>
      <c r="G25" s="182" t="s">
        <v>3085</v>
      </c>
      <c r="H25" s="777">
        <f>SUMIF(86:86,G25,87:87)-SUMIF(86:86,C25,87:87)+100</f>
        <v>100</v>
      </c>
      <c r="I25" s="182" t="s">
        <v>3164</v>
      </c>
      <c r="J25" s="777">
        <f>SUMIF(86:86,I25,87:87)-SUMIF(86:86,C25,87:87)+100</f>
        <v>95</v>
      </c>
      <c r="K25" s="954">
        <v>5</v>
      </c>
      <c r="L25" s="2300"/>
      <c r="M25" s="2295"/>
      <c r="N25" s="2295"/>
      <c r="O25" s="2295"/>
      <c r="P25" s="3649"/>
      <c r="Q25" s="3363" t="str">
        <f t="shared" ref="Q25:Q46" si="11">B25</f>
        <v>临街状况</v>
      </c>
      <c r="R25" s="1350" t="s">
        <v>62</v>
      </c>
      <c r="S25" s="1351">
        <f>F25</f>
        <v>100</v>
      </c>
      <c r="T25" s="1350" t="s">
        <v>62</v>
      </c>
      <c r="U25" s="1351">
        <f>H25</f>
        <v>100</v>
      </c>
      <c r="V25" s="1350" t="s">
        <v>62</v>
      </c>
      <c r="W25" s="1351">
        <f>J25</f>
        <v>95</v>
      </c>
      <c r="X25" s="3365"/>
      <c r="Y25" s="3642"/>
      <c r="Z25" s="3366" t="str">
        <f>Q25</f>
        <v>临街状况</v>
      </c>
      <c r="AA25" s="3364">
        <f t="shared" si="3"/>
        <v>1</v>
      </c>
      <c r="AB25" s="3364">
        <f t="shared" si="4"/>
        <v>1</v>
      </c>
      <c r="AC25" s="3364">
        <f t="shared" si="5"/>
        <v>1.0526315789473684</v>
      </c>
    </row>
    <row r="26" spans="1:29" ht="35.450000000000003" hidden="1" customHeight="1">
      <c r="A26" s="151"/>
      <c r="B26" s="1355" t="s">
        <v>3169</v>
      </c>
      <c r="C26" s="93" t="s">
        <v>3167</v>
      </c>
      <c r="D26" s="777">
        <v>100</v>
      </c>
      <c r="E26" s="93" t="s">
        <v>3167</v>
      </c>
      <c r="F26" s="803">
        <f>SUMIF(88:88,E26,89:89)-SUMIF(88:88,C26,89:89)+100</f>
        <v>100</v>
      </c>
      <c r="G26" s="93" t="s">
        <v>3168</v>
      </c>
      <c r="H26" s="777">
        <f>SUMIF(88:88,G26,89:89)-SUMIF(88:88,C26,89:89)+100</f>
        <v>100</v>
      </c>
      <c r="I26" s="93" t="s">
        <v>3166</v>
      </c>
      <c r="J26" s="777">
        <f>SUMIF(88:88,I26,89:89)-SUMIF(88:88,C26,89:89)+100</f>
        <v>100</v>
      </c>
      <c r="K26" s="188"/>
      <c r="L26" s="2300"/>
      <c r="M26" s="2295"/>
      <c r="N26" s="2295"/>
      <c r="O26" s="2295"/>
      <c r="P26" s="3649"/>
      <c r="Q26" s="3363" t="str">
        <f t="shared" si="11"/>
        <v>可视性</v>
      </c>
      <c r="R26" s="1350" t="s">
        <v>62</v>
      </c>
      <c r="S26" s="1351">
        <f>F26</f>
        <v>100</v>
      </c>
      <c r="T26" s="1350" t="s">
        <v>62</v>
      </c>
      <c r="U26" s="1351">
        <f>H26</f>
        <v>100</v>
      </c>
      <c r="V26" s="1350" t="s">
        <v>62</v>
      </c>
      <c r="W26" s="1351">
        <f>J26</f>
        <v>100</v>
      </c>
      <c r="X26" s="3365"/>
      <c r="Y26" s="3642"/>
      <c r="Z26" s="3366" t="str">
        <f>Q26</f>
        <v>可视性</v>
      </c>
      <c r="AA26" s="3364">
        <f t="shared" si="3"/>
        <v>1</v>
      </c>
      <c r="AB26" s="3364">
        <f t="shared" si="4"/>
        <v>1</v>
      </c>
      <c r="AC26" s="3364">
        <f t="shared" si="5"/>
        <v>1</v>
      </c>
    </row>
    <row r="27" spans="1:29" s="40" customFormat="1" ht="15" hidden="1">
      <c r="A27" s="1028"/>
      <c r="B27" s="1354" t="s">
        <v>1021</v>
      </c>
      <c r="C27" s="1385" t="s">
        <v>3082</v>
      </c>
      <c r="D27" s="804">
        <v>100</v>
      </c>
      <c r="E27" s="1385" t="s">
        <v>3082</v>
      </c>
      <c r="F27" s="806">
        <f>SUMIF(90:90,E27,91:91)-SUMIF(90:90,C27,91:91)+100</f>
        <v>100</v>
      </c>
      <c r="G27" s="1385" t="s">
        <v>3082</v>
      </c>
      <c r="H27" s="804">
        <f>SUMIF(90:90,G27,91:91)-SUMIF(90:90,C27,91:91)+100</f>
        <v>100</v>
      </c>
      <c r="I27" s="1385" t="s">
        <v>3165</v>
      </c>
      <c r="J27" s="804">
        <f>SUMIF(90:90,I27,91:91)-SUMIF(90:90,C27,91:91)+100</f>
        <v>100</v>
      </c>
      <c r="K27" s="954"/>
      <c r="L27" s="2296"/>
      <c r="M27" s="2258"/>
      <c r="N27" s="2258"/>
      <c r="O27" s="2258"/>
      <c r="P27" s="3649"/>
      <c r="Q27" s="3359" t="str">
        <f t="shared" si="11"/>
        <v>人流量</v>
      </c>
      <c r="R27" s="1340" t="s">
        <v>62</v>
      </c>
      <c r="S27" s="1341">
        <f>F27</f>
        <v>100</v>
      </c>
      <c r="T27" s="1340" t="s">
        <v>62</v>
      </c>
      <c r="U27" s="1341">
        <f>H27</f>
        <v>100</v>
      </c>
      <c r="V27" s="1340" t="s">
        <v>62</v>
      </c>
      <c r="W27" s="1341">
        <f>J27</f>
        <v>100</v>
      </c>
      <c r="X27" s="287"/>
      <c r="Y27" s="3642"/>
      <c r="Z27" s="3360" t="str">
        <f>Q27</f>
        <v>人流量</v>
      </c>
      <c r="AA27" s="3364">
        <f>D27/F27</f>
        <v>1</v>
      </c>
      <c r="AB27" s="3364">
        <f>D27/H27</f>
        <v>1</v>
      </c>
      <c r="AC27" s="3364">
        <f>D27/J27</f>
        <v>1</v>
      </c>
    </row>
    <row r="28" spans="1:29" ht="15" thickBot="1">
      <c r="A28" s="151"/>
      <c r="B28" s="3361" t="s">
        <v>129</v>
      </c>
      <c r="C28" s="182" t="s">
        <v>3136</v>
      </c>
      <c r="D28" s="777">
        <v>100</v>
      </c>
      <c r="E28" s="182" t="s">
        <v>3136</v>
      </c>
      <c r="F28" s="803">
        <f>SUMIF(92:92,E28,93:93)-SUMIF(92:92,C28,93:93)+100</f>
        <v>100</v>
      </c>
      <c r="G28" s="182" t="s">
        <v>3136</v>
      </c>
      <c r="H28" s="777">
        <f>SUMIF(92:92,G28,93:93)-SUMIF(92:92,C28,93:93)+100</f>
        <v>100</v>
      </c>
      <c r="I28" s="182" t="s">
        <v>3136</v>
      </c>
      <c r="J28" s="777">
        <f>SUMIF(92:92,I28,93:93)-SUMIF(92:92,C28,93:93)+100</f>
        <v>100</v>
      </c>
      <c r="K28" s="188"/>
      <c r="L28" s="2300"/>
      <c r="M28" s="2295"/>
      <c r="N28" s="2295"/>
      <c r="O28" s="2295"/>
      <c r="P28" s="3649"/>
      <c r="Q28" s="3363" t="str">
        <f t="shared" si="11"/>
        <v>楼层</v>
      </c>
      <c r="R28" s="1350" t="s">
        <v>62</v>
      </c>
      <c r="S28" s="1351">
        <f t="shared" ref="S28:S46" si="12">F28</f>
        <v>100</v>
      </c>
      <c r="T28" s="1350" t="s">
        <v>62</v>
      </c>
      <c r="U28" s="1351">
        <f t="shared" ref="U28:U46" si="13">H28</f>
        <v>100</v>
      </c>
      <c r="V28" s="1350" t="s">
        <v>62</v>
      </c>
      <c r="W28" s="1351">
        <f t="shared" ref="W28:W46" si="14">J28</f>
        <v>100</v>
      </c>
      <c r="X28" s="3365"/>
      <c r="Y28" s="3642"/>
      <c r="Z28" s="3366" t="str">
        <f t="shared" ref="Z28:Z46" si="15">Q28</f>
        <v>楼层</v>
      </c>
      <c r="AA28" s="3364">
        <f t="shared" si="3"/>
        <v>1</v>
      </c>
      <c r="AB28" s="3364">
        <f t="shared" si="4"/>
        <v>1</v>
      </c>
      <c r="AC28" s="3364">
        <f t="shared" si="5"/>
        <v>1</v>
      </c>
    </row>
    <row r="29" spans="1:29" ht="15" hidden="1" thickBot="1">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49"/>
      <c r="Q29" s="3363">
        <f t="shared" si="11"/>
        <v>111</v>
      </c>
      <c r="R29" s="1350" t="s">
        <v>62</v>
      </c>
      <c r="S29" s="1351">
        <f t="shared" si="12"/>
        <v>100</v>
      </c>
      <c r="T29" s="1350" t="s">
        <v>62</v>
      </c>
      <c r="U29" s="1351">
        <f t="shared" si="13"/>
        <v>100</v>
      </c>
      <c r="V29" s="1350" t="s">
        <v>62</v>
      </c>
      <c r="W29" s="1351">
        <f t="shared" si="14"/>
        <v>100</v>
      </c>
      <c r="X29" s="3365"/>
      <c r="Y29" s="3642"/>
      <c r="Z29" s="3366">
        <f t="shared" si="15"/>
        <v>111</v>
      </c>
      <c r="AA29" s="3364">
        <f t="shared" si="3"/>
        <v>1</v>
      </c>
      <c r="AB29" s="3364">
        <f t="shared" si="4"/>
        <v>1</v>
      </c>
      <c r="AC29" s="3364">
        <f t="shared" si="5"/>
        <v>1</v>
      </c>
    </row>
    <row r="30" spans="1:29" ht="15" hidden="1" thickBot="1">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49"/>
      <c r="Q30" s="3363">
        <f t="shared" si="11"/>
        <v>111</v>
      </c>
      <c r="R30" s="1350" t="s">
        <v>62</v>
      </c>
      <c r="S30" s="1351">
        <f t="shared" si="12"/>
        <v>100</v>
      </c>
      <c r="T30" s="1350" t="s">
        <v>62</v>
      </c>
      <c r="U30" s="1351">
        <f t="shared" si="13"/>
        <v>100</v>
      </c>
      <c r="V30" s="1350" t="s">
        <v>62</v>
      </c>
      <c r="W30" s="1351">
        <f t="shared" si="14"/>
        <v>100</v>
      </c>
      <c r="X30" s="3365"/>
      <c r="Y30" s="3642"/>
      <c r="Z30" s="3366">
        <f t="shared" si="15"/>
        <v>111</v>
      </c>
      <c r="AA30" s="3364">
        <f t="shared" si="3"/>
        <v>1</v>
      </c>
      <c r="AB30" s="3364">
        <f t="shared" si="4"/>
        <v>1</v>
      </c>
      <c r="AC30" s="3364">
        <f t="shared" si="5"/>
        <v>1</v>
      </c>
    </row>
    <row r="31" spans="1:29" ht="15" hidden="1"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49"/>
      <c r="Q31" s="3363">
        <f t="shared" si="11"/>
        <v>111</v>
      </c>
      <c r="R31" s="1350" t="s">
        <v>62</v>
      </c>
      <c r="S31" s="1351">
        <f t="shared" si="12"/>
        <v>100</v>
      </c>
      <c r="T31" s="1350" t="s">
        <v>62</v>
      </c>
      <c r="U31" s="1351">
        <f t="shared" si="13"/>
        <v>100</v>
      </c>
      <c r="V31" s="1350" t="s">
        <v>62</v>
      </c>
      <c r="W31" s="1351">
        <f t="shared" si="14"/>
        <v>100</v>
      </c>
      <c r="X31" s="3365"/>
      <c r="Y31" s="3642"/>
      <c r="Z31" s="3366">
        <f t="shared" si="15"/>
        <v>111</v>
      </c>
      <c r="AA31" s="3364">
        <f t="shared" si="3"/>
        <v>1</v>
      </c>
      <c r="AB31" s="3364">
        <f t="shared" si="4"/>
        <v>1</v>
      </c>
      <c r="AC31" s="3364">
        <f t="shared" si="5"/>
        <v>1</v>
      </c>
    </row>
    <row r="32" spans="1:29" ht="15">
      <c r="A32" s="155" t="s">
        <v>1022</v>
      </c>
      <c r="B32" s="62" t="s">
        <v>1023</v>
      </c>
      <c r="C32" s="110" t="s">
        <v>3147</v>
      </c>
      <c r="D32" s="809">
        <v>100</v>
      </c>
      <c r="E32" s="110" t="s">
        <v>3147</v>
      </c>
      <c r="F32" s="803">
        <f>SUMIF(100:100,E32,101:101)-SUMIF(100:100,C32,101:101)+100</f>
        <v>100</v>
      </c>
      <c r="G32" s="110" t="s">
        <v>3147</v>
      </c>
      <c r="H32" s="777">
        <f>SUMIF(100:100,G32,101:101)-SUMIF(100:100,C32,101:101)+100</f>
        <v>100</v>
      </c>
      <c r="I32" s="110" t="s">
        <v>3147</v>
      </c>
      <c r="J32" s="809">
        <f>SUMIF(100:100,I32,101:101)-SUMIF(100:100,C32,101:101)+100</f>
        <v>100</v>
      </c>
      <c r="K32" s="954">
        <v>2</v>
      </c>
      <c r="L32" s="2300"/>
      <c r="M32" s="2295"/>
      <c r="N32" s="2295"/>
      <c r="O32" s="2295"/>
      <c r="P32" s="3643" t="s">
        <v>1022</v>
      </c>
      <c r="Q32" s="3363" t="str">
        <f t="shared" si="11"/>
        <v>商业类型</v>
      </c>
      <c r="R32" s="1350" t="s">
        <v>62</v>
      </c>
      <c r="S32" s="1351">
        <f t="shared" si="12"/>
        <v>100</v>
      </c>
      <c r="T32" s="1350" t="s">
        <v>62</v>
      </c>
      <c r="U32" s="1351">
        <f t="shared" si="13"/>
        <v>100</v>
      </c>
      <c r="V32" s="1350" t="s">
        <v>62</v>
      </c>
      <c r="W32" s="1351">
        <f t="shared" si="14"/>
        <v>100</v>
      </c>
      <c r="X32" s="3365"/>
      <c r="Y32" s="3646" t="s">
        <v>1022</v>
      </c>
      <c r="Z32" s="3366" t="str">
        <f t="shared" si="15"/>
        <v>商业类型</v>
      </c>
      <c r="AA32" s="3364">
        <f t="shared" si="3"/>
        <v>1</v>
      </c>
      <c r="AB32" s="3364">
        <f t="shared" si="4"/>
        <v>1</v>
      </c>
      <c r="AC32" s="3364">
        <f t="shared" si="5"/>
        <v>1</v>
      </c>
    </row>
    <row r="33" spans="1:29" s="1037" customFormat="1" ht="14.25" hidden="1">
      <c r="A33" s="1041"/>
      <c r="B33" s="3361" t="s">
        <v>73</v>
      </c>
      <c r="C33" s="811">
        <v>156275.1</v>
      </c>
      <c r="D33" s="425">
        <v>100</v>
      </c>
      <c r="E33" s="772">
        <v>86438.75</v>
      </c>
      <c r="F33" s="767">
        <f>LOOKUP(E33,103:103,104:104)-LOOKUP(C33,103:103,104:104)+100</f>
        <v>100</v>
      </c>
      <c r="G33" s="771">
        <v>37036.620000000003</v>
      </c>
      <c r="H33" s="425">
        <f>LOOKUP(G33,103:103,104:104)-LOOKUP(C33,103:103,104:104)+100</f>
        <v>100</v>
      </c>
      <c r="I33" s="771">
        <v>85000</v>
      </c>
      <c r="J33" s="425">
        <f>LOOKUP(I33,103:103,104:104)-LOOKUP(C33,103:103,104:104)+100</f>
        <v>100</v>
      </c>
      <c r="K33" s="188"/>
      <c r="L33" s="2299"/>
      <c r="M33" s="2301"/>
      <c r="N33" s="2301"/>
      <c r="O33" s="2301"/>
      <c r="P33" s="3644"/>
      <c r="Q33" s="1357" t="str">
        <f t="shared" si="11"/>
        <v>项目建筑规模</v>
      </c>
      <c r="R33" s="1358" t="s">
        <v>62</v>
      </c>
      <c r="S33" s="1359">
        <f t="shared" si="12"/>
        <v>100</v>
      </c>
      <c r="T33" s="1358" t="s">
        <v>62</v>
      </c>
      <c r="U33" s="1359">
        <f t="shared" si="13"/>
        <v>100</v>
      </c>
      <c r="V33" s="1358" t="s">
        <v>62</v>
      </c>
      <c r="W33" s="1359">
        <f t="shared" si="14"/>
        <v>100</v>
      </c>
      <c r="X33" s="1360"/>
      <c r="Y33" s="3646"/>
      <c r="Z33" s="1361" t="str">
        <f t="shared" si="15"/>
        <v>项目建筑规模</v>
      </c>
      <c r="AA33" s="3364">
        <f t="shared" si="3"/>
        <v>1</v>
      </c>
      <c r="AB33" s="3364">
        <f t="shared" si="4"/>
        <v>1</v>
      </c>
      <c r="AC33" s="3364">
        <f t="shared" si="5"/>
        <v>1</v>
      </c>
    </row>
    <row r="34" spans="1:29" ht="15">
      <c r="A34" s="161"/>
      <c r="B34" s="3361" t="s">
        <v>74</v>
      </c>
      <c r="C34" s="112" t="s">
        <v>3116</v>
      </c>
      <c r="D34" s="777">
        <v>100</v>
      </c>
      <c r="E34" s="113" t="s">
        <v>3116</v>
      </c>
      <c r="F34" s="803">
        <f>SUMIF(105:105,E34,106:106)-SUMIF(105:105,C34,106:106)+100</f>
        <v>100</v>
      </c>
      <c r="G34" s="112" t="s">
        <v>3116</v>
      </c>
      <c r="H34" s="777">
        <f>SUMIF(105:105,G34,106:106)-SUMIF(105:105,C34,106:106)+100</f>
        <v>100</v>
      </c>
      <c r="I34" s="112" t="s">
        <v>3116</v>
      </c>
      <c r="J34" s="777">
        <f>SUMIF(105:105,I34,106:106)-SUMIF(105:105,C34,106:106)+100</f>
        <v>100</v>
      </c>
      <c r="K34" s="954">
        <v>2</v>
      </c>
      <c r="L34" s="2300"/>
      <c r="M34" s="2295"/>
      <c r="N34" s="2295"/>
      <c r="O34" s="2295"/>
      <c r="P34" s="3644"/>
      <c r="Q34" s="3363" t="str">
        <f t="shared" si="11"/>
        <v>建筑结构</v>
      </c>
      <c r="R34" s="1350" t="s">
        <v>62</v>
      </c>
      <c r="S34" s="1351">
        <f t="shared" si="12"/>
        <v>100</v>
      </c>
      <c r="T34" s="1350" t="s">
        <v>62</v>
      </c>
      <c r="U34" s="1351">
        <f t="shared" si="13"/>
        <v>100</v>
      </c>
      <c r="V34" s="1350" t="s">
        <v>62</v>
      </c>
      <c r="W34" s="1351">
        <f t="shared" si="14"/>
        <v>100</v>
      </c>
      <c r="X34" s="3365"/>
      <c r="Y34" s="3646"/>
      <c r="Z34" s="3366" t="str">
        <f t="shared" si="15"/>
        <v>建筑结构</v>
      </c>
      <c r="AA34" s="3364">
        <f t="shared" si="3"/>
        <v>1</v>
      </c>
      <c r="AB34" s="3364">
        <f t="shared" si="4"/>
        <v>1</v>
      </c>
      <c r="AC34" s="3364">
        <f t="shared" si="5"/>
        <v>1</v>
      </c>
    </row>
    <row r="35" spans="1:29" ht="15">
      <c r="A35" s="161"/>
      <c r="B35" s="3361" t="s">
        <v>130</v>
      </c>
      <c r="C35" s="109" t="s">
        <v>3117</v>
      </c>
      <c r="D35" s="777">
        <v>100</v>
      </c>
      <c r="E35" s="109" t="s">
        <v>3117</v>
      </c>
      <c r="F35" s="803">
        <f>SUMIF(107:107,E35,108:108)-SUMIF(107:107,C35,108:108)+100</f>
        <v>100</v>
      </c>
      <c r="G35" s="109" t="s">
        <v>3117</v>
      </c>
      <c r="H35" s="777">
        <f>SUMIF(107:107,G35,108:108)-SUMIF(107:107,C35,108:108)+100</f>
        <v>100</v>
      </c>
      <c r="I35" s="109" t="s">
        <v>3117</v>
      </c>
      <c r="J35" s="777">
        <f>SUMIF(107:107,I35,108:108)-SUMIF(107:107,C35,108:108)+100</f>
        <v>100</v>
      </c>
      <c r="K35" s="954">
        <v>2</v>
      </c>
      <c r="L35" s="2300"/>
      <c r="M35" s="2295"/>
      <c r="N35" s="2295"/>
      <c r="O35" s="2295"/>
      <c r="P35" s="3644"/>
      <c r="Q35" s="3363" t="str">
        <f t="shared" si="11"/>
        <v>公共部分装修</v>
      </c>
      <c r="R35" s="1350" t="s">
        <v>62</v>
      </c>
      <c r="S35" s="1351">
        <f t="shared" si="12"/>
        <v>100</v>
      </c>
      <c r="T35" s="1350" t="s">
        <v>62</v>
      </c>
      <c r="U35" s="1351">
        <f t="shared" si="13"/>
        <v>100</v>
      </c>
      <c r="V35" s="1350" t="s">
        <v>62</v>
      </c>
      <c r="W35" s="1351">
        <f t="shared" si="14"/>
        <v>100</v>
      </c>
      <c r="X35" s="3365"/>
      <c r="Y35" s="3646"/>
      <c r="Z35" s="3366" t="str">
        <f t="shared" si="15"/>
        <v>公共部分装修</v>
      </c>
      <c r="AA35" s="3364">
        <f t="shared" si="3"/>
        <v>1</v>
      </c>
      <c r="AB35" s="3364">
        <f t="shared" si="4"/>
        <v>1</v>
      </c>
      <c r="AC35" s="3364">
        <f t="shared" si="5"/>
        <v>1</v>
      </c>
    </row>
    <row r="36" spans="1:29" ht="15" hidden="1">
      <c r="A36" s="161"/>
      <c r="B36" s="3361" t="s">
        <v>1026</v>
      </c>
      <c r="C36" s="816">
        <f>'数据-取费表'!N6</f>
        <v>1</v>
      </c>
      <c r="D36" s="777">
        <v>100</v>
      </c>
      <c r="E36" s="816">
        <v>0.95</v>
      </c>
      <c r="F36" s="803">
        <f>LOOKUP(E36,110:110,111:111)-LOOKUP(C36,110:110,111:111)+100</f>
        <v>100</v>
      </c>
      <c r="G36" s="816">
        <v>1</v>
      </c>
      <c r="H36" s="803">
        <f>LOOKUP(G36,110:110,111:111)-LOOKUP(C36,110:110,111:111)+100</f>
        <v>100</v>
      </c>
      <c r="I36" s="816">
        <v>0.95</v>
      </c>
      <c r="J36" s="777">
        <f>LOOKUP(I36,110:110,111:111)-LOOKUP(C36,110:110,111:111)+100</f>
        <v>100</v>
      </c>
      <c r="K36" s="954">
        <v>2</v>
      </c>
      <c r="L36" s="2300"/>
      <c r="M36" s="2295"/>
      <c r="N36" s="2295"/>
      <c r="O36" s="2295"/>
      <c r="P36" s="3644"/>
      <c r="Q36" s="3363" t="str">
        <f t="shared" si="11"/>
        <v>成新度</v>
      </c>
      <c r="R36" s="1350" t="s">
        <v>62</v>
      </c>
      <c r="S36" s="1351">
        <f t="shared" si="12"/>
        <v>100</v>
      </c>
      <c r="T36" s="1350" t="s">
        <v>62</v>
      </c>
      <c r="U36" s="1351">
        <f t="shared" si="13"/>
        <v>100</v>
      </c>
      <c r="V36" s="1350" t="s">
        <v>62</v>
      </c>
      <c r="W36" s="1351">
        <f t="shared" si="14"/>
        <v>100</v>
      </c>
      <c r="X36" s="3365"/>
      <c r="Y36" s="3646"/>
      <c r="Z36" s="3366" t="str">
        <f t="shared" si="15"/>
        <v>成新度</v>
      </c>
      <c r="AA36" s="3364">
        <f t="shared" si="3"/>
        <v>1</v>
      </c>
      <c r="AB36" s="3364">
        <f t="shared" si="4"/>
        <v>1</v>
      </c>
      <c r="AC36" s="3364">
        <f t="shared" si="5"/>
        <v>1</v>
      </c>
    </row>
    <row r="37" spans="1:29" s="40" customFormat="1" ht="15">
      <c r="A37" s="1039"/>
      <c r="B37" s="3361" t="s">
        <v>2652</v>
      </c>
      <c r="C37" s="109" t="s">
        <v>3148</v>
      </c>
      <c r="D37" s="425">
        <v>100</v>
      </c>
      <c r="E37" s="109" t="s">
        <v>3148</v>
      </c>
      <c r="F37" s="803">
        <f>SUMIF(112:112,E37,113:113)-SUMIF(112:112,C37,113:113)+100</f>
        <v>100</v>
      </c>
      <c r="G37" s="109" t="s">
        <v>3148</v>
      </c>
      <c r="H37" s="777">
        <f>SUMIF(112:112,G37,113:113)-SUMIF(112:112,C37,113:113)+100</f>
        <v>100</v>
      </c>
      <c r="I37" s="109" t="s">
        <v>3148</v>
      </c>
      <c r="J37" s="777">
        <f>SUMIF(112:112,I37,113:113)-SUMIF(112:112,C37,113:113)+100</f>
        <v>100</v>
      </c>
      <c r="K37" s="954">
        <v>1</v>
      </c>
      <c r="L37" s="2296"/>
      <c r="M37" s="2258"/>
      <c r="N37" s="2258"/>
      <c r="O37" s="2258"/>
      <c r="P37" s="3644"/>
      <c r="Q37" s="3359" t="str">
        <f t="shared" si="11"/>
        <v>市政基础设施</v>
      </c>
      <c r="R37" s="1340" t="s">
        <v>62</v>
      </c>
      <c r="S37" s="1341">
        <f t="shared" si="12"/>
        <v>100</v>
      </c>
      <c r="T37" s="1340" t="s">
        <v>62</v>
      </c>
      <c r="U37" s="1341">
        <f t="shared" si="13"/>
        <v>100</v>
      </c>
      <c r="V37" s="1340" t="s">
        <v>62</v>
      </c>
      <c r="W37" s="1341">
        <f t="shared" si="14"/>
        <v>100</v>
      </c>
      <c r="X37" s="287"/>
      <c r="Y37" s="3646"/>
      <c r="Z37" s="3360" t="str">
        <f t="shared" si="15"/>
        <v>市政基础设施</v>
      </c>
      <c r="AA37" s="1342">
        <f t="shared" si="3"/>
        <v>1</v>
      </c>
      <c r="AB37" s="1342">
        <f t="shared" si="4"/>
        <v>1</v>
      </c>
      <c r="AC37" s="1342">
        <f t="shared" si="5"/>
        <v>1</v>
      </c>
    </row>
    <row r="38" spans="1:29" ht="15">
      <c r="A38" s="161"/>
      <c r="B38" s="3361" t="s">
        <v>132</v>
      </c>
      <c r="C38" s="109" t="s">
        <v>3194</v>
      </c>
      <c r="D38" s="777">
        <v>100</v>
      </c>
      <c r="E38" s="109" t="s">
        <v>3194</v>
      </c>
      <c r="F38" s="803">
        <f>SUMIF(114:114,E38,115:115)-SUMIF(114:114,C38,115:115)+100</f>
        <v>100</v>
      </c>
      <c r="G38" s="109" t="s">
        <v>3194</v>
      </c>
      <c r="H38" s="777">
        <f>SUMIF(114:114,G38,115:115)-SUMIF(114:114,C38,115:115)+100</f>
        <v>100</v>
      </c>
      <c r="I38" s="109" t="s">
        <v>3194</v>
      </c>
      <c r="J38" s="777">
        <f>SUMIF(114:114,I38,115:115)-SUMIF(114:114,C38,115:115)+100</f>
        <v>100</v>
      </c>
      <c r="K38" s="954">
        <v>5</v>
      </c>
      <c r="L38" s="2300"/>
      <c r="M38" s="2295"/>
      <c r="N38" s="2295"/>
      <c r="O38" s="2295"/>
      <c r="P38" s="3644" t="s">
        <v>1027</v>
      </c>
      <c r="Q38" s="3363" t="str">
        <f t="shared" si="11"/>
        <v>业态</v>
      </c>
      <c r="R38" s="1350" t="s">
        <v>62</v>
      </c>
      <c r="S38" s="1351">
        <f t="shared" si="12"/>
        <v>100</v>
      </c>
      <c r="T38" s="1350" t="s">
        <v>62</v>
      </c>
      <c r="U38" s="1351">
        <f t="shared" si="13"/>
        <v>100</v>
      </c>
      <c r="V38" s="1350" t="s">
        <v>62</v>
      </c>
      <c r="W38" s="1351">
        <f t="shared" si="14"/>
        <v>100</v>
      </c>
      <c r="X38" s="3365"/>
      <c r="Y38" s="3646" t="s">
        <v>1027</v>
      </c>
      <c r="Z38" s="3366" t="str">
        <f t="shared" si="15"/>
        <v>业态</v>
      </c>
      <c r="AA38" s="3364">
        <f t="shared" si="3"/>
        <v>1</v>
      </c>
      <c r="AB38" s="3364">
        <f t="shared" si="4"/>
        <v>1</v>
      </c>
      <c r="AC38" s="3364">
        <f t="shared" si="5"/>
        <v>1</v>
      </c>
    </row>
    <row r="39" spans="1:29" ht="15">
      <c r="A39" s="161"/>
      <c r="B39" s="3361" t="s">
        <v>133</v>
      </c>
      <c r="C39" s="109" t="s">
        <v>3120</v>
      </c>
      <c r="D39" s="777">
        <v>100</v>
      </c>
      <c r="E39" s="109" t="s">
        <v>3120</v>
      </c>
      <c r="F39" s="803">
        <f>SUMIF(116:116,E39,117:117)-SUMIF(116:116,C39,117:117)+100</f>
        <v>100</v>
      </c>
      <c r="G39" s="109" t="s">
        <v>3120</v>
      </c>
      <c r="H39" s="777">
        <f>SUMIF(116:116,G39,117:117)-SUMIF(116:116,C39,117:117)+100</f>
        <v>100</v>
      </c>
      <c r="I39" s="109" t="s">
        <v>3120</v>
      </c>
      <c r="J39" s="777">
        <f>SUMIF(116:116,I39,117:117)-SUMIF(116:116,C39,117:117)+100</f>
        <v>100</v>
      </c>
      <c r="K39" s="954">
        <v>2</v>
      </c>
      <c r="L39" s="2300"/>
      <c r="M39" s="2295"/>
      <c r="N39" s="2295"/>
      <c r="O39" s="2295"/>
      <c r="P39" s="3644"/>
      <c r="Q39" s="3363" t="str">
        <f t="shared" si="11"/>
        <v>层高</v>
      </c>
      <c r="R39" s="1350" t="s">
        <v>62</v>
      </c>
      <c r="S39" s="1351">
        <f t="shared" si="12"/>
        <v>100</v>
      </c>
      <c r="T39" s="1350" t="s">
        <v>62</v>
      </c>
      <c r="U39" s="1351">
        <f t="shared" si="13"/>
        <v>100</v>
      </c>
      <c r="V39" s="1350" t="s">
        <v>62</v>
      </c>
      <c r="W39" s="1351">
        <f t="shared" si="14"/>
        <v>100</v>
      </c>
      <c r="X39" s="3365"/>
      <c r="Y39" s="3646"/>
      <c r="Z39" s="3366" t="str">
        <f t="shared" si="15"/>
        <v>层高</v>
      </c>
      <c r="AA39" s="3364">
        <f t="shared" si="3"/>
        <v>1</v>
      </c>
      <c r="AB39" s="3364">
        <f t="shared" si="4"/>
        <v>1</v>
      </c>
      <c r="AC39" s="3364">
        <f t="shared" si="5"/>
        <v>1</v>
      </c>
    </row>
    <row r="40" spans="1:29" ht="14.25">
      <c r="A40" s="161"/>
      <c r="B40" s="3361" t="s">
        <v>1029</v>
      </c>
      <c r="C40" s="959">
        <f>'数据-汇总表'!F19</f>
        <v>301.2</v>
      </c>
      <c r="D40" s="777">
        <v>100</v>
      </c>
      <c r="E40" s="959">
        <v>150</v>
      </c>
      <c r="F40" s="803">
        <f>SUMIF(118:118,E40,119:119)-SUMIF(118:118,C40,119:119)+100</f>
        <v>101</v>
      </c>
      <c r="G40" s="959">
        <v>150</v>
      </c>
      <c r="H40" s="777">
        <f>SUMIF(118:118,G40,119:119)-SUMIF(118:118,C40,119:119)+100</f>
        <v>101</v>
      </c>
      <c r="I40" s="959">
        <v>161</v>
      </c>
      <c r="J40" s="777">
        <f>SUMIF(118:118,I40,119:119)-SUMIF(118:118,C40,119:119)+100</f>
        <v>101</v>
      </c>
      <c r="K40" s="188"/>
      <c r="L40" s="2300"/>
      <c r="M40" s="2295"/>
      <c r="N40" s="2295"/>
      <c r="O40" s="2295"/>
      <c r="P40" s="3644"/>
      <c r="Q40" s="3363" t="str">
        <f t="shared" si="11"/>
        <v>单套建筑面积</v>
      </c>
      <c r="R40" s="1350" t="s">
        <v>62</v>
      </c>
      <c r="S40" s="1351">
        <f t="shared" si="12"/>
        <v>101</v>
      </c>
      <c r="T40" s="1350" t="s">
        <v>62</v>
      </c>
      <c r="U40" s="1351">
        <f t="shared" si="13"/>
        <v>101</v>
      </c>
      <c r="V40" s="1350" t="s">
        <v>62</v>
      </c>
      <c r="W40" s="1351">
        <f t="shared" si="14"/>
        <v>101</v>
      </c>
      <c r="X40" s="3365"/>
      <c r="Y40" s="3646"/>
      <c r="Z40" s="3366" t="str">
        <f t="shared" si="15"/>
        <v>单套建筑面积</v>
      </c>
      <c r="AA40" s="3364">
        <f t="shared" si="3"/>
        <v>0.99009900990099009</v>
      </c>
      <c r="AB40" s="3364">
        <f t="shared" si="4"/>
        <v>0.99009900990099009</v>
      </c>
      <c r="AC40" s="3364">
        <f t="shared" si="5"/>
        <v>0.99009900990099009</v>
      </c>
    </row>
    <row r="41" spans="1:29" s="1037" customFormat="1" ht="15">
      <c r="A41" s="1041"/>
      <c r="B41" s="3362" t="s">
        <v>1030</v>
      </c>
      <c r="C41" s="182" t="s">
        <v>3084</v>
      </c>
      <c r="D41" s="777">
        <v>100</v>
      </c>
      <c r="E41" s="182" t="s">
        <v>3082</v>
      </c>
      <c r="F41" s="803">
        <f>SUMIF(120:120,E41,121:121)-SUMIF(120:120,C41,121:121)+100</f>
        <v>98</v>
      </c>
      <c r="G41" s="182" t="s">
        <v>3082</v>
      </c>
      <c r="H41" s="777">
        <f>SUMIF(120:120,G41,121:121)-SUMIF(120:120,C41,121:121)+100</f>
        <v>98</v>
      </c>
      <c r="I41" s="182" t="s">
        <v>3084</v>
      </c>
      <c r="J41" s="777">
        <f>SUMIF(120:120,I41,121:121)-SUMIF(120:120,C41,121:121)+100</f>
        <v>100</v>
      </c>
      <c r="K41" s="954">
        <v>2</v>
      </c>
      <c r="L41" s="2299"/>
      <c r="M41" s="2301"/>
      <c r="N41" s="2301"/>
      <c r="O41" s="2301"/>
      <c r="P41" s="3644"/>
      <c r="Q41" s="1357" t="str">
        <f t="shared" si="11"/>
        <v>进深比</v>
      </c>
      <c r="R41" s="1358" t="s">
        <v>62</v>
      </c>
      <c r="S41" s="1359">
        <f t="shared" si="12"/>
        <v>98</v>
      </c>
      <c r="T41" s="1358" t="s">
        <v>62</v>
      </c>
      <c r="U41" s="1359">
        <f t="shared" si="13"/>
        <v>98</v>
      </c>
      <c r="V41" s="1358" t="s">
        <v>62</v>
      </c>
      <c r="W41" s="1359">
        <f t="shared" si="14"/>
        <v>100</v>
      </c>
      <c r="X41" s="1360"/>
      <c r="Y41" s="3646"/>
      <c r="Z41" s="1361" t="str">
        <f t="shared" si="15"/>
        <v>进深比</v>
      </c>
      <c r="AA41" s="3364">
        <f t="shared" si="3"/>
        <v>1.0204081632653061</v>
      </c>
      <c r="AB41" s="3364">
        <f t="shared" si="4"/>
        <v>1.0204081632653061</v>
      </c>
      <c r="AC41" s="3364">
        <f t="shared" si="5"/>
        <v>1</v>
      </c>
    </row>
    <row r="42" spans="1:29" ht="15">
      <c r="A42" s="161"/>
      <c r="B42" s="3361" t="s">
        <v>1031</v>
      </c>
      <c r="C42" s="109" t="s">
        <v>3121</v>
      </c>
      <c r="D42" s="777">
        <v>100</v>
      </c>
      <c r="E42" s="109" t="s">
        <v>3121</v>
      </c>
      <c r="F42" s="803">
        <f>SUMIF(122:122,E42,123:123)-SUMIF(122:122,C42,123:123)+100</f>
        <v>100</v>
      </c>
      <c r="G42" s="109" t="s">
        <v>3121</v>
      </c>
      <c r="H42" s="777">
        <f>SUMIF(122:122,G42,123:123)-SUMIF(122:122,C42,123:123)+100</f>
        <v>100</v>
      </c>
      <c r="I42" s="109" t="s">
        <v>3121</v>
      </c>
      <c r="J42" s="777">
        <f>SUMIF(122:122,I42,123:123)-SUMIF(122:122,C42,123:123)+100</f>
        <v>100</v>
      </c>
      <c r="K42" s="954">
        <v>2</v>
      </c>
      <c r="L42" s="2300"/>
      <c r="M42" s="2295"/>
      <c r="N42" s="2295"/>
      <c r="O42" s="2295"/>
      <c r="P42" s="3644"/>
      <c r="Q42" s="3363" t="str">
        <f t="shared" si="11"/>
        <v>内部装修</v>
      </c>
      <c r="R42" s="1350" t="s">
        <v>62</v>
      </c>
      <c r="S42" s="1351">
        <f t="shared" si="12"/>
        <v>100</v>
      </c>
      <c r="T42" s="1350" t="s">
        <v>62</v>
      </c>
      <c r="U42" s="1351">
        <f t="shared" si="13"/>
        <v>100</v>
      </c>
      <c r="V42" s="1350" t="s">
        <v>62</v>
      </c>
      <c r="W42" s="1351">
        <f t="shared" si="14"/>
        <v>100</v>
      </c>
      <c r="X42" s="3365"/>
      <c r="Y42" s="3646"/>
      <c r="Z42" s="3366" t="str">
        <f t="shared" si="15"/>
        <v>内部装修</v>
      </c>
      <c r="AA42" s="3364">
        <f t="shared" si="3"/>
        <v>1</v>
      </c>
      <c r="AB42" s="3364">
        <f t="shared" si="4"/>
        <v>1</v>
      </c>
      <c r="AC42" s="3364">
        <f t="shared" si="5"/>
        <v>1</v>
      </c>
    </row>
    <row r="43" spans="1:29" ht="27.75" hidden="1" thickBot="1">
      <c r="A43" s="161"/>
      <c r="B43" s="3361" t="s">
        <v>81</v>
      </c>
      <c r="C43" s="109" t="s">
        <v>3084</v>
      </c>
      <c r="D43" s="777">
        <v>100</v>
      </c>
      <c r="E43" s="109" t="s">
        <v>3084</v>
      </c>
      <c r="F43" s="803">
        <f>SUMIF(124:124,E43,125:125)-SUMIF(124:124,C43,125:125)+100</f>
        <v>100</v>
      </c>
      <c r="G43" s="109" t="s">
        <v>3084</v>
      </c>
      <c r="H43" s="777">
        <f>SUMIF(124:124,G43,125:125)-SUMIF(124:124,C43,125:125)+100</f>
        <v>100</v>
      </c>
      <c r="I43" s="109" t="s">
        <v>3084</v>
      </c>
      <c r="J43" s="777">
        <f>SUMIF(124:124,I43,125:125)-SUMIF(124:124,C43,125:125)+100</f>
        <v>100</v>
      </c>
      <c r="K43" s="954"/>
      <c r="L43" s="2300"/>
      <c r="M43" s="2295"/>
      <c r="N43" s="2295"/>
      <c r="O43" s="2295"/>
      <c r="P43" s="3644"/>
      <c r="Q43" s="3363" t="str">
        <f t="shared" si="11"/>
        <v>内部装修维护情况</v>
      </c>
      <c r="R43" s="1350" t="s">
        <v>62</v>
      </c>
      <c r="S43" s="1351">
        <f t="shared" si="12"/>
        <v>100</v>
      </c>
      <c r="T43" s="1350" t="s">
        <v>62</v>
      </c>
      <c r="U43" s="1351">
        <f t="shared" si="13"/>
        <v>100</v>
      </c>
      <c r="V43" s="1350" t="s">
        <v>62</v>
      </c>
      <c r="W43" s="1351">
        <f t="shared" si="14"/>
        <v>100</v>
      </c>
      <c r="X43" s="3365"/>
      <c r="Y43" s="3646"/>
      <c r="Z43" s="3366" t="str">
        <f t="shared" si="15"/>
        <v>内部装修维护情况</v>
      </c>
      <c r="AA43" s="3364">
        <f t="shared" si="3"/>
        <v>1</v>
      </c>
      <c r="AB43" s="3364">
        <f t="shared" si="4"/>
        <v>1</v>
      </c>
      <c r="AC43" s="3364">
        <f t="shared" si="5"/>
        <v>1</v>
      </c>
    </row>
    <row r="44" spans="1:29" s="40" customFormat="1" ht="14.25">
      <c r="A44" s="1039"/>
      <c r="B44" s="1355" t="s">
        <v>3197</v>
      </c>
      <c r="C44" s="1356" t="s">
        <v>3198</v>
      </c>
      <c r="D44" s="425">
        <v>100</v>
      </c>
      <c r="E44" s="93" t="s">
        <v>3198</v>
      </c>
      <c r="F44" s="767">
        <f>SUMIF(126:126,E44,127:127)-SUMIF(126:126,C44,127:127)+100</f>
        <v>100</v>
      </c>
      <c r="G44" s="93" t="s">
        <v>3199</v>
      </c>
      <c r="H44" s="425">
        <f>SUMIF(126:126,G44,127:127)-SUMIF(126:126,C44,127:127)+100</f>
        <v>96</v>
      </c>
      <c r="I44" s="93" t="s">
        <v>3200</v>
      </c>
      <c r="J44" s="425">
        <f>SUMIF(126:126,I44,127:127)-SUMIF(126:126,C44,127:127)+100</f>
        <v>92</v>
      </c>
      <c r="K44" s="188"/>
      <c r="L44" s="2296"/>
      <c r="M44" s="2258"/>
      <c r="N44" s="2258"/>
      <c r="O44" s="2258"/>
      <c r="P44" s="3644"/>
      <c r="Q44" s="3359" t="str">
        <f t="shared" si="11"/>
        <v>可视性</v>
      </c>
      <c r="R44" s="1340" t="s">
        <v>62</v>
      </c>
      <c r="S44" s="1341">
        <f t="shared" si="12"/>
        <v>100</v>
      </c>
      <c r="T44" s="1340" t="s">
        <v>62</v>
      </c>
      <c r="U44" s="1341">
        <f t="shared" si="13"/>
        <v>96</v>
      </c>
      <c r="V44" s="1340" t="s">
        <v>62</v>
      </c>
      <c r="W44" s="1341">
        <f t="shared" si="14"/>
        <v>92</v>
      </c>
      <c r="X44" s="287"/>
      <c r="Y44" s="3646"/>
      <c r="Z44" s="3360" t="str">
        <f t="shared" si="15"/>
        <v>可视性</v>
      </c>
      <c r="AA44" s="1342">
        <f t="shared" si="3"/>
        <v>1</v>
      </c>
      <c r="AB44" s="1342">
        <f t="shared" si="4"/>
        <v>1.0416666666666667</v>
      </c>
      <c r="AC44" s="1342">
        <f t="shared" si="5"/>
        <v>1.0869565217391304</v>
      </c>
    </row>
    <row r="45" spans="1:29" ht="15" thickBot="1">
      <c r="A45" s="161"/>
      <c r="B45" s="1355" t="s">
        <v>3217</v>
      </c>
      <c r="C45" s="93" t="s">
        <v>3199</v>
      </c>
      <c r="D45" s="777">
        <v>100</v>
      </c>
      <c r="E45" s="93" t="s">
        <v>3199</v>
      </c>
      <c r="F45" s="803">
        <f>SUMIF(128:128,E45,129:129)-SUMIF(128:128,C45,129:129)+100</f>
        <v>100</v>
      </c>
      <c r="G45" s="93" t="s">
        <v>3199</v>
      </c>
      <c r="H45" s="777">
        <f>SUMIF(128:128,G45,129:129)-SUMIF(128:128,C45,129:129)+100</f>
        <v>100</v>
      </c>
      <c r="I45" s="93" t="s">
        <v>3221</v>
      </c>
      <c r="J45" s="777">
        <f>SUMIF(128:128,I45,129:129)-SUMIF(128:128,C45,129:129)+100</f>
        <v>96</v>
      </c>
      <c r="K45" s="188"/>
      <c r="L45" s="2300"/>
      <c r="M45" s="2295"/>
      <c r="N45" s="2295"/>
      <c r="O45" s="2295"/>
      <c r="P45" s="3644"/>
      <c r="Q45" s="3363" t="str">
        <f t="shared" si="11"/>
        <v>平面位置</v>
      </c>
      <c r="R45" s="1350" t="s">
        <v>62</v>
      </c>
      <c r="S45" s="1351">
        <f t="shared" si="12"/>
        <v>100</v>
      </c>
      <c r="T45" s="1350" t="s">
        <v>62</v>
      </c>
      <c r="U45" s="1351">
        <f t="shared" si="13"/>
        <v>100</v>
      </c>
      <c r="V45" s="1350" t="s">
        <v>62</v>
      </c>
      <c r="W45" s="1351">
        <f t="shared" si="14"/>
        <v>96</v>
      </c>
      <c r="X45" s="3365"/>
      <c r="Y45" s="3646"/>
      <c r="Z45" s="3366" t="str">
        <f t="shared" si="15"/>
        <v>平面位置</v>
      </c>
      <c r="AA45" s="3364">
        <f t="shared" si="3"/>
        <v>1</v>
      </c>
      <c r="AB45" s="3364">
        <f t="shared" si="4"/>
        <v>1</v>
      </c>
      <c r="AC45" s="3364">
        <f t="shared" si="5"/>
        <v>1.0416666666666667</v>
      </c>
    </row>
    <row r="46" spans="1:29" ht="15" hidden="1"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45"/>
      <c r="Q46" s="3363">
        <f t="shared" si="11"/>
        <v>111</v>
      </c>
      <c r="R46" s="1350" t="s">
        <v>62</v>
      </c>
      <c r="S46" s="1351">
        <f t="shared" si="12"/>
        <v>100</v>
      </c>
      <c r="T46" s="1350" t="s">
        <v>62</v>
      </c>
      <c r="U46" s="1351">
        <f t="shared" si="13"/>
        <v>100</v>
      </c>
      <c r="V46" s="1350" t="s">
        <v>62</v>
      </c>
      <c r="W46" s="1351">
        <f t="shared" si="14"/>
        <v>100</v>
      </c>
      <c r="X46" s="3365"/>
      <c r="Y46" s="3647"/>
      <c r="Z46" s="3366">
        <f t="shared" si="15"/>
        <v>111</v>
      </c>
      <c r="AA46" s="3364">
        <f t="shared" si="3"/>
        <v>1</v>
      </c>
      <c r="AB46" s="3364">
        <f t="shared" si="4"/>
        <v>1</v>
      </c>
      <c r="AC46" s="3364">
        <f t="shared" si="5"/>
        <v>1</v>
      </c>
    </row>
    <row r="47" spans="1:29" ht="15">
      <c r="A47" s="163" t="s">
        <v>99</v>
      </c>
      <c r="B47" s="164"/>
      <c r="C47" s="2834" t="s">
        <v>23</v>
      </c>
      <c r="D47" s="2835"/>
      <c r="E47" s="2836">
        <v>4.5</v>
      </c>
      <c r="F47" s="2837"/>
      <c r="G47" s="2838">
        <v>4</v>
      </c>
      <c r="H47" s="2839"/>
      <c r="I47" s="2836">
        <v>3.9</v>
      </c>
      <c r="J47" s="2839"/>
      <c r="K47" s="1391"/>
      <c r="L47" s="2302"/>
      <c r="M47" s="2303"/>
      <c r="N47" s="2295"/>
      <c r="O47" s="2303"/>
      <c r="P47" s="3639" t="str">
        <f>A47</f>
        <v>成交单价（元/平方米）</v>
      </c>
      <c r="Q47" s="3639"/>
      <c r="R47" s="3634">
        <f>E47</f>
        <v>4.5</v>
      </c>
      <c r="S47" s="3634"/>
      <c r="T47" s="3634">
        <f>G47</f>
        <v>4</v>
      </c>
      <c r="U47" s="3634"/>
      <c r="V47" s="3634">
        <f>I47</f>
        <v>3.9</v>
      </c>
      <c r="W47" s="3634"/>
      <c r="X47" s="1363"/>
      <c r="Y47" s="1364"/>
      <c r="Z47" s="1363"/>
      <c r="AA47" s="1363"/>
      <c r="AB47" s="1363"/>
      <c r="AC47" s="1363"/>
    </row>
    <row r="48" spans="1:29" ht="15.75" thickBot="1">
      <c r="A48" s="165" t="s">
        <v>97</v>
      </c>
      <c r="B48" s="166"/>
      <c r="C48" s="2840">
        <f>R49</f>
        <v>4.4000000000000004</v>
      </c>
      <c r="D48" s="2841"/>
      <c r="E48" s="2842">
        <f>R48</f>
        <v>4.5</v>
      </c>
      <c r="F48" s="2842"/>
      <c r="G48" s="2840">
        <f>T48</f>
        <v>4.2</v>
      </c>
      <c r="H48" s="2841"/>
      <c r="I48" s="2842">
        <f>V48</f>
        <v>4.5999999999999996</v>
      </c>
      <c r="J48" s="2841"/>
      <c r="K48" s="1392"/>
      <c r="L48" s="2302"/>
      <c r="M48" s="2303"/>
      <c r="N48" s="2295"/>
      <c r="O48" s="2303"/>
      <c r="P48" s="3639" t="str">
        <f>A48</f>
        <v>比较价值（元/平方米）</v>
      </c>
      <c r="Q48" s="3639"/>
      <c r="R48" s="3640">
        <f>IF(F1="售价",ROUND(PRODUCT(R47,AA7:AA46),0),ROUND(PRODUCT(R47,AA7:AA46),1))</f>
        <v>4.5</v>
      </c>
      <c r="S48" s="3640"/>
      <c r="T48" s="3640">
        <f>IF(F1="售价",ROUND(PRODUCT(T47,AB7:AB46),0),ROUND(PRODUCT(T47,AB7:AB46),1))</f>
        <v>4.2</v>
      </c>
      <c r="U48" s="3640"/>
      <c r="V48" s="3640">
        <f>IF(F1="售价",ROUND(PRODUCT(V47,AC7:AC46),0),ROUND(PRODUCT(V47,AC7:AC46),1))</f>
        <v>4.5999999999999996</v>
      </c>
      <c r="W48" s="3640"/>
      <c r="X48" s="1363"/>
      <c r="Y48" s="1363"/>
      <c r="Z48" s="1363"/>
      <c r="AA48" s="1363"/>
      <c r="AB48" s="1363"/>
      <c r="AC48" s="1363"/>
    </row>
    <row r="49" spans="1:29" ht="15.75" thickBot="1">
      <c r="A49" s="115" t="s">
        <v>3016</v>
      </c>
      <c r="B49" s="116"/>
      <c r="C49" s="2844">
        <f>R49</f>
        <v>4.4000000000000004</v>
      </c>
      <c r="D49" s="2844"/>
      <c r="E49" s="2844"/>
      <c r="F49" s="2844"/>
      <c r="G49" s="2844"/>
      <c r="H49" s="2844"/>
      <c r="I49" s="2844"/>
      <c r="J49" s="2844"/>
      <c r="K49" s="1393"/>
      <c r="L49" s="2302"/>
      <c r="M49" s="2303"/>
      <c r="N49" s="2295"/>
      <c r="O49" s="2303"/>
      <c r="P49" s="3636" t="str">
        <f>A49</f>
        <v>估价对象XX用房的比较价值（楼面单价，元/平方米）</v>
      </c>
      <c r="Q49" s="3637"/>
      <c r="R49" s="3638">
        <f>IF(F1="售价",ROUND(AVERAGE(R48:V48),0),ROUND(AVERAGE(R48:V48),1))</f>
        <v>4.4000000000000004</v>
      </c>
      <c r="S49" s="3638"/>
      <c r="T49" s="3638"/>
      <c r="U49" s="3638"/>
      <c r="V49" s="3638"/>
      <c r="W49" s="3638"/>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409</v>
      </c>
      <c r="D52" s="840"/>
      <c r="E52" s="841">
        <f>IF(E47&lt;E48,E48/E47-1,E47/E48-1)</f>
        <v>0</v>
      </c>
      <c r="F52" s="842" t="str">
        <f>IF(OR(E52&gt;=0.3,E52&lt;=-0.3),"超过30%","")</f>
        <v/>
      </c>
      <c r="G52" s="841">
        <f>IF(G47&lt;G48,G48/G47-1,G47/G48-1)</f>
        <v>5.0000000000000044E-2</v>
      </c>
      <c r="H52" s="842" t="str">
        <f>IF(OR(G52&gt;=0.3,G52&lt;=-0.3),"超过30%","")</f>
        <v/>
      </c>
      <c r="I52" s="841">
        <f>IF(I47&lt;I48,I48/I47-1,I47/I48-1)</f>
        <v>0.17948717948717952</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1004</v>
      </c>
      <c r="D53" s="843"/>
      <c r="E53" s="841">
        <f>IF(E48&lt;G48,G48/E48-1,E48/G48-1)</f>
        <v>7.1428571428571397E-2</v>
      </c>
      <c r="F53" s="842" t="str">
        <f>IF(OR(E53&gt;=0.2,E53&lt;=-0.2),"超过20%","")</f>
        <v/>
      </c>
      <c r="G53" s="841">
        <f>IF(G48&lt;I48,I48/G48-1,G48/I48-1)</f>
        <v>9.5238095238095122E-2</v>
      </c>
      <c r="H53" s="842" t="str">
        <f>IF(OR(G53&gt;=0.2,G53&lt;=-0.2),"超过20%","")</f>
        <v/>
      </c>
      <c r="I53" s="841">
        <f>IF(I48&lt;E48,E48/I48-1,I48/E48-1)</f>
        <v>2.2222222222222143E-2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1005</v>
      </c>
      <c r="D54" s="843"/>
      <c r="E54" s="841">
        <f>IF(E47&lt;G47,G47/E47-1,E47/G47-1)</f>
        <v>0.125</v>
      </c>
      <c r="F54" s="842" t="str">
        <f>IF(OR(E54&gt;=0.3,E54&lt;=-0.3),"超过30%","")</f>
        <v/>
      </c>
      <c r="G54" s="841">
        <f>IF(G47&lt;I47,I47/G47-1,G47/I47-1)</f>
        <v>2.5641025641025772E-2</v>
      </c>
      <c r="H54" s="842" t="str">
        <f>IF(OR(G54&gt;=0.3,G54&lt;=-0.3),"超过30%","")</f>
        <v/>
      </c>
      <c r="I54" s="841">
        <f>IF(I47&lt;E47,E47/I47-1,I47/E47-1)</f>
        <v>0.15384615384615397</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124</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395</v>
      </c>
      <c r="B58" s="848"/>
      <c r="C58" s="3043" t="str">
        <f>YEAR(C7)&amp;"-"&amp;MONTH(C7)</f>
        <v>2017-9</v>
      </c>
      <c r="D58" s="3044">
        <f>EDATE(C58,-1)</f>
        <v>42948</v>
      </c>
      <c r="E58" s="3044">
        <f t="shared" ref="E58:N58" si="16">EDATE(D58,-1)</f>
        <v>42917</v>
      </c>
      <c r="F58" s="3044">
        <f t="shared" si="16"/>
        <v>42887</v>
      </c>
      <c r="G58" s="3044">
        <f t="shared" si="16"/>
        <v>42856</v>
      </c>
      <c r="H58" s="3044">
        <f t="shared" si="16"/>
        <v>42826</v>
      </c>
      <c r="I58" s="3044">
        <f t="shared" si="16"/>
        <v>42795</v>
      </c>
      <c r="J58" s="3044">
        <f t="shared" si="16"/>
        <v>42767</v>
      </c>
      <c r="K58" s="3044">
        <f t="shared" si="16"/>
        <v>42736</v>
      </c>
      <c r="L58" s="3044">
        <f t="shared" si="16"/>
        <v>42705</v>
      </c>
      <c r="M58" s="3044">
        <f t="shared" si="16"/>
        <v>42675</v>
      </c>
      <c r="N58" s="3044">
        <f t="shared" si="16"/>
        <v>42644</v>
      </c>
      <c r="O58" s="3044">
        <f>EDATE(N58,-1)</f>
        <v>42614</v>
      </c>
      <c r="P58" s="3037"/>
    </row>
    <row r="59" spans="1:29" s="40" customFormat="1" ht="14.25">
      <c r="A59" s="1043"/>
      <c r="B59" s="1044"/>
      <c r="C59" s="3041">
        <v>100</v>
      </c>
      <c r="D59" s="854"/>
      <c r="E59" s="854"/>
      <c r="F59" s="854"/>
      <c r="G59" s="854"/>
      <c r="H59" s="854"/>
      <c r="I59" s="854"/>
      <c r="J59" s="854"/>
      <c r="K59" s="854"/>
      <c r="L59" s="854"/>
      <c r="M59" s="855"/>
      <c r="N59" s="854"/>
      <c r="O59" s="855"/>
      <c r="P59" s="1375"/>
    </row>
    <row r="60" spans="1:29" s="40" customFormat="1" ht="15" thickBot="1">
      <c r="A60" s="1045" t="s">
        <v>1035</v>
      </c>
      <c r="B60" s="1046"/>
      <c r="C60" s="859"/>
      <c r="D60" s="860"/>
      <c r="E60" s="860"/>
      <c r="F60" s="860"/>
      <c r="G60" s="860"/>
      <c r="H60" s="860"/>
      <c r="I60" s="860"/>
      <c r="J60" s="860"/>
      <c r="K60" s="860"/>
      <c r="L60" s="860"/>
      <c r="M60" s="861"/>
      <c r="N60" s="860"/>
      <c r="O60" s="861"/>
      <c r="P60" s="1375"/>
      <c r="Q60" s="121"/>
    </row>
    <row r="61" spans="1:29" s="40" customFormat="1">
      <c r="A61" s="1047" t="s">
        <v>1036</v>
      </c>
      <c r="B61" s="1044"/>
      <c r="C61" s="1048" t="s">
        <v>113</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1038</v>
      </c>
      <c r="B63" s="286" t="s">
        <v>998</v>
      </c>
      <c r="C63" s="176" t="str">
        <f>C9</f>
        <v>商业</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1040</v>
      </c>
      <c r="C65" s="881" t="s">
        <v>417</v>
      </c>
      <c r="D65" s="881" t="s">
        <v>1007</v>
      </c>
      <c r="E65" s="881" t="s">
        <v>419</v>
      </c>
      <c r="F65" s="881" t="s">
        <v>420</v>
      </c>
      <c r="G65" s="881" t="s">
        <v>435</v>
      </c>
      <c r="H65" s="881" t="s">
        <v>436</v>
      </c>
      <c r="I65" s="881" t="s">
        <v>1012</v>
      </c>
      <c r="J65" s="881"/>
      <c r="K65" s="882"/>
      <c r="L65" s="883"/>
      <c r="M65" s="884"/>
      <c r="N65" s="1387"/>
      <c r="O65" s="1387"/>
      <c r="P65" s="1377"/>
      <c r="Q65" s="121"/>
    </row>
    <row r="66" spans="1:17" ht="15" thickBot="1">
      <c r="A66" s="173"/>
      <c r="B66" s="1053"/>
      <c r="C66" s="886" t="s">
        <v>135</v>
      </c>
      <c r="D66" s="886" t="s">
        <v>135</v>
      </c>
      <c r="E66" s="886" t="s">
        <v>135</v>
      </c>
      <c r="F66" s="886">
        <v>100</v>
      </c>
      <c r="G66" s="886">
        <f>F66-$K10</f>
        <v>98</v>
      </c>
      <c r="H66" s="886">
        <f>G66-$K10</f>
        <v>96</v>
      </c>
      <c r="I66" s="886">
        <f>H66-$K10</f>
        <v>94</v>
      </c>
      <c r="J66" s="886"/>
      <c r="K66" s="886"/>
      <c r="L66" s="886"/>
      <c r="M66" s="887"/>
      <c r="N66" s="1388"/>
      <c r="O66" s="1388"/>
      <c r="P66" s="1377"/>
      <c r="Q66" s="121"/>
    </row>
    <row r="67" spans="1:17" ht="15" thickTop="1">
      <c r="A67" s="173"/>
      <c r="B67" s="1054" t="s">
        <v>1041</v>
      </c>
      <c r="C67" s="889" t="str">
        <f>C68&amp;"（含）"&amp;"-"&amp;D68</f>
        <v>1（含）-2</v>
      </c>
      <c r="D67" s="889" t="str">
        <f t="shared" ref="D67:L67" si="17">D68&amp;"（含）"&amp;"-"&amp;E68</f>
        <v>2（含）-3</v>
      </c>
      <c r="E67" s="889" t="str">
        <f t="shared" si="17"/>
        <v>3（含）-4</v>
      </c>
      <c r="F67" s="889" t="str">
        <f t="shared" si="17"/>
        <v>4（含）-5</v>
      </c>
      <c r="G67" s="889" t="str">
        <f t="shared" si="17"/>
        <v>5（含）-6</v>
      </c>
      <c r="H67" s="889" t="str">
        <f t="shared" si="17"/>
        <v>6（含）-7</v>
      </c>
      <c r="I67" s="889" t="str">
        <f t="shared" si="17"/>
        <v>7（含）-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1</v>
      </c>
      <c r="D68" s="891">
        <v>2</v>
      </c>
      <c r="E68" s="891">
        <v>3</v>
      </c>
      <c r="F68" s="891">
        <v>4</v>
      </c>
      <c r="G68" s="891">
        <v>5</v>
      </c>
      <c r="H68" s="891">
        <v>6</v>
      </c>
      <c r="I68" s="891">
        <v>7</v>
      </c>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1042</v>
      </c>
      <c r="B76" s="286" t="s">
        <v>107</v>
      </c>
      <c r="C76" s="915" t="s">
        <v>1013</v>
      </c>
      <c r="D76" s="915" t="s">
        <v>423</v>
      </c>
      <c r="E76" s="915" t="s">
        <v>424</v>
      </c>
      <c r="F76" s="915" t="s">
        <v>425</v>
      </c>
      <c r="G76" s="915" t="s">
        <v>426</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1049</v>
      </c>
      <c r="C78" s="920" t="s">
        <v>422</v>
      </c>
      <c r="D78" s="920" t="s">
        <v>423</v>
      </c>
      <c r="E78" s="920" t="s">
        <v>424</v>
      </c>
      <c r="F78" s="920" t="s">
        <v>425</v>
      </c>
      <c r="G78" s="920" t="s">
        <v>426</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31</v>
      </c>
      <c r="C80" s="920" t="s">
        <v>422</v>
      </c>
      <c r="D80" s="920" t="s">
        <v>423</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2651</v>
      </c>
      <c r="C82" s="213" t="s">
        <v>2654</v>
      </c>
      <c r="D82" s="213" t="s">
        <v>2655</v>
      </c>
      <c r="E82" s="213" t="s">
        <v>2656</v>
      </c>
      <c r="F82" s="213" t="s">
        <v>2657</v>
      </c>
      <c r="G82" s="213" t="s">
        <v>2658</v>
      </c>
      <c r="H82" s="881"/>
      <c r="I82" s="881"/>
      <c r="J82" s="881"/>
      <c r="K82" s="881"/>
      <c r="L82" s="881"/>
      <c r="M82" s="2763"/>
      <c r="N82" s="1388"/>
      <c r="O82" s="1388"/>
      <c r="P82" s="1377"/>
      <c r="Q82" s="121"/>
    </row>
    <row r="83" spans="1:17" ht="15" thickBot="1">
      <c r="A83" s="173"/>
      <c r="B83" s="1054"/>
      <c r="C83" s="886">
        <v>100</v>
      </c>
      <c r="D83" s="886">
        <f>C83-$K21</f>
        <v>99</v>
      </c>
      <c r="E83" s="886">
        <f t="shared" ref="E83:G83" si="19">D83-$K21</f>
        <v>98</v>
      </c>
      <c r="F83" s="886">
        <f t="shared" si="19"/>
        <v>97</v>
      </c>
      <c r="G83" s="886">
        <f t="shared" si="19"/>
        <v>96</v>
      </c>
      <c r="H83" s="1001"/>
      <c r="I83" s="1001"/>
      <c r="J83" s="1001"/>
      <c r="K83" s="1001"/>
      <c r="L83" s="1001"/>
      <c r="M83" s="792"/>
      <c r="N83" s="1388"/>
      <c r="O83" s="1388"/>
      <c r="P83" s="1377"/>
      <c r="Q83" s="121"/>
    </row>
    <row r="84" spans="1:17" ht="15" thickTop="1">
      <c r="A84" s="173"/>
      <c r="B84" s="1052" t="s">
        <v>95</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1051</v>
      </c>
      <c r="C86" s="139" t="s">
        <v>3126</v>
      </c>
      <c r="D86" s="139" t="s">
        <v>3127</v>
      </c>
      <c r="E86" s="139" t="s">
        <v>3128</v>
      </c>
      <c r="F86" s="139" t="s">
        <v>3129</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95</v>
      </c>
      <c r="E87" s="886">
        <f t="shared" si="20"/>
        <v>90</v>
      </c>
      <c r="F87" s="886">
        <f t="shared" si="20"/>
        <v>85</v>
      </c>
      <c r="G87" s="886">
        <f t="shared" si="20"/>
        <v>80</v>
      </c>
      <c r="H87" s="886">
        <f t="shared" si="20"/>
        <v>75</v>
      </c>
      <c r="I87" s="886">
        <f t="shared" si="20"/>
        <v>70</v>
      </c>
      <c r="J87" s="886">
        <f t="shared" si="20"/>
        <v>65</v>
      </c>
      <c r="K87" s="886">
        <f t="shared" si="20"/>
        <v>60</v>
      </c>
      <c r="L87" s="886">
        <f t="shared" si="20"/>
        <v>55</v>
      </c>
      <c r="M87" s="886">
        <f t="shared" si="20"/>
        <v>50</v>
      </c>
      <c r="N87" s="1388"/>
      <c r="O87" s="1388"/>
      <c r="P87" s="1377"/>
      <c r="Q87" s="121"/>
    </row>
    <row r="88" spans="1:17" s="40" customFormat="1" ht="14.25" thickTop="1">
      <c r="A88" s="1070"/>
      <c r="B88" s="1052" t="str">
        <f>B26</f>
        <v>可视性</v>
      </c>
      <c r="C88" s="139" t="s">
        <v>3132</v>
      </c>
      <c r="D88" s="139" t="s">
        <v>1045</v>
      </c>
      <c r="E88" s="139" t="s">
        <v>3133</v>
      </c>
      <c r="F88" s="1384" t="s">
        <v>3134</v>
      </c>
      <c r="G88" s="139" t="s">
        <v>3135</v>
      </c>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1"/>
    </row>
    <row r="92" spans="1:17" ht="14.25" thickTop="1">
      <c r="A92" s="173"/>
      <c r="B92" s="1052" t="str">
        <f>B28</f>
        <v>楼层</v>
      </c>
      <c r="C92" s="139" t="s">
        <v>3137</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1022</v>
      </c>
      <c r="B100" s="286" t="s">
        <v>1053</v>
      </c>
      <c r="C100" s="122" t="s">
        <v>3138</v>
      </c>
      <c r="D100" s="122" t="s">
        <v>3139</v>
      </c>
      <c r="E100" s="122" t="s">
        <v>3140</v>
      </c>
      <c r="F100" s="122" t="s">
        <v>3141</v>
      </c>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8"/>
      <c r="O101" s="1388"/>
      <c r="P101" s="1377"/>
      <c r="Q101" s="121"/>
    </row>
    <row r="102" spans="1:17" ht="15" thickTop="1">
      <c r="A102" s="173"/>
      <c r="B102" s="1052" t="s">
        <v>1054</v>
      </c>
      <c r="C102" s="920" t="str">
        <f>C103&amp;"(含)"&amp;"-"&amp;D103</f>
        <v>0(含)-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937">
        <v>0</v>
      </c>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v>100</v>
      </c>
      <c r="D104" s="878">
        <v>102</v>
      </c>
      <c r="E104" s="878">
        <v>104</v>
      </c>
      <c r="F104" s="878">
        <v>106</v>
      </c>
      <c r="G104" s="878">
        <v>108</v>
      </c>
      <c r="H104" s="878">
        <v>110</v>
      </c>
      <c r="I104" s="878"/>
      <c r="J104" s="878"/>
      <c r="K104" s="878"/>
      <c r="L104" s="878"/>
      <c r="M104" s="879"/>
      <c r="N104" s="1388"/>
      <c r="O104" s="1388"/>
      <c r="P104" s="1378"/>
      <c r="Q104" s="1061"/>
    </row>
    <row r="105" spans="1:17" ht="14.25" thickTop="1">
      <c r="A105" s="175"/>
      <c r="B105" s="1052" t="s">
        <v>92</v>
      </c>
      <c r="C105" s="139" t="s">
        <v>2432</v>
      </c>
      <c r="D105" s="139" t="s">
        <v>3099</v>
      </c>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8"/>
      <c r="O106" s="1388"/>
      <c r="P106" s="1377"/>
      <c r="Q106" s="121"/>
    </row>
    <row r="107" spans="1:17" ht="14.25" thickTop="1">
      <c r="A107" s="175"/>
      <c r="B107" s="1052" t="s">
        <v>1056</v>
      </c>
      <c r="C107" s="139" t="s">
        <v>3100</v>
      </c>
      <c r="D107" s="139" t="s">
        <v>3101</v>
      </c>
      <c r="E107" s="139" t="s">
        <v>3102</v>
      </c>
      <c r="F107" s="131" t="s">
        <v>3103</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8"/>
      <c r="O111" s="1388"/>
      <c r="P111" s="1377"/>
      <c r="Q111" s="121"/>
    </row>
    <row r="112" spans="1:17" s="1037" customFormat="1" ht="14.25" thickTop="1">
      <c r="A112" s="1071"/>
      <c r="B112" s="1052" t="s">
        <v>2636</v>
      </c>
      <c r="C112" s="139" t="s">
        <v>3109</v>
      </c>
      <c r="D112" s="139" t="s">
        <v>3110</v>
      </c>
      <c r="E112" s="139" t="s">
        <v>3111</v>
      </c>
      <c r="F112" s="139" t="s">
        <v>3143</v>
      </c>
      <c r="G112" s="139" t="s">
        <v>3144</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1058</v>
      </c>
      <c r="C114" s="139" t="s">
        <v>3145</v>
      </c>
      <c r="D114" s="139" t="s">
        <v>3146</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1059</v>
      </c>
      <c r="C116" s="139" t="s">
        <v>3114</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98</v>
      </c>
      <c r="E117" s="886">
        <f>D117-$K39</f>
        <v>96</v>
      </c>
      <c r="F117" s="886">
        <f>E117-$K39</f>
        <v>94</v>
      </c>
      <c r="G117" s="886">
        <f>F117-$K39</f>
        <v>92</v>
      </c>
      <c r="H117" s="886"/>
      <c r="I117" s="886"/>
      <c r="J117" s="886"/>
      <c r="K117" s="886"/>
      <c r="L117" s="886"/>
      <c r="M117" s="887"/>
      <c r="N117" s="1388"/>
      <c r="O117" s="1388"/>
      <c r="P117" s="1377"/>
      <c r="Q117" s="121"/>
    </row>
    <row r="118" spans="1:17" ht="15" thickTop="1">
      <c r="A118" s="175"/>
      <c r="B118" s="1052" t="s">
        <v>1060</v>
      </c>
      <c r="C118" s="968">
        <v>150</v>
      </c>
      <c r="D118" s="968">
        <v>301.2</v>
      </c>
      <c r="E118" s="968">
        <v>161</v>
      </c>
      <c r="F118" s="968"/>
      <c r="G118" s="968"/>
      <c r="H118" s="897"/>
      <c r="I118" s="897"/>
      <c r="J118" s="897"/>
      <c r="K118" s="897"/>
      <c r="L118" s="898"/>
      <c r="M118" s="899"/>
      <c r="N118" s="1387"/>
      <c r="O118" s="1387"/>
      <c r="P118" s="1377"/>
      <c r="Q118" s="121"/>
    </row>
    <row r="119" spans="1:17" ht="15" thickBot="1">
      <c r="A119" s="173"/>
      <c r="B119" s="1053"/>
      <c r="C119" s="902">
        <v>101</v>
      </c>
      <c r="D119" s="878">
        <v>100</v>
      </c>
      <c r="E119" s="878">
        <v>101</v>
      </c>
      <c r="F119" s="878"/>
      <c r="G119" s="878"/>
      <c r="H119" s="878"/>
      <c r="I119" s="878"/>
      <c r="J119" s="878"/>
      <c r="K119" s="878"/>
      <c r="L119" s="878"/>
      <c r="M119" s="879"/>
      <c r="N119" s="1388"/>
      <c r="O119" s="1388"/>
      <c r="P119" s="1377"/>
      <c r="Q119" s="121"/>
    </row>
    <row r="120" spans="1:17" s="1037" customFormat="1" ht="14.25" thickTop="1">
      <c r="A120" s="1071"/>
      <c r="B120" s="1052" t="s">
        <v>1030</v>
      </c>
      <c r="C120" s="131" t="s">
        <v>1044</v>
      </c>
      <c r="D120" s="131" t="s">
        <v>1045</v>
      </c>
      <c r="E120" s="131" t="s">
        <v>3133</v>
      </c>
      <c r="F120" s="131" t="s">
        <v>1047</v>
      </c>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98</v>
      </c>
      <c r="E121" s="886">
        <f t="shared" ref="E121:M121" si="29">D121-$K41</f>
        <v>96</v>
      </c>
      <c r="F121" s="886">
        <f t="shared" si="29"/>
        <v>94</v>
      </c>
      <c r="G121" s="886">
        <f t="shared" si="29"/>
        <v>92</v>
      </c>
      <c r="H121" s="886">
        <f t="shared" si="29"/>
        <v>90</v>
      </c>
      <c r="I121" s="886">
        <f t="shared" si="29"/>
        <v>88</v>
      </c>
      <c r="J121" s="886">
        <f t="shared" si="29"/>
        <v>86</v>
      </c>
      <c r="K121" s="886">
        <f t="shared" si="29"/>
        <v>84</v>
      </c>
      <c r="L121" s="886">
        <f t="shared" si="29"/>
        <v>82</v>
      </c>
      <c r="M121" s="887">
        <f t="shared" si="29"/>
        <v>80</v>
      </c>
      <c r="N121" s="1389"/>
      <c r="O121" s="1389"/>
      <c r="P121" s="1378"/>
      <c r="Q121" s="1061"/>
    </row>
    <row r="122" spans="1:17" ht="14.25" thickTop="1">
      <c r="A122" s="175"/>
      <c r="B122" s="1052" t="s">
        <v>123</v>
      </c>
      <c r="C122" s="139" t="s">
        <v>3100</v>
      </c>
      <c r="D122" s="139" t="s">
        <v>3101</v>
      </c>
      <c r="E122" s="139" t="s">
        <v>3102</v>
      </c>
      <c r="F122" s="131" t="s">
        <v>3103</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t="str">
        <f>B44</f>
        <v>可视性</v>
      </c>
      <c r="C126" s="139" t="s">
        <v>1044</v>
      </c>
      <c r="D126" s="139" t="s">
        <v>1045</v>
      </c>
      <c r="E126" s="139" t="s">
        <v>1046</v>
      </c>
      <c r="F126" s="1384" t="s">
        <v>1047</v>
      </c>
      <c r="G126" s="139" t="s">
        <v>1048</v>
      </c>
      <c r="H126" s="1057"/>
      <c r="I126" s="1057"/>
      <c r="J126" s="1057"/>
      <c r="K126" s="1057"/>
      <c r="L126" s="1058"/>
      <c r="M126" s="1059"/>
      <c r="N126" s="1389"/>
      <c r="O126" s="1389"/>
      <c r="P126" s="1378"/>
      <c r="Q126" s="1061"/>
    </row>
    <row r="127" spans="1:17" s="1037" customFormat="1" ht="15" thickBot="1">
      <c r="A127" s="1056"/>
      <c r="B127" s="1053"/>
      <c r="C127" s="902">
        <v>100</v>
      </c>
      <c r="D127" s="878">
        <v>96</v>
      </c>
      <c r="E127" s="878">
        <v>92</v>
      </c>
      <c r="F127" s="878">
        <v>88</v>
      </c>
      <c r="G127" s="878">
        <v>84</v>
      </c>
      <c r="H127" s="904"/>
      <c r="I127" s="904"/>
      <c r="J127" s="904"/>
      <c r="K127" s="904"/>
      <c r="L127" s="904"/>
      <c r="M127" s="905"/>
      <c r="N127" s="1389"/>
      <c r="O127" s="1389"/>
      <c r="P127" s="1378"/>
      <c r="Q127" s="1061"/>
    </row>
    <row r="128" spans="1:17" ht="14.25" thickTop="1">
      <c r="A128" s="175"/>
      <c r="B128" s="1052" t="str">
        <f>B45</f>
        <v>平面位置</v>
      </c>
      <c r="C128" s="139" t="s">
        <v>1044</v>
      </c>
      <c r="D128" s="139" t="s">
        <v>3220</v>
      </c>
      <c r="E128" s="139" t="s">
        <v>1046</v>
      </c>
      <c r="F128" s="139" t="s">
        <v>3218</v>
      </c>
      <c r="G128" s="139" t="s">
        <v>3219</v>
      </c>
      <c r="H128" s="131"/>
      <c r="I128" s="131"/>
      <c r="J128" s="131"/>
      <c r="K128" s="132"/>
      <c r="L128" s="133"/>
      <c r="M128" s="134"/>
      <c r="N128" s="1387"/>
      <c r="O128" s="1387"/>
      <c r="P128" s="1377"/>
      <c r="Q128" s="121"/>
    </row>
    <row r="129" spans="1:17" ht="15" thickBot="1">
      <c r="A129" s="173"/>
      <c r="B129" s="1053"/>
      <c r="C129" s="902">
        <v>100</v>
      </c>
      <c r="D129" s="878">
        <v>96</v>
      </c>
      <c r="E129" s="878">
        <v>92</v>
      </c>
      <c r="F129" s="878">
        <v>88</v>
      </c>
      <c r="G129" s="902">
        <v>84</v>
      </c>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34" priority="16"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2004</v>
      </c>
    </row>
    <row r="2" spans="1:1">
      <c r="A2" s="1946"/>
    </row>
    <row r="3" spans="1:1" ht="18.75">
      <c r="A3" s="2887" t="str">
        <f>项目基本情况!B5&amp;"："</f>
        <v>新华人寿保险股份有限公司新疆分公司：</v>
      </c>
    </row>
    <row r="4" spans="1:1" ht="37.5">
      <c r="A4" s="1947" t="str">
        <f>"受贵公司委托，我公司对"&amp;项目基本情况!S1&amp;"进行了预评估。"</f>
        <v>受贵公司委托，我公司对新疆伊宁市经济合作区上海路以西山东路以南（万荣广场）房地产市场价值进行了预评估。</v>
      </c>
    </row>
    <row r="5" spans="1:1" ht="18.75">
      <c r="A5" s="1948" t="s">
        <v>2005</v>
      </c>
    </row>
    <row r="6" spans="1:1" ht="18.75">
      <c r="A6" s="3054" t="s">
        <v>2869</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伊宁市经济合作区上海路以西山东路以南（万荣广场）房地产，为新疆万荣房地产开发有限公司所有。根据《国有土地使用证》，估价对象（分摊）出让国有建设用地使用权面积为0平方米，建筑面积为3353.77平方米。</v>
      </c>
    </row>
    <row r="8" spans="1:1" ht="56.25">
      <c r="A8" s="1991" t="s">
        <v>2862</v>
      </c>
    </row>
    <row r="9" spans="1:1" ht="18.75">
      <c r="A9" s="3054" t="s">
        <v>2870</v>
      </c>
    </row>
    <row r="10" spans="1:1" ht="75">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伊宁市经济合作区上海路以西山东路以南（万荣广场）房地产,属新疆万荣房地产开发有限公司开发建设的，该项目尚在开发建设中。根据《国有土地使用证》，估价对象（分摊）出让国有建设用地使用权面积为0平方米，规划建筑面积为3353.77平方米。</v>
      </c>
    </row>
    <row r="11" spans="1:1" ht="75">
      <c r="A11" s="1991" t="s">
        <v>2904</v>
      </c>
    </row>
    <row r="12" spans="1:1" ht="18.75">
      <c r="A12" s="1948" t="s">
        <v>2006</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2007</v>
      </c>
    </row>
    <row r="15" spans="1:1" ht="18.75">
      <c r="A15" s="1951" t="str">
        <f>TEXT(项目基本情况!D3,"yyyy年m月d日;;")&amp;IF(项目基本情况!D3=项目基本情况!B3,"（评估专业人员实地查勘之日）","")</f>
        <v>2017年9月25日（评估专业人员实地查勘之日）</v>
      </c>
    </row>
    <row r="16" spans="1:1" ht="18.75">
      <c r="A16" s="1950" t="s">
        <v>2009</v>
      </c>
    </row>
    <row r="17" spans="1:1" ht="75">
      <c r="A17" s="1947" t="s">
        <v>2863</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25日，估价对象规划用途为商业、住宅，土地取得方式为出让，出让国有建设用地使用权剩余土地使用年限为住宅63.93年、商业33.9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通热、燃气）、红线内场地平整条件下，剩余土地使用年限为住宅63.93年、商业33.9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2864</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2024</v>
      </c>
    </row>
    <row r="24" spans="1:1" ht="18.75">
      <c r="A24" s="1954" t="str">
        <f>"本次评估采用的主估价方法为"&amp;'结果表（办公）'!K4&amp;"和"&amp;'结果表（办公）'!L4&amp;"。"</f>
        <v>本次评估采用的主估价方法为比较法和收益法。</v>
      </c>
    </row>
    <row r="25" spans="1:1" ht="18.75">
      <c r="A25" s="1954"/>
    </row>
    <row r="26" spans="1:1" ht="18.75">
      <c r="A26" s="2082" t="s">
        <v>2106</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A37" sqref="A37:XFD3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1064</v>
      </c>
      <c r="B1" s="3120" t="s">
        <v>1065</v>
      </c>
      <c r="C1" s="3114" t="s">
        <v>1066</v>
      </c>
      <c r="D1" s="3105" t="s">
        <v>3154</v>
      </c>
      <c r="E1" s="3110"/>
      <c r="F1" s="3107" t="s">
        <v>2694</v>
      </c>
      <c r="G1" s="3109" t="s">
        <v>1067</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1068</v>
      </c>
      <c r="B2" s="2845">
        <f>IF(C2="——",ROUND(C50*D3/10000,0),ROUND(C50*D3/10000,0)-D2)</f>
        <v>1246</v>
      </c>
      <c r="C2" s="3099" t="s">
        <v>527</v>
      </c>
      <c r="D2" s="2722"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1069</v>
      </c>
      <c r="B3" s="951">
        <f>IF(C2="——",C50,ROUND(B2*10000/D3,0))</f>
        <v>6124</v>
      </c>
      <c r="C3" s="142" t="s">
        <v>1070</v>
      </c>
      <c r="D3" s="741">
        <f>IF(D1="",'数据-汇总表'!E3,SUMIF('数据-汇总表'!$C19:$C33,D1,'数据-汇总表'!$E19:$E33))</f>
        <v>2035.05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1071</v>
      </c>
      <c r="B4" s="144"/>
      <c r="C4" s="3622" t="s">
        <v>1072</v>
      </c>
      <c r="D4" s="3623"/>
      <c r="E4" s="3624" t="s">
        <v>1073</v>
      </c>
      <c r="F4" s="3625"/>
      <c r="G4" s="3622" t="s">
        <v>1074</v>
      </c>
      <c r="H4" s="3623"/>
      <c r="I4" s="3622" t="s">
        <v>1075</v>
      </c>
      <c r="J4" s="3623"/>
      <c r="K4" s="187" t="s">
        <v>1076</v>
      </c>
      <c r="L4" s="2294"/>
      <c r="M4" s="2295"/>
      <c r="N4" s="2295"/>
      <c r="O4" s="2295"/>
      <c r="P4" s="3661" t="s">
        <v>1071</v>
      </c>
      <c r="Q4" s="3662"/>
      <c r="R4" s="3656" t="s">
        <v>1073</v>
      </c>
      <c r="S4" s="3657"/>
      <c r="T4" s="3656" t="s">
        <v>1074</v>
      </c>
      <c r="U4" s="3657"/>
      <c r="V4" s="3665" t="s">
        <v>1075</v>
      </c>
      <c r="W4" s="3665"/>
      <c r="X4" s="2334"/>
      <c r="Y4" s="3656" t="s">
        <v>1071</v>
      </c>
      <c r="Z4" s="3657"/>
      <c r="AA4" s="3655" t="s">
        <v>1073</v>
      </c>
      <c r="AB4" s="3655" t="s">
        <v>1074</v>
      </c>
      <c r="AC4" s="3658" t="s">
        <v>1075</v>
      </c>
    </row>
    <row r="5" spans="1:29">
      <c r="A5" s="146"/>
      <c r="B5" s="147"/>
      <c r="C5" s="3615" t="s">
        <v>3079</v>
      </c>
      <c r="D5" s="3616"/>
      <c r="E5" s="3613" t="s">
        <v>3159</v>
      </c>
      <c r="F5" s="3614"/>
      <c r="G5" s="3615" t="s">
        <v>3160</v>
      </c>
      <c r="H5" s="3616"/>
      <c r="I5" s="3615" t="s">
        <v>3161</v>
      </c>
      <c r="J5" s="3616"/>
      <c r="K5" s="187"/>
      <c r="L5" s="2294"/>
      <c r="M5" s="2295"/>
      <c r="N5" s="2295"/>
      <c r="O5" s="2295"/>
      <c r="P5" s="3663"/>
      <c r="Q5" s="3629"/>
      <c r="R5" s="3611"/>
      <c r="S5" s="3612"/>
      <c r="T5" s="3611"/>
      <c r="U5" s="3612"/>
      <c r="V5" s="3634"/>
      <c r="W5" s="3634"/>
      <c r="X5" s="2220"/>
      <c r="Y5" s="3611"/>
      <c r="Z5" s="3612"/>
      <c r="AA5" s="3605"/>
      <c r="AB5" s="3605"/>
      <c r="AC5" s="3659"/>
    </row>
    <row r="6" spans="1:29" ht="14.25" thickBot="1">
      <c r="A6" s="148"/>
      <c r="B6" s="149"/>
      <c r="C6" s="3617" t="s">
        <v>1077</v>
      </c>
      <c r="D6" s="3618"/>
      <c r="E6" s="3619" t="s">
        <v>1077</v>
      </c>
      <c r="F6" s="3620"/>
      <c r="G6" s="3617" t="s">
        <v>1077</v>
      </c>
      <c r="H6" s="3618"/>
      <c r="I6" s="3617" t="s">
        <v>1077</v>
      </c>
      <c r="J6" s="3618"/>
      <c r="K6" s="187" t="s">
        <v>1078</v>
      </c>
      <c r="L6" s="2294"/>
      <c r="M6" s="2295"/>
      <c r="N6" s="2295"/>
      <c r="O6" s="2295"/>
      <c r="P6" s="3664"/>
      <c r="Q6" s="3631"/>
      <c r="R6" s="3611"/>
      <c r="S6" s="3612"/>
      <c r="T6" s="3632"/>
      <c r="U6" s="3633"/>
      <c r="V6" s="3634"/>
      <c r="W6" s="3634"/>
      <c r="X6" s="2220"/>
      <c r="Y6" s="3632"/>
      <c r="Z6" s="3633"/>
      <c r="AA6" s="3606"/>
      <c r="AB6" s="3606"/>
      <c r="AC6" s="3660"/>
    </row>
    <row r="7" spans="1:29" s="40" customFormat="1" ht="15" thickBot="1">
      <c r="A7" s="1012" t="s">
        <v>1079</v>
      </c>
      <c r="B7" s="1013"/>
      <c r="C7" s="752">
        <f>'数据-取费表'!B2</f>
        <v>43003</v>
      </c>
      <c r="D7" s="753">
        <v>100</v>
      </c>
      <c r="E7" s="1015">
        <v>43003</v>
      </c>
      <c r="F7" s="755">
        <f>SUMIF(59:59,YEAR(E7)&amp;"-"&amp;MONTH(E7),60:60)</f>
        <v>100</v>
      </c>
      <c r="G7" s="1015">
        <v>43003</v>
      </c>
      <c r="H7" s="753">
        <f>SUMIF(59:59,YEAR(G7)&amp;"-"&amp;MONTH(G7),60:60)</f>
        <v>100</v>
      </c>
      <c r="I7" s="1015">
        <v>43003</v>
      </c>
      <c r="J7" s="753">
        <f>SUMIF(59:59,YEAR(I7)&amp;"-"&amp;MONTH(I7),60:60)</f>
        <v>100</v>
      </c>
      <c r="K7" s="1017"/>
      <c r="L7" s="2296"/>
      <c r="M7" s="2258"/>
      <c r="N7" s="2258"/>
      <c r="O7" s="2258"/>
      <c r="P7" s="3666" t="s">
        <v>1079</v>
      </c>
      <c r="Q7" s="3635"/>
      <c r="R7" s="1340" t="s">
        <v>62</v>
      </c>
      <c r="S7" s="1341">
        <f t="shared" ref="S7:S15" si="0">F7</f>
        <v>100</v>
      </c>
      <c r="T7" s="1340" t="s">
        <v>62</v>
      </c>
      <c r="U7" s="1341">
        <f t="shared" ref="U7:U15" si="1">H7</f>
        <v>100</v>
      </c>
      <c r="V7" s="1340" t="s">
        <v>62</v>
      </c>
      <c r="W7" s="1341">
        <f t="shared" ref="W7:W15" si="2">J7</f>
        <v>100</v>
      </c>
      <c r="X7" s="287"/>
      <c r="Y7" s="3607" t="s">
        <v>1079</v>
      </c>
      <c r="Z7" s="3608"/>
      <c r="AA7" s="1342">
        <f>D7/F7</f>
        <v>1</v>
      </c>
      <c r="AB7" s="1342">
        <f>D7/H7</f>
        <v>1</v>
      </c>
      <c r="AC7" s="2335">
        <f>D7/J7</f>
        <v>1</v>
      </c>
    </row>
    <row r="8" spans="1:29" s="40" customFormat="1" ht="15" thickBot="1">
      <c r="A8" s="1012" t="s">
        <v>1080</v>
      </c>
      <c r="B8" s="1013"/>
      <c r="C8" s="1018" t="s">
        <v>152</v>
      </c>
      <c r="D8" s="753">
        <v>100</v>
      </c>
      <c r="E8" s="1018" t="s">
        <v>152</v>
      </c>
      <c r="F8" s="755">
        <f>SUMIF(62:62,E8,63:63)-SUMIF(62:62,C8,63:63)+100</f>
        <v>100</v>
      </c>
      <c r="G8" s="1018" t="s">
        <v>152</v>
      </c>
      <c r="H8" s="753">
        <f>SUMIF(62:62,G8,63:63)-SUMIF(62:62,C8,63:63)+100</f>
        <v>100</v>
      </c>
      <c r="I8" s="1018" t="s">
        <v>152</v>
      </c>
      <c r="J8" s="753">
        <f>SUMIF(62:62,I8,63:63)-SUMIF(62:62,C8,63:63)+100</f>
        <v>100</v>
      </c>
      <c r="K8" s="1017"/>
      <c r="L8" s="2296"/>
      <c r="M8" s="2258"/>
      <c r="N8" s="2258"/>
      <c r="O8" s="2258"/>
      <c r="P8" s="3666" t="s">
        <v>1018</v>
      </c>
      <c r="Q8" s="3608"/>
      <c r="R8" s="1340" t="s">
        <v>62</v>
      </c>
      <c r="S8" s="1341">
        <f t="shared" si="0"/>
        <v>100</v>
      </c>
      <c r="T8" s="1340" t="s">
        <v>62</v>
      </c>
      <c r="U8" s="1341">
        <f t="shared" si="1"/>
        <v>100</v>
      </c>
      <c r="V8" s="1340" t="s">
        <v>62</v>
      </c>
      <c r="W8" s="1341">
        <f t="shared" si="2"/>
        <v>100</v>
      </c>
      <c r="X8" s="287"/>
      <c r="Y8" s="3607" t="s">
        <v>1018</v>
      </c>
      <c r="Z8" s="3608"/>
      <c r="AA8" s="1342">
        <f t="shared" ref="AA8:AA47" si="3">D8/F8</f>
        <v>1</v>
      </c>
      <c r="AB8" s="1342">
        <f t="shared" ref="AB8:AB47" si="4">D8/H8</f>
        <v>1</v>
      </c>
      <c r="AC8" s="2335">
        <f t="shared" ref="AC8:AC47" si="5">D8/J8</f>
        <v>1</v>
      </c>
    </row>
    <row r="9" spans="1:29" s="40" customFormat="1" ht="14.25">
      <c r="A9" s="1019" t="s">
        <v>1019</v>
      </c>
      <c r="B9" s="62" t="s">
        <v>1020</v>
      </c>
      <c r="C9" s="1344" t="s">
        <v>3080</v>
      </c>
      <c r="D9" s="424">
        <v>100</v>
      </c>
      <c r="E9" s="1346" t="s">
        <v>3043</v>
      </c>
      <c r="F9" s="424">
        <f>SUMIF(64:64,E9,65:65)-SUMIF(64:64,C9,65:65)+100</f>
        <v>100</v>
      </c>
      <c r="G9" s="1345" t="s">
        <v>3043</v>
      </c>
      <c r="H9" s="424">
        <f>SUMIF(64:64,G9,65:65)-SUMIF(64:64,C9,65:65)+100</f>
        <v>100</v>
      </c>
      <c r="I9" s="1345" t="s">
        <v>3043</v>
      </c>
      <c r="J9" s="424">
        <f>SUMIF(64:64,I9,65:65)-SUMIF(64:64,C9,65:65)+100</f>
        <v>100</v>
      </c>
      <c r="K9" s="1017"/>
      <c r="L9" s="2296"/>
      <c r="M9" s="2258"/>
      <c r="N9" s="2258"/>
      <c r="O9" s="2258"/>
      <c r="P9" s="3621" t="s">
        <v>64</v>
      </c>
      <c r="Q9" s="2211" t="str">
        <f t="shared" ref="Q9:Q15" si="6">B9</f>
        <v>用途</v>
      </c>
      <c r="R9" s="1340" t="s">
        <v>62</v>
      </c>
      <c r="S9" s="1341">
        <f t="shared" si="0"/>
        <v>100</v>
      </c>
      <c r="T9" s="1340" t="s">
        <v>62</v>
      </c>
      <c r="U9" s="1341">
        <f t="shared" si="1"/>
        <v>100</v>
      </c>
      <c r="V9" s="1340" t="s">
        <v>62</v>
      </c>
      <c r="W9" s="1341">
        <f t="shared" si="2"/>
        <v>100</v>
      </c>
      <c r="X9" s="287"/>
      <c r="Y9" s="3450" t="s">
        <v>64</v>
      </c>
      <c r="Z9" s="2210" t="str">
        <f t="shared" ref="Z9:Z15" si="7">Q9</f>
        <v>用途</v>
      </c>
      <c r="AA9" s="1342">
        <f t="shared" si="3"/>
        <v>1</v>
      </c>
      <c r="AB9" s="1342">
        <f t="shared" si="4"/>
        <v>1</v>
      </c>
      <c r="AC9" s="2335">
        <f t="shared" si="5"/>
        <v>1</v>
      </c>
    </row>
    <row r="10" spans="1:29" s="92" customFormat="1" ht="27.75" thickBot="1">
      <c r="A10" s="150"/>
      <c r="B10" s="12" t="s">
        <v>103</v>
      </c>
      <c r="C10" s="1347" t="s">
        <v>3081</v>
      </c>
      <c r="D10" s="425">
        <v>100</v>
      </c>
      <c r="E10" s="1347" t="s">
        <v>3081</v>
      </c>
      <c r="F10" s="425">
        <f>SUMIF(66:66,E10,67:67)-SUMIF(66:66,C10,67:67)+100</f>
        <v>100</v>
      </c>
      <c r="G10" s="1348" t="s">
        <v>3081</v>
      </c>
      <c r="H10" s="425">
        <f>SUMIF(66:66,G10,67:67)-SUMIF(66:66,C10,67:67)+100</f>
        <v>100</v>
      </c>
      <c r="I10" s="1347" t="s">
        <v>3081</v>
      </c>
      <c r="J10" s="425">
        <f>SUMIF(66:66,I10,67:67)-SUMIF(66:66,C10,67:67)+100</f>
        <v>100</v>
      </c>
      <c r="K10" s="954">
        <v>2</v>
      </c>
      <c r="L10" s="2297"/>
      <c r="M10" s="2298"/>
      <c r="N10" s="2298"/>
      <c r="O10" s="2298"/>
      <c r="P10" s="3621"/>
      <c r="Q10" s="2211" t="str">
        <f t="shared" si="6"/>
        <v>土地使用年限（年）</v>
      </c>
      <c r="R10" s="1340" t="s">
        <v>62</v>
      </c>
      <c r="S10" s="1341">
        <f t="shared" si="0"/>
        <v>100</v>
      </c>
      <c r="T10" s="1340" t="s">
        <v>62</v>
      </c>
      <c r="U10" s="1341">
        <f t="shared" si="1"/>
        <v>100</v>
      </c>
      <c r="V10" s="1340" t="s">
        <v>62</v>
      </c>
      <c r="W10" s="1341">
        <f t="shared" si="2"/>
        <v>100</v>
      </c>
      <c r="X10" s="287"/>
      <c r="Y10" s="3450"/>
      <c r="Z10" s="2210" t="str">
        <f t="shared" si="7"/>
        <v>土地使用年限（年）</v>
      </c>
      <c r="AA10" s="1342">
        <f t="shared" si="3"/>
        <v>1</v>
      </c>
      <c r="AB10" s="1342">
        <f t="shared" si="4"/>
        <v>1</v>
      </c>
      <c r="AC10" s="2335">
        <f t="shared" si="5"/>
        <v>1</v>
      </c>
    </row>
    <row r="11" spans="1:29" ht="15.75" hidden="1" thickBot="1">
      <c r="A11" s="151"/>
      <c r="B11" s="12" t="s">
        <v>90</v>
      </c>
      <c r="C11" s="771">
        <v>3.5</v>
      </c>
      <c r="D11" s="425">
        <v>100</v>
      </c>
      <c r="E11" s="771">
        <f>'比较法-商业'!E11</f>
        <v>4.37</v>
      </c>
      <c r="F11" s="425">
        <f>LOOKUP(E11,69:69,70:70)-LOOKUP(C11,69:69,70:70)+100</f>
        <v>100</v>
      </c>
      <c r="G11" s="772">
        <f>'比较法-商业'!G11</f>
        <v>3.99</v>
      </c>
      <c r="H11" s="425">
        <f>LOOKUP(G11,69:69,70:70)-LOOKUP(C11,69:69,70:70)+100</f>
        <v>100</v>
      </c>
      <c r="I11" s="771">
        <v>3</v>
      </c>
      <c r="J11" s="425">
        <f>LOOKUP(I11,69:69,70:70)-LOOKUP(C11,69:69,70:70)+100</f>
        <v>100</v>
      </c>
      <c r="K11" s="954"/>
      <c r="L11" s="2299"/>
      <c r="M11" s="2295"/>
      <c r="N11" s="2295"/>
      <c r="O11" s="2295"/>
      <c r="P11" s="3621"/>
      <c r="Q11" s="2211" t="str">
        <f t="shared" si="6"/>
        <v>容积率</v>
      </c>
      <c r="R11" s="1340" t="s">
        <v>62</v>
      </c>
      <c r="S11" s="1341">
        <f t="shared" si="0"/>
        <v>100</v>
      </c>
      <c r="T11" s="1340" t="s">
        <v>62</v>
      </c>
      <c r="U11" s="1341">
        <f t="shared" si="1"/>
        <v>100</v>
      </c>
      <c r="V11" s="1340" t="s">
        <v>62</v>
      </c>
      <c r="W11" s="1341">
        <f t="shared" si="2"/>
        <v>100</v>
      </c>
      <c r="X11" s="287"/>
      <c r="Y11" s="3450"/>
      <c r="Z11" s="2210" t="str">
        <f t="shared" si="7"/>
        <v>容积率</v>
      </c>
      <c r="AA11" s="1342">
        <f t="shared" si="3"/>
        <v>1</v>
      </c>
      <c r="AB11" s="1342">
        <f t="shared" si="4"/>
        <v>1</v>
      </c>
      <c r="AC11" s="2335">
        <f t="shared" si="5"/>
        <v>1</v>
      </c>
    </row>
    <row r="12" spans="1:29" s="40" customFormat="1" ht="14.25" hidden="1">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21"/>
      <c r="Q12" s="2211">
        <f t="shared" si="6"/>
        <v>111</v>
      </c>
      <c r="R12" s="1340" t="s">
        <v>62</v>
      </c>
      <c r="S12" s="1341">
        <f t="shared" si="0"/>
        <v>100</v>
      </c>
      <c r="T12" s="1340" t="s">
        <v>62</v>
      </c>
      <c r="U12" s="1341">
        <f t="shared" si="1"/>
        <v>100</v>
      </c>
      <c r="V12" s="1340" t="s">
        <v>62</v>
      </c>
      <c r="W12" s="1341">
        <f t="shared" si="2"/>
        <v>100</v>
      </c>
      <c r="X12" s="287"/>
      <c r="Y12" s="3450"/>
      <c r="Z12" s="2210">
        <f t="shared" si="7"/>
        <v>111</v>
      </c>
      <c r="AA12" s="1342">
        <f>D12/F12</f>
        <v>1</v>
      </c>
      <c r="AB12" s="1342">
        <f>D12/H12</f>
        <v>1</v>
      </c>
      <c r="AC12" s="2335">
        <f>D12/J12</f>
        <v>1</v>
      </c>
    </row>
    <row r="13" spans="1:29" ht="14.25" hidden="1">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21"/>
      <c r="Q13" s="2211">
        <f t="shared" si="6"/>
        <v>111</v>
      </c>
      <c r="R13" s="1340" t="s">
        <v>62</v>
      </c>
      <c r="S13" s="1341">
        <f t="shared" si="0"/>
        <v>100</v>
      </c>
      <c r="T13" s="1340" t="s">
        <v>62</v>
      </c>
      <c r="U13" s="1341">
        <f t="shared" si="1"/>
        <v>100</v>
      </c>
      <c r="V13" s="1340" t="s">
        <v>62</v>
      </c>
      <c r="W13" s="1341">
        <f t="shared" si="2"/>
        <v>100</v>
      </c>
      <c r="X13" s="287"/>
      <c r="Y13" s="3450"/>
      <c r="Z13" s="2210">
        <f t="shared" si="7"/>
        <v>111</v>
      </c>
      <c r="AA13" s="1342">
        <f t="shared" si="3"/>
        <v>1</v>
      </c>
      <c r="AB13" s="1342">
        <f t="shared" si="4"/>
        <v>1</v>
      </c>
      <c r="AC13" s="2335">
        <f t="shared" si="5"/>
        <v>1</v>
      </c>
    </row>
    <row r="14" spans="1:29" ht="15" hidden="1"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21"/>
      <c r="Q14" s="2211">
        <f t="shared" si="6"/>
        <v>111</v>
      </c>
      <c r="R14" s="1340" t="s">
        <v>62</v>
      </c>
      <c r="S14" s="1341">
        <f t="shared" si="0"/>
        <v>100</v>
      </c>
      <c r="T14" s="1340" t="s">
        <v>62</v>
      </c>
      <c r="U14" s="1341">
        <f t="shared" si="1"/>
        <v>100</v>
      </c>
      <c r="V14" s="1340" t="s">
        <v>62</v>
      </c>
      <c r="W14" s="1341">
        <f t="shared" si="2"/>
        <v>100</v>
      </c>
      <c r="X14" s="287"/>
      <c r="Y14" s="3450"/>
      <c r="Z14" s="2210">
        <f t="shared" si="7"/>
        <v>111</v>
      </c>
      <c r="AA14" s="1342">
        <f t="shared" si="3"/>
        <v>1</v>
      </c>
      <c r="AB14" s="1342">
        <f t="shared" si="4"/>
        <v>1</v>
      </c>
      <c r="AC14" s="2335">
        <f t="shared" si="5"/>
        <v>1</v>
      </c>
    </row>
    <row r="15" spans="1:29" ht="67.5">
      <c r="A15" s="155" t="s">
        <v>66</v>
      </c>
      <c r="B15" s="1031" t="s">
        <v>139</v>
      </c>
      <c r="C15" s="208" t="str">
        <f>估价对象房地状况!C5</f>
        <v>估价对象位于开发区，周边办公楼项目较多，入驻率高，办公集聚程度一般</v>
      </c>
      <c r="D15" s="783">
        <v>100</v>
      </c>
      <c r="E15" s="96"/>
      <c r="F15" s="783">
        <f>SUMIF(77:77,E16,78:78)-SUMIF(77:77,C16,78:78)+100</f>
        <v>100</v>
      </c>
      <c r="G15" s="95"/>
      <c r="H15" s="783">
        <f>SUMIF(77:77,G16,78:78)-SUMIF(77:77,C16,78:78)+100</f>
        <v>100</v>
      </c>
      <c r="I15" s="95"/>
      <c r="J15" s="783">
        <f>SUMIF(77:77,I16,78:78)-SUMIF(77:77,C16,78:78)+100</f>
        <v>102</v>
      </c>
      <c r="K15" s="956">
        <v>2</v>
      </c>
      <c r="L15" s="2300"/>
      <c r="M15" s="2295"/>
      <c r="N15" s="2295"/>
      <c r="O15" s="2295"/>
      <c r="P15" s="3648" t="s">
        <v>66</v>
      </c>
      <c r="Q15" s="2218" t="str">
        <f t="shared" si="6"/>
        <v>办公集聚程度</v>
      </c>
      <c r="R15" s="1350" t="s">
        <v>62</v>
      </c>
      <c r="S15" s="1351">
        <f t="shared" si="0"/>
        <v>100</v>
      </c>
      <c r="T15" s="1350" t="s">
        <v>62</v>
      </c>
      <c r="U15" s="1351">
        <f t="shared" si="1"/>
        <v>100</v>
      </c>
      <c r="V15" s="1350" t="s">
        <v>62</v>
      </c>
      <c r="W15" s="1351">
        <f t="shared" si="2"/>
        <v>102</v>
      </c>
      <c r="X15" s="2220"/>
      <c r="Y15" s="3641" t="s">
        <v>66</v>
      </c>
      <c r="Z15" s="2219" t="str">
        <f t="shared" si="7"/>
        <v>办公集聚程度</v>
      </c>
      <c r="AA15" s="1353">
        <f t="shared" si="3"/>
        <v>1</v>
      </c>
      <c r="AB15" s="1353">
        <f t="shared" si="4"/>
        <v>1</v>
      </c>
      <c r="AC15" s="2336">
        <f t="shared" si="5"/>
        <v>0.98039215686274506</v>
      </c>
    </row>
    <row r="16" spans="1:29" ht="14.25">
      <c r="A16" s="151"/>
      <c r="B16" s="209"/>
      <c r="C16" s="192" t="s">
        <v>3082</v>
      </c>
      <c r="D16" s="790"/>
      <c r="E16" s="97" t="s">
        <v>3082</v>
      </c>
      <c r="F16" s="790"/>
      <c r="G16" s="192" t="s">
        <v>3082</v>
      </c>
      <c r="H16" s="792"/>
      <c r="I16" s="97" t="s">
        <v>3084</v>
      </c>
      <c r="J16" s="790"/>
      <c r="K16" s="189"/>
      <c r="L16" s="2300"/>
      <c r="M16" s="2295"/>
      <c r="N16" s="2295"/>
      <c r="O16" s="2295"/>
      <c r="P16" s="3649"/>
      <c r="Q16" s="2218"/>
      <c r="R16" s="1350"/>
      <c r="S16" s="1351"/>
      <c r="T16" s="1350"/>
      <c r="U16" s="1351"/>
      <c r="V16" s="1350"/>
      <c r="W16" s="1351"/>
      <c r="X16" s="2220"/>
      <c r="Y16" s="3642"/>
      <c r="Z16" s="2219"/>
      <c r="AA16" s="1353">
        <v>1</v>
      </c>
      <c r="AB16" s="1353">
        <v>1</v>
      </c>
      <c r="AC16" s="2336">
        <v>1</v>
      </c>
    </row>
    <row r="17" spans="1:29" ht="81">
      <c r="A17" s="151"/>
      <c r="B17" s="1032" t="s">
        <v>69</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102</v>
      </c>
      <c r="K17" s="956">
        <v>2</v>
      </c>
      <c r="L17" s="2300"/>
      <c r="M17" s="2295"/>
      <c r="N17" s="2295"/>
      <c r="O17" s="2295"/>
      <c r="P17" s="3649"/>
      <c r="Q17" s="2218" t="str">
        <f>B17</f>
        <v>交通便捷度</v>
      </c>
      <c r="R17" s="1350" t="s">
        <v>62</v>
      </c>
      <c r="S17" s="1351">
        <f>F17</f>
        <v>100</v>
      </c>
      <c r="T17" s="1350" t="s">
        <v>62</v>
      </c>
      <c r="U17" s="1351">
        <f>H17</f>
        <v>100</v>
      </c>
      <c r="V17" s="1350" t="s">
        <v>62</v>
      </c>
      <c r="W17" s="1351">
        <f>J17</f>
        <v>102</v>
      </c>
      <c r="X17" s="2220"/>
      <c r="Y17" s="3642"/>
      <c r="Z17" s="2219" t="str">
        <f>Q17</f>
        <v>交通便捷度</v>
      </c>
      <c r="AA17" s="1353">
        <f t="shared" si="3"/>
        <v>1</v>
      </c>
      <c r="AB17" s="1353">
        <f t="shared" si="4"/>
        <v>1</v>
      </c>
      <c r="AC17" s="2336">
        <f t="shared" si="5"/>
        <v>0.98039215686274506</v>
      </c>
    </row>
    <row r="18" spans="1:29" ht="14.25">
      <c r="A18" s="151"/>
      <c r="B18" s="1033"/>
      <c r="C18" s="193" t="s">
        <v>3082</v>
      </c>
      <c r="D18" s="792"/>
      <c r="E18" s="104" t="s">
        <v>3082</v>
      </c>
      <c r="F18" s="792"/>
      <c r="G18" s="103" t="s">
        <v>3082</v>
      </c>
      <c r="H18" s="790"/>
      <c r="I18" s="103" t="s">
        <v>3084</v>
      </c>
      <c r="J18" s="790"/>
      <c r="K18" s="189"/>
      <c r="L18" s="2300"/>
      <c r="M18" s="2295"/>
      <c r="N18" s="2295"/>
      <c r="O18" s="2295"/>
      <c r="P18" s="3649"/>
      <c r="Q18" s="2218"/>
      <c r="R18" s="1350"/>
      <c r="S18" s="1351"/>
      <c r="T18" s="1350"/>
      <c r="U18" s="1351"/>
      <c r="V18" s="1350"/>
      <c r="W18" s="1351"/>
      <c r="X18" s="2220"/>
      <c r="Y18" s="3642"/>
      <c r="Z18" s="2219"/>
      <c r="AA18" s="1353">
        <v>1</v>
      </c>
      <c r="AB18" s="1353">
        <v>1</v>
      </c>
      <c r="AC18" s="2336">
        <v>1</v>
      </c>
    </row>
    <row r="19" spans="1:29" ht="40.5">
      <c r="A19" s="151"/>
      <c r="B19" s="1032" t="s">
        <v>2659</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v>2</v>
      </c>
      <c r="L19" s="2300"/>
      <c r="M19" s="2295"/>
      <c r="N19" s="2295"/>
      <c r="O19" s="2295"/>
      <c r="P19" s="3649"/>
      <c r="Q19" s="2218" t="str">
        <f>B19</f>
        <v>公共配套设施</v>
      </c>
      <c r="R19" s="1350" t="s">
        <v>62</v>
      </c>
      <c r="S19" s="1351">
        <f>F19</f>
        <v>100</v>
      </c>
      <c r="T19" s="1350" t="s">
        <v>62</v>
      </c>
      <c r="U19" s="1351">
        <f>H19</f>
        <v>100</v>
      </c>
      <c r="V19" s="1350" t="s">
        <v>62</v>
      </c>
      <c r="W19" s="1351">
        <f>J19</f>
        <v>100</v>
      </c>
      <c r="X19" s="2220"/>
      <c r="Y19" s="3642"/>
      <c r="Z19" s="2219" t="str">
        <f>Q19</f>
        <v>公共配套设施</v>
      </c>
      <c r="AA19" s="1353">
        <f t="shared" si="3"/>
        <v>1</v>
      </c>
      <c r="AB19" s="1353">
        <f t="shared" si="4"/>
        <v>1</v>
      </c>
      <c r="AC19" s="2336">
        <f t="shared" si="5"/>
        <v>1</v>
      </c>
    </row>
    <row r="20" spans="1:29" ht="14.25">
      <c r="A20" s="151"/>
      <c r="B20" s="1033"/>
      <c r="C20" s="192" t="s">
        <v>3082</v>
      </c>
      <c r="D20" s="790"/>
      <c r="E20" s="99" t="s">
        <v>3082</v>
      </c>
      <c r="F20" s="790"/>
      <c r="G20" s="98" t="s">
        <v>3082</v>
      </c>
      <c r="H20" s="790"/>
      <c r="I20" s="98" t="s">
        <v>3082</v>
      </c>
      <c r="J20" s="790"/>
      <c r="K20" s="189"/>
      <c r="L20" s="2300"/>
      <c r="M20" s="2295"/>
      <c r="N20" s="2295"/>
      <c r="O20" s="2295"/>
      <c r="P20" s="3649"/>
      <c r="Q20" s="2218"/>
      <c r="R20" s="1350"/>
      <c r="S20" s="1351"/>
      <c r="T20" s="1350"/>
      <c r="U20" s="1351"/>
      <c r="V20" s="1350"/>
      <c r="W20" s="1351"/>
      <c r="X20" s="2220"/>
      <c r="Y20" s="3642"/>
      <c r="Z20" s="2219"/>
      <c r="AA20" s="1353">
        <v>1</v>
      </c>
      <c r="AB20" s="1353">
        <v>1</v>
      </c>
      <c r="AC20" s="2336">
        <v>1</v>
      </c>
    </row>
    <row r="21" spans="1:29" ht="27">
      <c r="A21" s="151"/>
      <c r="B21" s="1034" t="s">
        <v>2660</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v>2</v>
      </c>
      <c r="L21" s="2300"/>
      <c r="M21" s="2295"/>
      <c r="N21" s="2295"/>
      <c r="O21" s="2295"/>
      <c r="P21" s="3649"/>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2336">
        <f t="shared" ref="AC21" si="10">D21/J21</f>
        <v>1</v>
      </c>
    </row>
    <row r="22" spans="1:29" ht="14.25">
      <c r="A22" s="151"/>
      <c r="B22" s="1034"/>
      <c r="C22" s="193" t="s">
        <v>3083</v>
      </c>
      <c r="D22" s="790"/>
      <c r="E22" s="97" t="s">
        <v>3083</v>
      </c>
      <c r="F22" s="790"/>
      <c r="G22" s="192" t="s">
        <v>3083</v>
      </c>
      <c r="H22" s="790"/>
      <c r="I22" s="192" t="s">
        <v>3083</v>
      </c>
      <c r="J22" s="790"/>
      <c r="K22" s="2764"/>
      <c r="L22" s="2300"/>
      <c r="M22" s="2295"/>
      <c r="N22" s="2295"/>
      <c r="O22" s="2295"/>
      <c r="P22" s="3649"/>
      <c r="Q22" s="2744"/>
      <c r="R22" s="1350"/>
      <c r="S22" s="1351"/>
      <c r="T22" s="1350"/>
      <c r="U22" s="1351"/>
      <c r="V22" s="1350"/>
      <c r="W22" s="1351"/>
      <c r="X22" s="2746"/>
      <c r="Y22" s="3642"/>
      <c r="Z22" s="2745"/>
      <c r="AA22" s="1353">
        <v>1</v>
      </c>
      <c r="AB22" s="1353">
        <v>1</v>
      </c>
      <c r="AC22" s="2336">
        <v>1</v>
      </c>
    </row>
    <row r="23" spans="1:29" ht="54">
      <c r="A23" s="151"/>
      <c r="B23" s="1032" t="s">
        <v>140</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v>2</v>
      </c>
      <c r="L23" s="2300"/>
      <c r="M23" s="2295"/>
      <c r="N23" s="2295"/>
      <c r="O23" s="2295"/>
      <c r="P23" s="3649"/>
      <c r="Q23" s="2218" t="str">
        <f>B23</f>
        <v>环境质量</v>
      </c>
      <c r="R23" s="1350" t="s">
        <v>62</v>
      </c>
      <c r="S23" s="1351">
        <f>F23</f>
        <v>100</v>
      </c>
      <c r="T23" s="1350" t="s">
        <v>62</v>
      </c>
      <c r="U23" s="1351">
        <f>H23</f>
        <v>100</v>
      </c>
      <c r="V23" s="1350" t="s">
        <v>62</v>
      </c>
      <c r="W23" s="1351">
        <f>J23</f>
        <v>100</v>
      </c>
      <c r="X23" s="2220"/>
      <c r="Y23" s="3642"/>
      <c r="Z23" s="2219" t="str">
        <f>Q23</f>
        <v>环境质量</v>
      </c>
      <c r="AA23" s="1353">
        <f t="shared" si="3"/>
        <v>1</v>
      </c>
      <c r="AB23" s="1353">
        <f t="shared" si="4"/>
        <v>1</v>
      </c>
      <c r="AC23" s="2336">
        <f t="shared" si="5"/>
        <v>1</v>
      </c>
    </row>
    <row r="24" spans="1:29" ht="14.25">
      <c r="A24" s="151"/>
      <c r="B24" s="1034"/>
      <c r="C24" s="192" t="s">
        <v>3082</v>
      </c>
      <c r="D24" s="790"/>
      <c r="E24" s="99" t="s">
        <v>3082</v>
      </c>
      <c r="F24" s="790"/>
      <c r="G24" s="98" t="s">
        <v>3082</v>
      </c>
      <c r="H24" s="790"/>
      <c r="I24" s="98" t="s">
        <v>3082</v>
      </c>
      <c r="J24" s="790"/>
      <c r="K24" s="189"/>
      <c r="L24" s="2300"/>
      <c r="M24" s="2295"/>
      <c r="N24" s="2295"/>
      <c r="O24" s="2295"/>
      <c r="P24" s="3649"/>
      <c r="Q24" s="2218"/>
      <c r="R24" s="1350"/>
      <c r="S24" s="1351"/>
      <c r="T24" s="1350"/>
      <c r="U24" s="1351"/>
      <c r="V24" s="1350"/>
      <c r="W24" s="1351"/>
      <c r="X24" s="2220"/>
      <c r="Y24" s="3642"/>
      <c r="Z24" s="2219"/>
      <c r="AA24" s="1353">
        <v>1</v>
      </c>
      <c r="AB24" s="1353">
        <v>1</v>
      </c>
      <c r="AC24" s="2336">
        <v>1</v>
      </c>
    </row>
    <row r="25" spans="1:29" ht="27">
      <c r="A25" s="146"/>
      <c r="B25" s="1032" t="s">
        <v>141</v>
      </c>
      <c r="C25" s="194" t="s">
        <v>3162</v>
      </c>
      <c r="D25" s="777">
        <v>100</v>
      </c>
      <c r="E25" s="93" t="s">
        <v>3203</v>
      </c>
      <c r="F25" s="777">
        <f>SUMIF(87:87,E26,88:88)-SUMIF(87:87,C26,88:88)+100</f>
        <v>100</v>
      </c>
      <c r="G25" s="194" t="s">
        <v>3201</v>
      </c>
      <c r="H25" s="777">
        <f>SUMIF(87:87,G26,88:88)-SUMIF(87:87,C26,88:88)+100</f>
        <v>100</v>
      </c>
      <c r="I25" s="93" t="s">
        <v>3202</v>
      </c>
      <c r="J25" s="777">
        <f>SUMIF(87:87,I26,88:88)-SUMIF(87:87,C26,88:88)+100</f>
        <v>100</v>
      </c>
      <c r="K25" s="956">
        <v>2</v>
      </c>
      <c r="L25" s="2300"/>
      <c r="M25" s="2295"/>
      <c r="N25" s="2295"/>
      <c r="O25" s="2295"/>
      <c r="P25" s="3649"/>
      <c r="Q25" s="2218" t="str">
        <f>B25</f>
        <v>毗邻道路的类型与等级</v>
      </c>
      <c r="R25" s="1350" t="s">
        <v>62</v>
      </c>
      <c r="S25" s="1351">
        <f>F25</f>
        <v>100</v>
      </c>
      <c r="T25" s="1350" t="s">
        <v>62</v>
      </c>
      <c r="U25" s="1351">
        <f>H25</f>
        <v>100</v>
      </c>
      <c r="V25" s="1350" t="s">
        <v>62</v>
      </c>
      <c r="W25" s="1351">
        <f>J25</f>
        <v>100</v>
      </c>
      <c r="X25" s="2220"/>
      <c r="Y25" s="3642"/>
      <c r="Z25" s="2219" t="str">
        <f>Q25</f>
        <v>毗邻道路的类型与等级</v>
      </c>
      <c r="AA25" s="1353">
        <f t="shared" si="3"/>
        <v>1</v>
      </c>
      <c r="AB25" s="1353">
        <f t="shared" si="4"/>
        <v>1</v>
      </c>
      <c r="AC25" s="2336">
        <f t="shared" si="5"/>
        <v>1</v>
      </c>
    </row>
    <row r="26" spans="1:29" ht="14.25">
      <c r="A26" s="146"/>
      <c r="B26" s="1033"/>
      <c r="C26" s="195" t="s">
        <v>3088</v>
      </c>
      <c r="D26" s="777"/>
      <c r="E26" s="182" t="s">
        <v>3088</v>
      </c>
      <c r="F26" s="777"/>
      <c r="G26" s="195" t="s">
        <v>3088</v>
      </c>
      <c r="H26" s="777"/>
      <c r="I26" s="182" t="s">
        <v>3088</v>
      </c>
      <c r="J26" s="777"/>
      <c r="K26" s="189"/>
      <c r="L26" s="2300"/>
      <c r="M26" s="2295"/>
      <c r="N26" s="2295"/>
      <c r="O26" s="2295"/>
      <c r="P26" s="3649"/>
      <c r="Q26" s="2218"/>
      <c r="R26" s="1350"/>
      <c r="S26" s="1351"/>
      <c r="T26" s="1350"/>
      <c r="U26" s="1351"/>
      <c r="V26" s="1350"/>
      <c r="W26" s="1351"/>
      <c r="X26" s="2220"/>
      <c r="Y26" s="3642"/>
      <c r="Z26" s="2219"/>
      <c r="AA26" s="1353">
        <v>1</v>
      </c>
      <c r="AB26" s="1353">
        <v>1</v>
      </c>
      <c r="AC26" s="2336">
        <v>1</v>
      </c>
    </row>
    <row r="27" spans="1:29" ht="15.75" thickBot="1">
      <c r="A27" s="151"/>
      <c r="B27" s="1033" t="s">
        <v>1081</v>
      </c>
      <c r="C27" s="195" t="s">
        <v>3093</v>
      </c>
      <c r="D27" s="777">
        <v>100</v>
      </c>
      <c r="E27" s="182" t="s">
        <v>3093</v>
      </c>
      <c r="F27" s="777">
        <f>SUMIF(89:89,E27,90:90)-SUMIF(89:89,C27,90:90)+100</f>
        <v>100</v>
      </c>
      <c r="G27" s="195" t="s">
        <v>3093</v>
      </c>
      <c r="H27" s="777">
        <f>SUMIF(89:89,G27,90:90)-SUMIF(89:89,C27,90:90)+100</f>
        <v>100</v>
      </c>
      <c r="I27" s="182" t="s">
        <v>3093</v>
      </c>
      <c r="J27" s="777">
        <f>SUMIF(89:89,I27,90:90)-SUMIF(89:89,C27,90:90)+100</f>
        <v>100</v>
      </c>
      <c r="K27" s="954">
        <v>5</v>
      </c>
      <c r="L27" s="2300"/>
      <c r="M27" s="2295"/>
      <c r="N27" s="2295"/>
      <c r="O27" s="2295"/>
      <c r="P27" s="3649"/>
      <c r="Q27" s="2218" t="str">
        <f t="shared" ref="Q27:Q47" si="11">B27</f>
        <v>楼层</v>
      </c>
      <c r="R27" s="1350" t="s">
        <v>62</v>
      </c>
      <c r="S27" s="1351">
        <f>F27</f>
        <v>100</v>
      </c>
      <c r="T27" s="1350" t="s">
        <v>62</v>
      </c>
      <c r="U27" s="1351">
        <f>H27</f>
        <v>100</v>
      </c>
      <c r="V27" s="1350" t="s">
        <v>62</v>
      </c>
      <c r="W27" s="1351">
        <f>J27</f>
        <v>100</v>
      </c>
      <c r="X27" s="2220"/>
      <c r="Y27" s="3642"/>
      <c r="Z27" s="2219" t="str">
        <f>Q27</f>
        <v>楼层</v>
      </c>
      <c r="AA27" s="1353">
        <f t="shared" si="3"/>
        <v>1</v>
      </c>
      <c r="AB27" s="1353">
        <f t="shared" si="4"/>
        <v>1</v>
      </c>
      <c r="AC27" s="2336">
        <f t="shared" si="5"/>
        <v>1</v>
      </c>
    </row>
    <row r="28" spans="1:29" s="40" customFormat="1" ht="15" hidden="1">
      <c r="A28" s="1028"/>
      <c r="B28" s="1032" t="s">
        <v>142</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649"/>
      <c r="Q28" s="2211" t="str">
        <f t="shared" si="11"/>
        <v>朝向</v>
      </c>
      <c r="R28" s="1340" t="s">
        <v>62</v>
      </c>
      <c r="S28" s="1341">
        <f>F28</f>
        <v>100</v>
      </c>
      <c r="T28" s="1340" t="s">
        <v>62</v>
      </c>
      <c r="U28" s="1341">
        <f>H28</f>
        <v>100</v>
      </c>
      <c r="V28" s="1340" t="s">
        <v>62</v>
      </c>
      <c r="W28" s="1341">
        <f>J28</f>
        <v>100</v>
      </c>
      <c r="X28" s="287"/>
      <c r="Y28" s="3642"/>
      <c r="Z28" s="2210" t="str">
        <f>Q28</f>
        <v>朝向</v>
      </c>
      <c r="AA28" s="1353">
        <f>D28/F28</f>
        <v>1</v>
      </c>
      <c r="AB28" s="1353">
        <f>D28/H28</f>
        <v>1</v>
      </c>
      <c r="AC28" s="2336">
        <f>D28/J28</f>
        <v>1</v>
      </c>
    </row>
    <row r="29" spans="1:29" ht="14.25" hidden="1">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49"/>
      <c r="Q29" s="2218">
        <f t="shared" si="11"/>
        <v>111</v>
      </c>
      <c r="R29" s="1350" t="s">
        <v>62</v>
      </c>
      <c r="S29" s="1351">
        <f t="shared" ref="S29:S47" si="12">F29</f>
        <v>100</v>
      </c>
      <c r="T29" s="1350" t="s">
        <v>62</v>
      </c>
      <c r="U29" s="1351">
        <f t="shared" ref="U29:U47" si="13">H29</f>
        <v>100</v>
      </c>
      <c r="V29" s="1350" t="s">
        <v>62</v>
      </c>
      <c r="W29" s="1351">
        <f t="shared" ref="W29:W47" si="14">J29</f>
        <v>100</v>
      </c>
      <c r="X29" s="2220"/>
      <c r="Y29" s="3642"/>
      <c r="Z29" s="2219">
        <f t="shared" ref="Z29:Z47" si="15">Q29</f>
        <v>111</v>
      </c>
      <c r="AA29" s="1353">
        <f t="shared" si="3"/>
        <v>1</v>
      </c>
      <c r="AB29" s="1353">
        <f t="shared" si="4"/>
        <v>1</v>
      </c>
      <c r="AC29" s="2336">
        <f t="shared" si="5"/>
        <v>1</v>
      </c>
    </row>
    <row r="30" spans="1:29" ht="14.25" hidden="1">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49"/>
      <c r="Q30" s="2218">
        <f t="shared" si="11"/>
        <v>111</v>
      </c>
      <c r="R30" s="1350" t="s">
        <v>62</v>
      </c>
      <c r="S30" s="1351">
        <f t="shared" si="12"/>
        <v>100</v>
      </c>
      <c r="T30" s="1350" t="s">
        <v>62</v>
      </c>
      <c r="U30" s="1351">
        <f t="shared" si="13"/>
        <v>100</v>
      </c>
      <c r="V30" s="1350" t="s">
        <v>62</v>
      </c>
      <c r="W30" s="1351">
        <f t="shared" si="14"/>
        <v>100</v>
      </c>
      <c r="X30" s="2220"/>
      <c r="Y30" s="3642"/>
      <c r="Z30" s="2219">
        <f t="shared" si="15"/>
        <v>111</v>
      </c>
      <c r="AA30" s="1353">
        <f t="shared" si="3"/>
        <v>1</v>
      </c>
      <c r="AB30" s="1353">
        <f t="shared" si="4"/>
        <v>1</v>
      </c>
      <c r="AC30" s="2336">
        <f t="shared" si="5"/>
        <v>1</v>
      </c>
    </row>
    <row r="31" spans="1:29" ht="14.25" hidden="1">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49"/>
      <c r="Q31" s="2218">
        <f t="shared" si="11"/>
        <v>111</v>
      </c>
      <c r="R31" s="1350" t="s">
        <v>62</v>
      </c>
      <c r="S31" s="1351">
        <f t="shared" si="12"/>
        <v>100</v>
      </c>
      <c r="T31" s="1350" t="s">
        <v>62</v>
      </c>
      <c r="U31" s="1351">
        <f t="shared" si="13"/>
        <v>100</v>
      </c>
      <c r="V31" s="1350" t="s">
        <v>62</v>
      </c>
      <c r="W31" s="1351">
        <f t="shared" si="14"/>
        <v>100</v>
      </c>
      <c r="X31" s="2220"/>
      <c r="Y31" s="3642"/>
      <c r="Z31" s="2219">
        <f t="shared" si="15"/>
        <v>111</v>
      </c>
      <c r="AA31" s="1353">
        <f t="shared" si="3"/>
        <v>1</v>
      </c>
      <c r="AB31" s="1353">
        <f t="shared" si="4"/>
        <v>1</v>
      </c>
      <c r="AC31" s="2336">
        <f t="shared" si="5"/>
        <v>1</v>
      </c>
    </row>
    <row r="32" spans="1:29" ht="15" hidden="1"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49"/>
      <c r="Q32" s="2218">
        <f t="shared" si="11"/>
        <v>111</v>
      </c>
      <c r="R32" s="1350" t="s">
        <v>62</v>
      </c>
      <c r="S32" s="1351">
        <f t="shared" si="12"/>
        <v>100</v>
      </c>
      <c r="T32" s="1350" t="s">
        <v>62</v>
      </c>
      <c r="U32" s="1351">
        <f t="shared" si="13"/>
        <v>100</v>
      </c>
      <c r="V32" s="1350" t="s">
        <v>62</v>
      </c>
      <c r="W32" s="1351">
        <f t="shared" si="14"/>
        <v>100</v>
      </c>
      <c r="X32" s="2220"/>
      <c r="Y32" s="3642"/>
      <c r="Z32" s="2219">
        <f t="shared" si="15"/>
        <v>111</v>
      </c>
      <c r="AA32" s="1353">
        <f t="shared" si="3"/>
        <v>1</v>
      </c>
      <c r="AB32" s="1353">
        <f t="shared" si="4"/>
        <v>1</v>
      </c>
      <c r="AC32" s="2336">
        <f t="shared" si="5"/>
        <v>1</v>
      </c>
    </row>
    <row r="33" spans="1:29" ht="15">
      <c r="A33" s="155" t="s">
        <v>1082</v>
      </c>
      <c r="B33" s="62" t="s">
        <v>1083</v>
      </c>
      <c r="C33" s="197" t="s">
        <v>3115</v>
      </c>
      <c r="D33" s="809">
        <v>100</v>
      </c>
      <c r="E33" s="197" t="s">
        <v>3115</v>
      </c>
      <c r="F33" s="803">
        <f>SUMIF(101:101,E33,102:102)-SUMIF(101:101,C33,102:102)+100</f>
        <v>100</v>
      </c>
      <c r="G33" s="197" t="s">
        <v>3115</v>
      </c>
      <c r="H33" s="777">
        <f>SUMIF(101:101,G33,102:102)-SUMIF(101:101,C33,102:102)+100</f>
        <v>100</v>
      </c>
      <c r="I33" s="197" t="s">
        <v>3115</v>
      </c>
      <c r="J33" s="809">
        <f>SUMIF(101:101,I33,102:102)-SUMIF(101:101,C33,102:102)+100</f>
        <v>100</v>
      </c>
      <c r="K33" s="954">
        <v>2</v>
      </c>
      <c r="L33" s="2300"/>
      <c r="M33" s="2295"/>
      <c r="N33" s="2295"/>
      <c r="O33" s="2295"/>
      <c r="P33" s="3643" t="s">
        <v>1084</v>
      </c>
      <c r="Q33" s="2218" t="str">
        <f t="shared" si="11"/>
        <v>建筑类型</v>
      </c>
      <c r="R33" s="1350" t="s">
        <v>62</v>
      </c>
      <c r="S33" s="1351">
        <f t="shared" si="12"/>
        <v>100</v>
      </c>
      <c r="T33" s="1350" t="s">
        <v>62</v>
      </c>
      <c r="U33" s="1351">
        <f t="shared" si="13"/>
        <v>100</v>
      </c>
      <c r="V33" s="1350" t="s">
        <v>62</v>
      </c>
      <c r="W33" s="1351">
        <f t="shared" si="14"/>
        <v>100</v>
      </c>
      <c r="X33" s="2220"/>
      <c r="Y33" s="3646" t="s">
        <v>1084</v>
      </c>
      <c r="Z33" s="2219" t="str">
        <f t="shared" si="15"/>
        <v>建筑类型</v>
      </c>
      <c r="AA33" s="1353">
        <f t="shared" si="3"/>
        <v>1</v>
      </c>
      <c r="AB33" s="1353">
        <f t="shared" si="4"/>
        <v>1</v>
      </c>
      <c r="AC33" s="2336">
        <f t="shared" si="5"/>
        <v>1</v>
      </c>
    </row>
    <row r="34" spans="1:29" s="1037" customFormat="1" ht="14.25" hidden="1">
      <c r="A34" s="1041"/>
      <c r="B34" s="12" t="s">
        <v>73</v>
      </c>
      <c r="C34" s="811">
        <f>'比较法-商业'!C33</f>
        <v>156275.1</v>
      </c>
      <c r="D34" s="425">
        <v>100</v>
      </c>
      <c r="E34" s="772">
        <f>'比较法-商业'!E33</f>
        <v>86438.75</v>
      </c>
      <c r="F34" s="767">
        <f>LOOKUP(E34,104:104,105:105)-LOOKUP(C34,104:104,105:105)+100</f>
        <v>100</v>
      </c>
      <c r="G34" s="771">
        <f>'比较法-商业'!G33</f>
        <v>37036.620000000003</v>
      </c>
      <c r="H34" s="425">
        <f>LOOKUP(G34,104:104,105:105)-LOOKUP(C34,104:104,105:105)+100</f>
        <v>100</v>
      </c>
      <c r="I34" s="771">
        <v>35000</v>
      </c>
      <c r="J34" s="425">
        <f>LOOKUP(I34,104:104,105:105)-LOOKUP(C34,104:104,105:105)+100</f>
        <v>100</v>
      </c>
      <c r="K34" s="188"/>
      <c r="L34" s="2299"/>
      <c r="M34" s="2301"/>
      <c r="N34" s="2301"/>
      <c r="O34" s="2301"/>
      <c r="P34" s="3644"/>
      <c r="Q34" s="1357" t="str">
        <f t="shared" si="11"/>
        <v>项目建筑规模</v>
      </c>
      <c r="R34" s="1358" t="s">
        <v>62</v>
      </c>
      <c r="S34" s="1359">
        <f t="shared" si="12"/>
        <v>100</v>
      </c>
      <c r="T34" s="1358" t="s">
        <v>62</v>
      </c>
      <c r="U34" s="1359">
        <f t="shared" si="13"/>
        <v>100</v>
      </c>
      <c r="V34" s="1358" t="s">
        <v>62</v>
      </c>
      <c r="W34" s="1359">
        <f t="shared" si="14"/>
        <v>100</v>
      </c>
      <c r="X34" s="1360"/>
      <c r="Y34" s="3646"/>
      <c r="Z34" s="1361" t="str">
        <f t="shared" si="15"/>
        <v>项目建筑规模</v>
      </c>
      <c r="AA34" s="1353">
        <f t="shared" si="3"/>
        <v>1</v>
      </c>
      <c r="AB34" s="1353">
        <f t="shared" si="4"/>
        <v>1</v>
      </c>
      <c r="AC34" s="2336">
        <f t="shared" si="5"/>
        <v>1</v>
      </c>
    </row>
    <row r="35" spans="1:29" ht="15">
      <c r="A35" s="161"/>
      <c r="B35" s="12" t="s">
        <v>74</v>
      </c>
      <c r="C35" s="107" t="s">
        <v>3116</v>
      </c>
      <c r="D35" s="777">
        <v>100</v>
      </c>
      <c r="E35" s="107" t="s">
        <v>3116</v>
      </c>
      <c r="F35" s="803">
        <f>SUMIF(106:106,E35,107:107)-SUMIF(106:106,C35,107:107)+100</f>
        <v>100</v>
      </c>
      <c r="G35" s="107" t="s">
        <v>3116</v>
      </c>
      <c r="H35" s="777">
        <f>SUMIF(106:106,G35,107:107)-SUMIF(106:106,C35,107:107)+100</f>
        <v>100</v>
      </c>
      <c r="I35" s="107" t="s">
        <v>3116</v>
      </c>
      <c r="J35" s="777">
        <f>SUMIF(106:106,I35,107:107)-SUMIF(106:106,C35,107:107)+100</f>
        <v>100</v>
      </c>
      <c r="K35" s="954">
        <v>2</v>
      </c>
      <c r="L35" s="2300"/>
      <c r="M35" s="2295"/>
      <c r="N35" s="2295"/>
      <c r="O35" s="2295"/>
      <c r="P35" s="3644"/>
      <c r="Q35" s="2218" t="str">
        <f t="shared" si="11"/>
        <v>建筑结构</v>
      </c>
      <c r="R35" s="1350" t="s">
        <v>62</v>
      </c>
      <c r="S35" s="1351">
        <f t="shared" si="12"/>
        <v>100</v>
      </c>
      <c r="T35" s="1350" t="s">
        <v>62</v>
      </c>
      <c r="U35" s="1351">
        <f t="shared" si="13"/>
        <v>100</v>
      </c>
      <c r="V35" s="1350" t="s">
        <v>62</v>
      </c>
      <c r="W35" s="1351">
        <f t="shared" si="14"/>
        <v>100</v>
      </c>
      <c r="X35" s="2220"/>
      <c r="Y35" s="3646"/>
      <c r="Z35" s="2219" t="str">
        <f t="shared" si="15"/>
        <v>建筑结构</v>
      </c>
      <c r="AA35" s="1353">
        <f t="shared" si="3"/>
        <v>1</v>
      </c>
      <c r="AB35" s="1353">
        <f t="shared" si="4"/>
        <v>1</v>
      </c>
      <c r="AC35" s="2336">
        <f t="shared" si="5"/>
        <v>1</v>
      </c>
    </row>
    <row r="36" spans="1:29" ht="15">
      <c r="A36" s="161"/>
      <c r="B36" s="12" t="s">
        <v>130</v>
      </c>
      <c r="C36" s="107" t="s">
        <v>3117</v>
      </c>
      <c r="D36" s="777">
        <v>100</v>
      </c>
      <c r="E36" s="107" t="s">
        <v>3117</v>
      </c>
      <c r="F36" s="803">
        <f>SUMIF(108:108,E36,109:109)-SUMIF(108:108,C36,109:109)+100</f>
        <v>100</v>
      </c>
      <c r="G36" s="107" t="s">
        <v>3117</v>
      </c>
      <c r="H36" s="777">
        <f>SUMIF(108:108,G36,109:109)-SUMIF(108:108,C36,109:109)+100</f>
        <v>100</v>
      </c>
      <c r="I36" s="107" t="s">
        <v>3117</v>
      </c>
      <c r="J36" s="777">
        <f>SUMIF(108:108,I36,109:109)-SUMIF(108:108,C36,109:109)+100</f>
        <v>100</v>
      </c>
      <c r="K36" s="954">
        <v>2</v>
      </c>
      <c r="L36" s="2300"/>
      <c r="M36" s="2295"/>
      <c r="N36" s="2295"/>
      <c r="O36" s="2295"/>
      <c r="P36" s="3644"/>
      <c r="Q36" s="2218" t="str">
        <f t="shared" si="11"/>
        <v>公共部分装修</v>
      </c>
      <c r="R36" s="1350" t="s">
        <v>62</v>
      </c>
      <c r="S36" s="1351">
        <f t="shared" si="12"/>
        <v>100</v>
      </c>
      <c r="T36" s="1350" t="s">
        <v>62</v>
      </c>
      <c r="U36" s="1351">
        <f t="shared" si="13"/>
        <v>100</v>
      </c>
      <c r="V36" s="1350" t="s">
        <v>62</v>
      </c>
      <c r="W36" s="1351">
        <f t="shared" si="14"/>
        <v>100</v>
      </c>
      <c r="X36" s="2220"/>
      <c r="Y36" s="3646"/>
      <c r="Z36" s="2219" t="str">
        <f t="shared" si="15"/>
        <v>公共部分装修</v>
      </c>
      <c r="AA36" s="1353">
        <f t="shared" si="3"/>
        <v>1</v>
      </c>
      <c r="AB36" s="1353">
        <f t="shared" si="4"/>
        <v>1</v>
      </c>
      <c r="AC36" s="2336">
        <f t="shared" si="5"/>
        <v>1</v>
      </c>
    </row>
    <row r="37" spans="1:29" ht="15" hidden="1">
      <c r="A37" s="161"/>
      <c r="B37" s="12" t="s">
        <v>131</v>
      </c>
      <c r="C37" s="816">
        <f>'数据-取费表'!N6</f>
        <v>1</v>
      </c>
      <c r="D37" s="777">
        <v>100</v>
      </c>
      <c r="E37" s="816">
        <v>0.98</v>
      </c>
      <c r="F37" s="803">
        <f>LOOKUP(E37,111:111,112:112)-LOOKUP(C37,111:111,112:112)+100</f>
        <v>100</v>
      </c>
      <c r="G37" s="816">
        <v>1</v>
      </c>
      <c r="H37" s="803">
        <f>LOOKUP(G37,111:111,112:112)-LOOKUP(C37,111:111,112:112)+100</f>
        <v>100</v>
      </c>
      <c r="I37" s="816">
        <v>0.9</v>
      </c>
      <c r="J37" s="777">
        <f>LOOKUP(I37,111:111,112:112)-LOOKUP(C37,111:111,112:112)+100</f>
        <v>100</v>
      </c>
      <c r="K37" s="954">
        <v>2</v>
      </c>
      <c r="L37" s="2300"/>
      <c r="M37" s="2295"/>
      <c r="N37" s="2295"/>
      <c r="O37" s="2295"/>
      <c r="P37" s="3644"/>
      <c r="Q37" s="2218" t="str">
        <f t="shared" si="11"/>
        <v>成新度</v>
      </c>
      <c r="R37" s="1350" t="s">
        <v>62</v>
      </c>
      <c r="S37" s="1351">
        <f t="shared" si="12"/>
        <v>100</v>
      </c>
      <c r="T37" s="1350" t="s">
        <v>62</v>
      </c>
      <c r="U37" s="1351">
        <f t="shared" si="13"/>
        <v>100</v>
      </c>
      <c r="V37" s="1350" t="s">
        <v>62</v>
      </c>
      <c r="W37" s="1351">
        <f t="shared" si="14"/>
        <v>100</v>
      </c>
      <c r="X37" s="2220"/>
      <c r="Y37" s="3646"/>
      <c r="Z37" s="2219" t="str">
        <f t="shared" si="15"/>
        <v>成新度</v>
      </c>
      <c r="AA37" s="1353">
        <f t="shared" si="3"/>
        <v>1</v>
      </c>
      <c r="AB37" s="1353">
        <f t="shared" si="4"/>
        <v>1</v>
      </c>
      <c r="AC37" s="2336">
        <f t="shared" si="5"/>
        <v>1</v>
      </c>
    </row>
    <row r="38" spans="1:29" s="40" customFormat="1" ht="15" hidden="1">
      <c r="A38" s="1039"/>
      <c r="B38" s="12" t="s">
        <v>144</v>
      </c>
      <c r="C38" s="107" t="s">
        <v>3118</v>
      </c>
      <c r="D38" s="425">
        <v>100</v>
      </c>
      <c r="E38" s="107" t="s">
        <v>3118</v>
      </c>
      <c r="F38" s="803">
        <f>SUMIF(113:113,E38,114:114)-SUMIF(113:113,C38,114:114)+100</f>
        <v>100</v>
      </c>
      <c r="G38" s="107" t="s">
        <v>3118</v>
      </c>
      <c r="H38" s="777">
        <f>SUMIF(113:113,G38,114:114)-SUMIF(113:113,C38,114:114)+100</f>
        <v>100</v>
      </c>
      <c r="I38" s="107" t="s">
        <v>3118</v>
      </c>
      <c r="J38" s="777">
        <f>SUMIF(113:113,I38,114:114)-SUMIF(113:113,C38,114:114)+100</f>
        <v>100</v>
      </c>
      <c r="K38" s="954"/>
      <c r="L38" s="2296"/>
      <c r="M38" s="2258"/>
      <c r="N38" s="2258"/>
      <c r="O38" s="2258"/>
      <c r="P38" s="3644"/>
      <c r="Q38" s="2211" t="str">
        <f t="shared" si="11"/>
        <v>写字楼等级</v>
      </c>
      <c r="R38" s="1340" t="s">
        <v>62</v>
      </c>
      <c r="S38" s="1341">
        <f t="shared" si="12"/>
        <v>100</v>
      </c>
      <c r="T38" s="1340" t="s">
        <v>62</v>
      </c>
      <c r="U38" s="1341">
        <f t="shared" si="13"/>
        <v>100</v>
      </c>
      <c r="V38" s="1340" t="s">
        <v>62</v>
      </c>
      <c r="W38" s="1341">
        <f t="shared" si="14"/>
        <v>100</v>
      </c>
      <c r="X38" s="287"/>
      <c r="Y38" s="3646"/>
      <c r="Z38" s="2210" t="str">
        <f t="shared" si="15"/>
        <v>写字楼等级</v>
      </c>
      <c r="AA38" s="1342">
        <f t="shared" si="3"/>
        <v>1</v>
      </c>
      <c r="AB38" s="1342">
        <f t="shared" si="4"/>
        <v>1</v>
      </c>
      <c r="AC38" s="2335">
        <f t="shared" si="5"/>
        <v>1</v>
      </c>
    </row>
    <row r="39" spans="1:29" ht="15">
      <c r="A39" s="161"/>
      <c r="B39" s="12" t="s">
        <v>145</v>
      </c>
      <c r="C39" s="107" t="s">
        <v>3119</v>
      </c>
      <c r="D39" s="777">
        <v>100</v>
      </c>
      <c r="E39" s="107" t="s">
        <v>3119</v>
      </c>
      <c r="F39" s="803">
        <f>SUMIF(115:115,E39,116:116)-SUMIF(115:115,C39,116:116)+100</f>
        <v>100</v>
      </c>
      <c r="G39" s="107" t="s">
        <v>3119</v>
      </c>
      <c r="H39" s="777">
        <f>SUMIF(115:115,G39,116:116)-SUMIF(115:115,C39,116:116)+100</f>
        <v>100</v>
      </c>
      <c r="I39" s="107" t="s">
        <v>3119</v>
      </c>
      <c r="J39" s="777">
        <f>SUMIF(115:115,I39,116:116)-SUMIF(115:115,C39,116:116)+100</f>
        <v>100</v>
      </c>
      <c r="K39" s="954">
        <v>2</v>
      </c>
      <c r="L39" s="2300"/>
      <c r="M39" s="2295"/>
      <c r="N39" s="2295"/>
      <c r="O39" s="2295"/>
      <c r="P39" s="3644" t="s">
        <v>67</v>
      </c>
      <c r="Q39" s="2218" t="str">
        <f t="shared" si="11"/>
        <v>物业管理</v>
      </c>
      <c r="R39" s="1350" t="s">
        <v>62</v>
      </c>
      <c r="S39" s="1351">
        <f t="shared" si="12"/>
        <v>100</v>
      </c>
      <c r="T39" s="1350" t="s">
        <v>62</v>
      </c>
      <c r="U39" s="1351">
        <f t="shared" si="13"/>
        <v>100</v>
      </c>
      <c r="V39" s="1350" t="s">
        <v>62</v>
      </c>
      <c r="W39" s="1351">
        <f t="shared" si="14"/>
        <v>100</v>
      </c>
      <c r="X39" s="2220"/>
      <c r="Y39" s="3646" t="s">
        <v>67</v>
      </c>
      <c r="Z39" s="2219" t="str">
        <f t="shared" si="15"/>
        <v>物业管理</v>
      </c>
      <c r="AA39" s="1353">
        <f t="shared" si="3"/>
        <v>1</v>
      </c>
      <c r="AB39" s="1353">
        <f t="shared" si="4"/>
        <v>1</v>
      </c>
      <c r="AC39" s="2336">
        <f t="shared" si="5"/>
        <v>1</v>
      </c>
    </row>
    <row r="40" spans="1:29" ht="15">
      <c r="A40" s="161"/>
      <c r="B40" s="12" t="s">
        <v>2652</v>
      </c>
      <c r="C40" s="107" t="s">
        <v>3148</v>
      </c>
      <c r="D40" s="777">
        <v>100</v>
      </c>
      <c r="E40" s="107" t="s">
        <v>3148</v>
      </c>
      <c r="F40" s="803">
        <f>SUMIF(117:117,E40,118:118)-SUMIF(117:117,C40,118:118)+100</f>
        <v>100</v>
      </c>
      <c r="G40" s="107" t="s">
        <v>3148</v>
      </c>
      <c r="H40" s="777">
        <f>SUMIF(117:117,G40,118:118)-SUMIF(117:117,C40,118:118)+100</f>
        <v>100</v>
      </c>
      <c r="I40" s="107" t="s">
        <v>3148</v>
      </c>
      <c r="J40" s="777">
        <f>SUMIF(117:117,I40,118:118)-SUMIF(117:117,C40,118:118)+100</f>
        <v>100</v>
      </c>
      <c r="K40" s="954">
        <v>1</v>
      </c>
      <c r="L40" s="2300"/>
      <c r="M40" s="2295"/>
      <c r="N40" s="2295"/>
      <c r="O40" s="2295"/>
      <c r="P40" s="3644"/>
      <c r="Q40" s="2218" t="str">
        <f t="shared" si="11"/>
        <v>市政基础设施</v>
      </c>
      <c r="R40" s="1350" t="s">
        <v>62</v>
      </c>
      <c r="S40" s="1351">
        <f t="shared" si="12"/>
        <v>100</v>
      </c>
      <c r="T40" s="1350" t="s">
        <v>62</v>
      </c>
      <c r="U40" s="1351">
        <f t="shared" si="13"/>
        <v>100</v>
      </c>
      <c r="V40" s="1350" t="s">
        <v>62</v>
      </c>
      <c r="W40" s="1351">
        <f t="shared" si="14"/>
        <v>100</v>
      </c>
      <c r="X40" s="2220"/>
      <c r="Y40" s="3646"/>
      <c r="Z40" s="2219" t="str">
        <f t="shared" si="15"/>
        <v>市政基础设施</v>
      </c>
      <c r="AA40" s="1353">
        <f t="shared" si="3"/>
        <v>1</v>
      </c>
      <c r="AB40" s="1353">
        <f t="shared" si="4"/>
        <v>1</v>
      </c>
      <c r="AC40" s="2336">
        <f t="shared" si="5"/>
        <v>1</v>
      </c>
    </row>
    <row r="41" spans="1:29" ht="15">
      <c r="A41" s="161"/>
      <c r="B41" s="12" t="s">
        <v>133</v>
      </c>
      <c r="C41" s="182" t="s">
        <v>3120</v>
      </c>
      <c r="D41" s="777">
        <v>100</v>
      </c>
      <c r="E41" s="182" t="s">
        <v>3120</v>
      </c>
      <c r="F41" s="803">
        <f>SUMIF(119:119,E41,120:120)-SUMIF(119:119,C41,120:120)+100</f>
        <v>100</v>
      </c>
      <c r="G41" s="182" t="s">
        <v>3120</v>
      </c>
      <c r="H41" s="777">
        <f>SUMIF(119:119,G41,120:120)-SUMIF(119:119,C41,120:120)+100</f>
        <v>100</v>
      </c>
      <c r="I41" s="182" t="s">
        <v>3120</v>
      </c>
      <c r="J41" s="777">
        <f>SUMIF(119:119,I41,120:120)-SUMIF(119:119,C41,120:120)+100</f>
        <v>100</v>
      </c>
      <c r="K41" s="954">
        <v>2</v>
      </c>
      <c r="L41" s="2300"/>
      <c r="M41" s="2295"/>
      <c r="N41" s="2295"/>
      <c r="O41" s="2295"/>
      <c r="P41" s="3644"/>
      <c r="Q41" s="2218" t="str">
        <f t="shared" si="11"/>
        <v>层高</v>
      </c>
      <c r="R41" s="1350" t="s">
        <v>62</v>
      </c>
      <c r="S41" s="1351">
        <f t="shared" si="12"/>
        <v>100</v>
      </c>
      <c r="T41" s="1350" t="s">
        <v>62</v>
      </c>
      <c r="U41" s="1351">
        <f t="shared" si="13"/>
        <v>100</v>
      </c>
      <c r="V41" s="1350" t="s">
        <v>62</v>
      </c>
      <c r="W41" s="1351">
        <f t="shared" si="14"/>
        <v>100</v>
      </c>
      <c r="X41" s="2220"/>
      <c r="Y41" s="3646"/>
      <c r="Z41" s="2219" t="str">
        <f t="shared" si="15"/>
        <v>层高</v>
      </c>
      <c r="AA41" s="1353">
        <f t="shared" si="3"/>
        <v>1</v>
      </c>
      <c r="AB41" s="1353">
        <f t="shared" si="4"/>
        <v>1</v>
      </c>
      <c r="AC41" s="2336">
        <f t="shared" si="5"/>
        <v>1</v>
      </c>
    </row>
    <row r="42" spans="1:29" s="1037" customFormat="1" ht="14.25">
      <c r="A42" s="1041"/>
      <c r="B42" s="191" t="s">
        <v>1085</v>
      </c>
      <c r="C42" s="776" t="s">
        <v>3204</v>
      </c>
      <c r="D42" s="777">
        <v>100</v>
      </c>
      <c r="E42" s="776">
        <v>1400</v>
      </c>
      <c r="F42" s="803">
        <f>SUMIF(121:121,E42,122:122)-SUMIF(121:121,C42,122:122)+100</f>
        <v>98</v>
      </c>
      <c r="G42" s="776">
        <v>900</v>
      </c>
      <c r="H42" s="777">
        <f>SUMIF(121:121,G42,122:122)-SUMIF(121:121,C42,122:122)+100</f>
        <v>100</v>
      </c>
      <c r="I42" s="776">
        <v>600</v>
      </c>
      <c r="J42" s="777">
        <f>SUMIF(121:121,I42,122:122)-SUMIF(121:121,C42,122:122)+100</f>
        <v>100</v>
      </c>
      <c r="K42" s="188"/>
      <c r="L42" s="2299"/>
      <c r="M42" s="2301"/>
      <c r="N42" s="2301"/>
      <c r="O42" s="2301"/>
      <c r="P42" s="3644"/>
      <c r="Q42" s="1357" t="str">
        <f t="shared" si="11"/>
        <v>单套建筑面积</v>
      </c>
      <c r="R42" s="1358" t="s">
        <v>62</v>
      </c>
      <c r="S42" s="1359">
        <f t="shared" si="12"/>
        <v>98</v>
      </c>
      <c r="T42" s="1358" t="s">
        <v>62</v>
      </c>
      <c r="U42" s="1359">
        <f t="shared" si="13"/>
        <v>100</v>
      </c>
      <c r="V42" s="1358" t="s">
        <v>62</v>
      </c>
      <c r="W42" s="1359">
        <f t="shared" si="14"/>
        <v>100</v>
      </c>
      <c r="X42" s="1360"/>
      <c r="Y42" s="3646"/>
      <c r="Z42" s="1361" t="str">
        <f t="shared" si="15"/>
        <v>单套建筑面积</v>
      </c>
      <c r="AA42" s="1353">
        <f t="shared" si="3"/>
        <v>1.0204081632653061</v>
      </c>
      <c r="AB42" s="1353">
        <f t="shared" si="4"/>
        <v>1</v>
      </c>
      <c r="AC42" s="2336">
        <f t="shared" si="5"/>
        <v>1</v>
      </c>
    </row>
    <row r="43" spans="1:29" ht="15">
      <c r="A43" s="161"/>
      <c r="B43" s="12" t="s">
        <v>1086</v>
      </c>
      <c r="C43" s="107" t="s">
        <v>3121</v>
      </c>
      <c r="D43" s="777">
        <v>100</v>
      </c>
      <c r="E43" s="107" t="s">
        <v>3121</v>
      </c>
      <c r="F43" s="803">
        <f>SUMIF(123:123,E43,124:124)-SUMIF(123:123,C43,124:124)+100</f>
        <v>100</v>
      </c>
      <c r="G43" s="107" t="s">
        <v>3121</v>
      </c>
      <c r="H43" s="777">
        <f>SUMIF(123:123,G43,124:124)-SUMIF(123:123,C43,124:124)+100</f>
        <v>100</v>
      </c>
      <c r="I43" s="107" t="s">
        <v>3121</v>
      </c>
      <c r="J43" s="777">
        <f>SUMIF(123:123,I43,124:124)-SUMIF(123:123,C43,124:124)+100</f>
        <v>100</v>
      </c>
      <c r="K43" s="954">
        <v>2</v>
      </c>
      <c r="L43" s="2300"/>
      <c r="M43" s="2295"/>
      <c r="N43" s="2295"/>
      <c r="O43" s="2295"/>
      <c r="P43" s="3644"/>
      <c r="Q43" s="2218" t="str">
        <f t="shared" si="11"/>
        <v>内部装修</v>
      </c>
      <c r="R43" s="1350" t="s">
        <v>62</v>
      </c>
      <c r="S43" s="1351">
        <f t="shared" si="12"/>
        <v>100</v>
      </c>
      <c r="T43" s="1350" t="s">
        <v>62</v>
      </c>
      <c r="U43" s="1351">
        <f t="shared" si="13"/>
        <v>100</v>
      </c>
      <c r="V43" s="1350" t="s">
        <v>62</v>
      </c>
      <c r="W43" s="1351">
        <f t="shared" si="14"/>
        <v>100</v>
      </c>
      <c r="X43" s="2220"/>
      <c r="Y43" s="3646"/>
      <c r="Z43" s="2219" t="str">
        <f t="shared" si="15"/>
        <v>内部装修</v>
      </c>
      <c r="AA43" s="1353">
        <f t="shared" si="3"/>
        <v>1</v>
      </c>
      <c r="AB43" s="1353">
        <f t="shared" si="4"/>
        <v>1</v>
      </c>
      <c r="AC43" s="2336">
        <f t="shared" si="5"/>
        <v>1</v>
      </c>
    </row>
    <row r="44" spans="1:29" ht="27.75" thickBot="1">
      <c r="A44" s="161"/>
      <c r="B44" s="12" t="s">
        <v>81</v>
      </c>
      <c r="C44" s="107" t="s">
        <v>3084</v>
      </c>
      <c r="D44" s="777">
        <v>100</v>
      </c>
      <c r="E44" s="109" t="s">
        <v>3084</v>
      </c>
      <c r="F44" s="803">
        <f>SUMIF(125:125,E44,126:126)-SUMIF(125:125,C44,126:126)+100</f>
        <v>100</v>
      </c>
      <c r="G44" s="109" t="s">
        <v>3084</v>
      </c>
      <c r="H44" s="777">
        <f>SUMIF(125:125,G44,126:126)-SUMIF(125:125,C44,126:126)+100</f>
        <v>100</v>
      </c>
      <c r="I44" s="109" t="s">
        <v>3084</v>
      </c>
      <c r="J44" s="777">
        <f>SUMIF(125:125,I44,126:126)-SUMIF(125:125,C44,126:126)+100</f>
        <v>100</v>
      </c>
      <c r="K44" s="954"/>
      <c r="L44" s="2300"/>
      <c r="M44" s="2295"/>
      <c r="N44" s="2295"/>
      <c r="O44" s="2295"/>
      <c r="P44" s="3644"/>
      <c r="Q44" s="2218" t="str">
        <f t="shared" si="11"/>
        <v>内部装修维护情况</v>
      </c>
      <c r="R44" s="1350" t="s">
        <v>62</v>
      </c>
      <c r="S44" s="1351">
        <f t="shared" si="12"/>
        <v>100</v>
      </c>
      <c r="T44" s="1350" t="s">
        <v>62</v>
      </c>
      <c r="U44" s="1351">
        <f t="shared" si="13"/>
        <v>100</v>
      </c>
      <c r="V44" s="1350" t="s">
        <v>62</v>
      </c>
      <c r="W44" s="1351">
        <f t="shared" si="14"/>
        <v>100</v>
      </c>
      <c r="X44" s="2220"/>
      <c r="Y44" s="3646"/>
      <c r="Z44" s="2219" t="str">
        <f t="shared" si="15"/>
        <v>内部装修维护情况</v>
      </c>
      <c r="AA44" s="1353">
        <f t="shared" si="3"/>
        <v>1</v>
      </c>
      <c r="AB44" s="1353">
        <f t="shared" si="4"/>
        <v>1</v>
      </c>
      <c r="AC44" s="2336">
        <f t="shared" si="5"/>
        <v>1</v>
      </c>
    </row>
    <row r="45" spans="1:29" s="40" customFormat="1" ht="14.25" hidden="1">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44"/>
      <c r="Q45" s="2211">
        <f t="shared" si="11"/>
        <v>111</v>
      </c>
      <c r="R45" s="1340" t="s">
        <v>62</v>
      </c>
      <c r="S45" s="1341">
        <f t="shared" si="12"/>
        <v>100</v>
      </c>
      <c r="T45" s="1340" t="s">
        <v>62</v>
      </c>
      <c r="U45" s="1341">
        <f t="shared" si="13"/>
        <v>100</v>
      </c>
      <c r="V45" s="1340" t="s">
        <v>62</v>
      </c>
      <c r="W45" s="1341">
        <f t="shared" si="14"/>
        <v>100</v>
      </c>
      <c r="X45" s="287"/>
      <c r="Y45" s="3646"/>
      <c r="Z45" s="2210">
        <f t="shared" si="15"/>
        <v>111</v>
      </c>
      <c r="AA45" s="1342">
        <f t="shared" si="3"/>
        <v>1</v>
      </c>
      <c r="AB45" s="1342">
        <f t="shared" si="4"/>
        <v>1</v>
      </c>
      <c r="AC45" s="2335">
        <f t="shared" si="5"/>
        <v>1</v>
      </c>
    </row>
    <row r="46" spans="1:29" ht="14.25" hidden="1">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44"/>
      <c r="Q46" s="2218">
        <f t="shared" si="11"/>
        <v>111</v>
      </c>
      <c r="R46" s="1350" t="s">
        <v>62</v>
      </c>
      <c r="S46" s="1351">
        <f t="shared" si="12"/>
        <v>100</v>
      </c>
      <c r="T46" s="1350" t="s">
        <v>62</v>
      </c>
      <c r="U46" s="1351">
        <f t="shared" si="13"/>
        <v>100</v>
      </c>
      <c r="V46" s="1350" t="s">
        <v>62</v>
      </c>
      <c r="W46" s="1351">
        <f t="shared" si="14"/>
        <v>100</v>
      </c>
      <c r="X46" s="2220"/>
      <c r="Y46" s="3646"/>
      <c r="Z46" s="2219">
        <f t="shared" si="15"/>
        <v>111</v>
      </c>
      <c r="AA46" s="1353">
        <f t="shared" si="3"/>
        <v>1</v>
      </c>
      <c r="AB46" s="1353">
        <f t="shared" si="4"/>
        <v>1</v>
      </c>
      <c r="AC46" s="2336">
        <f t="shared" si="5"/>
        <v>1</v>
      </c>
    </row>
    <row r="47" spans="1:29" ht="15" hidden="1"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45"/>
      <c r="Q47" s="2218">
        <f t="shared" si="11"/>
        <v>111</v>
      </c>
      <c r="R47" s="1350" t="s">
        <v>62</v>
      </c>
      <c r="S47" s="1351">
        <f t="shared" si="12"/>
        <v>100</v>
      </c>
      <c r="T47" s="1350" t="s">
        <v>62</v>
      </c>
      <c r="U47" s="1351">
        <f t="shared" si="13"/>
        <v>100</v>
      </c>
      <c r="V47" s="1350" t="s">
        <v>62</v>
      </c>
      <c r="W47" s="1351">
        <f t="shared" si="14"/>
        <v>100</v>
      </c>
      <c r="X47" s="2220"/>
      <c r="Y47" s="3647"/>
      <c r="Z47" s="2219">
        <f t="shared" si="15"/>
        <v>111</v>
      </c>
      <c r="AA47" s="1353">
        <f t="shared" si="3"/>
        <v>1</v>
      </c>
      <c r="AB47" s="1353">
        <f t="shared" si="4"/>
        <v>1</v>
      </c>
      <c r="AC47" s="2336">
        <f t="shared" si="5"/>
        <v>1</v>
      </c>
    </row>
    <row r="48" spans="1:29" ht="15">
      <c r="A48" s="163" t="s">
        <v>1032</v>
      </c>
      <c r="B48" s="164"/>
      <c r="C48" s="2834" t="s">
        <v>23</v>
      </c>
      <c r="D48" s="2835"/>
      <c r="E48" s="2836">
        <v>5900</v>
      </c>
      <c r="F48" s="2837"/>
      <c r="G48" s="2838">
        <v>6200</v>
      </c>
      <c r="H48" s="2839"/>
      <c r="I48" s="2836">
        <v>6400</v>
      </c>
      <c r="J48" s="827"/>
      <c r="K48" s="1391"/>
      <c r="L48" s="2302"/>
      <c r="M48" s="2295"/>
      <c r="N48" s="2295"/>
      <c r="O48" s="2295"/>
      <c r="P48" s="3621" t="str">
        <f>A48</f>
        <v>成交单价（元/平方米）</v>
      </c>
      <c r="Q48" s="3639"/>
      <c r="R48" s="3640">
        <f>E48</f>
        <v>5900</v>
      </c>
      <c r="S48" s="3640"/>
      <c r="T48" s="3640">
        <f>G48</f>
        <v>6200</v>
      </c>
      <c r="U48" s="3640"/>
      <c r="V48" s="3640">
        <f>I48</f>
        <v>6400</v>
      </c>
      <c r="W48" s="3640"/>
      <c r="X48" s="156"/>
      <c r="Y48" s="1364"/>
      <c r="Z48" s="156"/>
      <c r="AA48" s="156"/>
      <c r="AB48" s="156"/>
      <c r="AC48" s="209"/>
    </row>
    <row r="49" spans="1:29" ht="15.75" thickBot="1">
      <c r="A49" s="165" t="s">
        <v>1033</v>
      </c>
      <c r="B49" s="166"/>
      <c r="C49" s="2840">
        <f>R50</f>
        <v>6124</v>
      </c>
      <c r="D49" s="2841"/>
      <c r="E49" s="2842">
        <f>R49</f>
        <v>6020</v>
      </c>
      <c r="F49" s="2842"/>
      <c r="G49" s="2840">
        <f>T49</f>
        <v>6200</v>
      </c>
      <c r="H49" s="2841"/>
      <c r="I49" s="2842">
        <f>V49</f>
        <v>6151</v>
      </c>
      <c r="J49" s="831"/>
      <c r="K49" s="1392"/>
      <c r="L49" s="2302"/>
      <c r="M49" s="2295"/>
      <c r="N49" s="2295"/>
      <c r="O49" s="2295"/>
      <c r="P49" s="3621" t="str">
        <f>A49</f>
        <v>比较价值（元/平方米）</v>
      </c>
      <c r="Q49" s="3639"/>
      <c r="R49" s="3640">
        <f>IF(F1="售价",ROUND(PRODUCT(R48,AA7:AA47),0),ROUND(PRODUCT(R48,AA7:AA47),1))</f>
        <v>6020</v>
      </c>
      <c r="S49" s="3640"/>
      <c r="T49" s="3640">
        <f>IF(F1="售价",ROUND(PRODUCT(T48,AB7:AB47),0),ROUND(PRODUCT(T48,AB7:AB47),1))</f>
        <v>6200</v>
      </c>
      <c r="U49" s="3640"/>
      <c r="V49" s="3640">
        <f>IF(F1="售价",ROUND(PRODUCT(V48,AC7:AC47),0),ROUND(PRODUCT(V48,AC7:AC47),1))</f>
        <v>6151</v>
      </c>
      <c r="W49" s="3640"/>
      <c r="X49" s="156"/>
      <c r="Y49" s="156"/>
      <c r="Z49" s="156"/>
      <c r="AA49" s="156"/>
      <c r="AB49" s="156"/>
      <c r="AC49" s="209"/>
    </row>
    <row r="50" spans="1:29" ht="15.75" thickBot="1">
      <c r="A50" s="115" t="s">
        <v>3016</v>
      </c>
      <c r="B50" s="116"/>
      <c r="C50" s="2844">
        <f>R50</f>
        <v>6124</v>
      </c>
      <c r="D50" s="2844"/>
      <c r="E50" s="2844"/>
      <c r="F50" s="2844"/>
      <c r="G50" s="2844"/>
      <c r="H50" s="2844"/>
      <c r="I50" s="2844"/>
      <c r="J50" s="836"/>
      <c r="K50" s="1393"/>
      <c r="L50" s="2302"/>
      <c r="M50" s="2295"/>
      <c r="N50" s="2295"/>
      <c r="O50" s="2295"/>
      <c r="P50" s="3667" t="str">
        <f>A50</f>
        <v>估价对象XX用房的比较价值（楼面单价，元/平方米）</v>
      </c>
      <c r="Q50" s="3668"/>
      <c r="R50" s="3669">
        <f>IF(F1="售价",ROUND(AVERAGE(R49:V49),0),ROUND(AVERAGE(R49:V49),1))</f>
        <v>6124</v>
      </c>
      <c r="S50" s="3669"/>
      <c r="T50" s="3669"/>
      <c r="U50" s="3669"/>
      <c r="V50" s="3669"/>
      <c r="W50" s="366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1003</v>
      </c>
      <c r="D53" s="840"/>
      <c r="E53" s="841">
        <f>IF(E48&lt;E49,E49/E48-1,E48/E49-1)</f>
        <v>2.0338983050847359E-2</v>
      </c>
      <c r="F53" s="842" t="str">
        <f>IF(OR(E53&gt;=0.3,E53&lt;=-0.3),"超过30%","")</f>
        <v/>
      </c>
      <c r="G53" s="841">
        <f>IF(G48&lt;G49,G49/G48-1,G48/G49-1)</f>
        <v>0</v>
      </c>
      <c r="H53" s="842" t="str">
        <f>IF(OR(G53&gt;=0.3,G53&lt;=-0.3),"超过30%","")</f>
        <v/>
      </c>
      <c r="I53" s="841">
        <f>IF(I48&lt;I49,I49/I48-1,I48/I49-1)</f>
        <v>4.0481222565436514E-2</v>
      </c>
      <c r="J53" s="842" t="str">
        <f>IF(OR(I53&gt;=0.3,I53&lt;=-0.3),"超过30%","")</f>
        <v/>
      </c>
      <c r="K53" s="2304"/>
      <c r="L53" s="2305"/>
      <c r="M53" s="2303"/>
      <c r="N53" s="2303"/>
      <c r="O53" s="2303"/>
    </row>
    <row r="54" spans="1:29" ht="13.5" customHeight="1">
      <c r="A54" s="2303"/>
      <c r="B54" s="2303"/>
      <c r="C54" s="839" t="s">
        <v>1004</v>
      </c>
      <c r="D54" s="843"/>
      <c r="E54" s="841">
        <f>IF(E49&lt;G49,G49/E49-1,E49/G49-1)</f>
        <v>2.9900332225913706E-2</v>
      </c>
      <c r="F54" s="842" t="str">
        <f>IF(OR(E54&gt;=0.2,E54&lt;=-0.2),"超过20%","")</f>
        <v/>
      </c>
      <c r="G54" s="841">
        <f>IF(G49&lt;I49,I49/G49-1,G49/I49-1)</f>
        <v>7.9661843602665261E-3</v>
      </c>
      <c r="H54" s="842" t="str">
        <f>IF(OR(G54&gt;=0.2,G54&lt;=-0.2),"超过20%","")</f>
        <v/>
      </c>
      <c r="I54" s="841">
        <f>IF(I49&lt;E49,E49/I49-1,I49/E49-1)</f>
        <v>2.1760797342192717E-2</v>
      </c>
      <c r="J54" s="842" t="str">
        <f>IF(OR(I54&gt;=0.2,I54&lt;=-0.2),"超过20%","")</f>
        <v/>
      </c>
      <c r="K54" s="2304"/>
      <c r="L54" s="2305"/>
      <c r="M54" s="2303"/>
      <c r="N54" s="2303"/>
      <c r="O54" s="2303"/>
    </row>
    <row r="55" spans="1:29" s="119" customFormat="1" ht="13.5" customHeight="1">
      <c r="A55" s="2308"/>
      <c r="B55" s="2308"/>
      <c r="C55" s="839" t="s">
        <v>1005</v>
      </c>
      <c r="D55" s="843"/>
      <c r="E55" s="841">
        <f>IF(E48&lt;G48,G48/E48-1,E48/G48-1)</f>
        <v>5.0847457627118731E-2</v>
      </c>
      <c r="F55" s="842" t="str">
        <f>IF(OR(E55&gt;=0.3,E55&lt;=-0.3),"超过30%","")</f>
        <v/>
      </c>
      <c r="G55" s="841">
        <f>IF(G48&lt;I48,I48/G48-1,G48/I48-1)</f>
        <v>3.2258064516129004E-2</v>
      </c>
      <c r="H55" s="842" t="str">
        <f>IF(OR(G55&gt;=0.3,G55&lt;=-0.3),"超过30%","")</f>
        <v/>
      </c>
      <c r="I55" s="841">
        <f>IF(I48&lt;E48,E48/I48-1,I48/E48-1)</f>
        <v>8.4745762711864403E-2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1034</v>
      </c>
      <c r="B58" s="1363"/>
      <c r="C58" s="1371"/>
      <c r="D58" s="1371"/>
      <c r="E58" s="1371"/>
      <c r="F58" s="1372"/>
      <c r="G58" s="1372"/>
      <c r="H58" s="1371"/>
      <c r="I58" s="1371"/>
      <c r="J58" s="1371"/>
      <c r="K58" s="1373"/>
      <c r="L58" s="2310"/>
      <c r="M58" s="2311"/>
      <c r="N58" s="2311"/>
      <c r="O58" s="2311"/>
      <c r="P58" s="2325"/>
      <c r="Q58" s="121"/>
    </row>
    <row r="59" spans="1:29" s="850" customFormat="1" ht="15">
      <c r="A59" s="847" t="s">
        <v>2792</v>
      </c>
      <c r="B59" s="848"/>
      <c r="C59" s="3043" t="str">
        <f>YEAR(C7)&amp;"-"&amp;MONTH(C7)</f>
        <v>2017-9</v>
      </c>
      <c r="D59" s="3044">
        <f>EDATE(C59,-1)</f>
        <v>42948</v>
      </c>
      <c r="E59" s="3044">
        <f>EDATE(D59,-1)</f>
        <v>42917</v>
      </c>
      <c r="F59" s="3044">
        <f t="shared" ref="F59:O59" si="16">EDATE(E59,-1)</f>
        <v>42887</v>
      </c>
      <c r="G59" s="3044">
        <f t="shared" si="16"/>
        <v>42856</v>
      </c>
      <c r="H59" s="3044">
        <f t="shared" si="16"/>
        <v>42826</v>
      </c>
      <c r="I59" s="3044">
        <f t="shared" si="16"/>
        <v>42795</v>
      </c>
      <c r="J59" s="3044">
        <f t="shared" si="16"/>
        <v>42767</v>
      </c>
      <c r="K59" s="3044">
        <f t="shared" si="16"/>
        <v>42736</v>
      </c>
      <c r="L59" s="3044">
        <f t="shared" si="16"/>
        <v>42705</v>
      </c>
      <c r="M59" s="3044">
        <f t="shared" si="16"/>
        <v>42675</v>
      </c>
      <c r="N59" s="3044">
        <f t="shared" si="16"/>
        <v>42644</v>
      </c>
      <c r="O59" s="3044">
        <f t="shared" si="16"/>
        <v>42614</v>
      </c>
      <c r="P59" s="3038"/>
    </row>
    <row r="60" spans="1:29" s="40" customFormat="1" ht="14.25">
      <c r="A60" s="1043"/>
      <c r="B60" s="1044"/>
      <c r="C60" s="3041">
        <v>100</v>
      </c>
      <c r="D60" s="854"/>
      <c r="E60" s="854"/>
      <c r="F60" s="854"/>
      <c r="G60" s="854"/>
      <c r="H60" s="854"/>
      <c r="I60" s="854"/>
      <c r="J60" s="854"/>
      <c r="K60" s="854"/>
      <c r="L60" s="854"/>
      <c r="M60" s="855"/>
      <c r="N60" s="854"/>
      <c r="O60" s="855"/>
      <c r="P60" s="2326"/>
    </row>
    <row r="61" spans="1:29" s="40" customFormat="1" ht="15" thickBot="1">
      <c r="A61" s="1045" t="s">
        <v>1035</v>
      </c>
      <c r="B61" s="1046"/>
      <c r="C61" s="859"/>
      <c r="D61" s="860"/>
      <c r="E61" s="860"/>
      <c r="F61" s="860"/>
      <c r="G61" s="860"/>
      <c r="H61" s="860"/>
      <c r="I61" s="860"/>
      <c r="J61" s="860"/>
      <c r="K61" s="860"/>
      <c r="L61" s="860"/>
      <c r="M61" s="861"/>
      <c r="N61" s="860"/>
      <c r="O61" s="861"/>
      <c r="P61" s="2326"/>
      <c r="Q61" s="121"/>
    </row>
    <row r="62" spans="1:29" s="40" customFormat="1">
      <c r="A62" s="1047" t="s">
        <v>1036</v>
      </c>
      <c r="B62" s="1044"/>
      <c r="C62" s="1048" t="s">
        <v>1037</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1038</v>
      </c>
      <c r="B64" s="286" t="s">
        <v>1039</v>
      </c>
      <c r="C64" s="176" t="str">
        <f>C9</f>
        <v>商业</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1040</v>
      </c>
      <c r="C66" s="881" t="s">
        <v>1006</v>
      </c>
      <c r="D66" s="881" t="s">
        <v>1007</v>
      </c>
      <c r="E66" s="881" t="s">
        <v>1008</v>
      </c>
      <c r="F66" s="881" t="s">
        <v>1009</v>
      </c>
      <c r="G66" s="881" t="s">
        <v>1010</v>
      </c>
      <c r="H66" s="881" t="s">
        <v>1011</v>
      </c>
      <c r="I66" s="881" t="s">
        <v>1012</v>
      </c>
      <c r="J66" s="881"/>
      <c r="K66" s="882"/>
      <c r="L66" s="883"/>
      <c r="M66" s="884"/>
      <c r="N66" s="1387"/>
      <c r="O66" s="1387"/>
      <c r="P66" s="2328"/>
      <c r="Q66" s="121"/>
    </row>
    <row r="67" spans="1:17" ht="15" thickBot="1">
      <c r="A67" s="173"/>
      <c r="B67" s="1053"/>
      <c r="C67" s="886" t="s">
        <v>135</v>
      </c>
      <c r="D67" s="886" t="s">
        <v>136</v>
      </c>
      <c r="E67" s="886">
        <v>100</v>
      </c>
      <c r="F67" s="886">
        <f>E67-$K10</f>
        <v>98</v>
      </c>
      <c r="G67" s="886">
        <f>F67-$K10</f>
        <v>96</v>
      </c>
      <c r="H67" s="886">
        <f>G67-$K10</f>
        <v>94</v>
      </c>
      <c r="I67" s="886">
        <f>H67-$K10</f>
        <v>92</v>
      </c>
      <c r="J67" s="886"/>
      <c r="K67" s="886"/>
      <c r="L67" s="886"/>
      <c r="M67" s="887"/>
      <c r="N67" s="1388"/>
      <c r="O67" s="1388"/>
      <c r="P67" s="2328"/>
      <c r="Q67" s="121"/>
    </row>
    <row r="68" spans="1:17" ht="15" thickTop="1">
      <c r="A68" s="173"/>
      <c r="B68" s="1054" t="s">
        <v>1041</v>
      </c>
      <c r="C68" s="889" t="str">
        <f>C69&amp;"（含）"&amp;"-"&amp;D69</f>
        <v>1（含）-2</v>
      </c>
      <c r="D68" s="889" t="str">
        <f t="shared" ref="D68:L68" si="17">D69&amp;"（含）"&amp;"-"&amp;E69</f>
        <v>2（含）-3</v>
      </c>
      <c r="E68" s="889" t="str">
        <f t="shared" si="17"/>
        <v>3（含）-4</v>
      </c>
      <c r="F68" s="889" t="str">
        <f t="shared" si="17"/>
        <v>4（含）-5</v>
      </c>
      <c r="G68" s="889" t="str">
        <f t="shared" si="17"/>
        <v>5（含）-6</v>
      </c>
      <c r="H68" s="889" t="str">
        <f t="shared" si="17"/>
        <v>6（含）-7</v>
      </c>
      <c r="I68" s="889" t="str">
        <f t="shared" si="17"/>
        <v>7（含）-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v>1</v>
      </c>
      <c r="D69" s="891">
        <v>2</v>
      </c>
      <c r="E69" s="891">
        <v>3</v>
      </c>
      <c r="F69" s="891">
        <v>4</v>
      </c>
      <c r="G69" s="891">
        <v>5</v>
      </c>
      <c r="H69" s="891">
        <v>6</v>
      </c>
      <c r="I69" s="891">
        <v>7</v>
      </c>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1042</v>
      </c>
      <c r="B77" s="286" t="s">
        <v>1087</v>
      </c>
      <c r="C77" s="915" t="s">
        <v>1013</v>
      </c>
      <c r="D77" s="915" t="s">
        <v>1014</v>
      </c>
      <c r="E77" s="915" t="s">
        <v>1015</v>
      </c>
      <c r="F77" s="915" t="s">
        <v>1016</v>
      </c>
      <c r="G77" s="915" t="s">
        <v>1017</v>
      </c>
      <c r="H77" s="871"/>
      <c r="I77" s="871"/>
      <c r="J77" s="871"/>
      <c r="K77" s="916"/>
      <c r="L77" s="917"/>
      <c r="M77" s="918"/>
      <c r="N77" s="1387"/>
      <c r="O77" s="1387"/>
      <c r="P77" s="2332"/>
      <c r="Q77" s="121"/>
    </row>
    <row r="78" spans="1:17" ht="15" thickBot="1">
      <c r="A78" s="173"/>
      <c r="B78" s="1053"/>
      <c r="C78" s="886">
        <v>100</v>
      </c>
      <c r="D78" s="886">
        <f>C78-$K15</f>
        <v>98</v>
      </c>
      <c r="E78" s="886">
        <f>D78-$K15</f>
        <v>96</v>
      </c>
      <c r="F78" s="886">
        <f>E78-$K15</f>
        <v>94</v>
      </c>
      <c r="G78" s="886">
        <f>F78-$K15</f>
        <v>92</v>
      </c>
      <c r="H78" s="886"/>
      <c r="I78" s="886"/>
      <c r="J78" s="886"/>
      <c r="K78" s="886"/>
      <c r="L78" s="886"/>
      <c r="M78" s="887"/>
      <c r="N78" s="1388"/>
      <c r="O78" s="1388"/>
      <c r="P78" s="2328"/>
      <c r="Q78" s="121"/>
    </row>
    <row r="79" spans="1:17" ht="15" thickTop="1">
      <c r="A79" s="173"/>
      <c r="B79" s="1052" t="s">
        <v>1049</v>
      </c>
      <c r="C79" s="920" t="s">
        <v>1013</v>
      </c>
      <c r="D79" s="920" t="s">
        <v>1014</v>
      </c>
      <c r="E79" s="920" t="s">
        <v>1015</v>
      </c>
      <c r="F79" s="920" t="s">
        <v>1096</v>
      </c>
      <c r="G79" s="920" t="s">
        <v>1017</v>
      </c>
      <c r="H79" s="881"/>
      <c r="I79" s="881"/>
      <c r="J79" s="881"/>
      <c r="K79" s="882"/>
      <c r="L79" s="883"/>
      <c r="M79" s="884"/>
      <c r="N79" s="1387"/>
      <c r="O79" s="1387"/>
      <c r="P79" s="2328"/>
      <c r="Q79" s="121"/>
    </row>
    <row r="80" spans="1:17" ht="15" thickBot="1">
      <c r="A80" s="173"/>
      <c r="B80" s="1053"/>
      <c r="C80" s="886">
        <v>100</v>
      </c>
      <c r="D80" s="886">
        <f>C80-$K17</f>
        <v>98</v>
      </c>
      <c r="E80" s="886">
        <f>D80-$K17</f>
        <v>96</v>
      </c>
      <c r="F80" s="886">
        <f>E80-$K17</f>
        <v>94</v>
      </c>
      <c r="G80" s="886">
        <f>F80-$K17</f>
        <v>92</v>
      </c>
      <c r="H80" s="886"/>
      <c r="I80" s="886"/>
      <c r="J80" s="886"/>
      <c r="K80" s="886"/>
      <c r="L80" s="886"/>
      <c r="M80" s="887"/>
      <c r="N80" s="1388"/>
      <c r="O80" s="1388"/>
      <c r="P80" s="2328"/>
      <c r="Q80" s="121"/>
    </row>
    <row r="81" spans="1:17" ht="15" thickTop="1">
      <c r="A81" s="173"/>
      <c r="B81" s="1052" t="s">
        <v>31</v>
      </c>
      <c r="C81" s="920" t="s">
        <v>1013</v>
      </c>
      <c r="D81" s="920" t="s">
        <v>1014</v>
      </c>
      <c r="E81" s="920" t="s">
        <v>1015</v>
      </c>
      <c r="F81" s="920" t="s">
        <v>1016</v>
      </c>
      <c r="G81" s="920" t="s">
        <v>1017</v>
      </c>
      <c r="H81" s="881"/>
      <c r="I81" s="881"/>
      <c r="J81" s="881"/>
      <c r="K81" s="882"/>
      <c r="L81" s="883"/>
      <c r="M81" s="884"/>
      <c r="N81" s="1387"/>
      <c r="O81" s="1387"/>
      <c r="P81" s="2328"/>
      <c r="Q81" s="121"/>
    </row>
    <row r="82" spans="1:17" ht="15" thickBot="1">
      <c r="A82" s="173"/>
      <c r="B82" s="1053"/>
      <c r="C82" s="886">
        <v>100</v>
      </c>
      <c r="D82" s="886">
        <f>C82-$K19</f>
        <v>98</v>
      </c>
      <c r="E82" s="886">
        <f>D82-$K19</f>
        <v>96</v>
      </c>
      <c r="F82" s="886">
        <f>E82-$K19</f>
        <v>94</v>
      </c>
      <c r="G82" s="886">
        <f>F82-$K19</f>
        <v>92</v>
      </c>
      <c r="H82" s="886"/>
      <c r="I82" s="886"/>
      <c r="J82" s="886"/>
      <c r="K82" s="886"/>
      <c r="L82" s="886"/>
      <c r="M82" s="887"/>
      <c r="N82" s="1388"/>
      <c r="O82" s="1388"/>
      <c r="P82" s="2328"/>
      <c r="Q82" s="121"/>
    </row>
    <row r="83" spans="1:17" ht="15" thickTop="1">
      <c r="A83" s="173"/>
      <c r="B83" s="1054" t="s">
        <v>2661</v>
      </c>
      <c r="C83" s="213" t="s">
        <v>2654</v>
      </c>
      <c r="D83" s="213" t="s">
        <v>2655</v>
      </c>
      <c r="E83" s="213" t="s">
        <v>2656</v>
      </c>
      <c r="F83" s="213" t="s">
        <v>2657</v>
      </c>
      <c r="G83" s="213" t="s">
        <v>2658</v>
      </c>
      <c r="H83" s="881"/>
      <c r="I83" s="881"/>
      <c r="J83" s="881"/>
      <c r="K83" s="881"/>
      <c r="L83" s="881"/>
      <c r="M83" s="2763"/>
      <c r="N83" s="1388"/>
      <c r="O83" s="1388"/>
      <c r="P83" s="2328"/>
      <c r="Q83" s="121"/>
    </row>
    <row r="84" spans="1:17" ht="15" thickBot="1">
      <c r="A84" s="173"/>
      <c r="B84" s="1054"/>
      <c r="C84" s="886">
        <v>100</v>
      </c>
      <c r="D84" s="886">
        <f>C84-$K21</f>
        <v>98</v>
      </c>
      <c r="E84" s="886">
        <f>D84-$K21</f>
        <v>96</v>
      </c>
      <c r="F84" s="886">
        <f>E84-$K21</f>
        <v>94</v>
      </c>
      <c r="G84" s="886">
        <f>F84-$K21</f>
        <v>92</v>
      </c>
      <c r="H84" s="1001"/>
      <c r="I84" s="1001"/>
      <c r="J84" s="1001"/>
      <c r="K84" s="1001"/>
      <c r="L84" s="1001"/>
      <c r="M84" s="792"/>
      <c r="N84" s="1388"/>
      <c r="O84" s="1388"/>
      <c r="P84" s="2328"/>
      <c r="Q84" s="121"/>
    </row>
    <row r="85" spans="1:17" ht="15" thickTop="1">
      <c r="A85" s="173"/>
      <c r="B85" s="1052" t="s">
        <v>1088</v>
      </c>
      <c r="C85" s="920" t="s">
        <v>1013</v>
      </c>
      <c r="D85" s="920" t="s">
        <v>1014</v>
      </c>
      <c r="E85" s="920" t="s">
        <v>1015</v>
      </c>
      <c r="F85" s="920" t="s">
        <v>1016</v>
      </c>
      <c r="G85" s="920" t="s">
        <v>1017</v>
      </c>
      <c r="H85" s="881"/>
      <c r="I85" s="881"/>
      <c r="J85" s="881"/>
      <c r="K85" s="882"/>
      <c r="L85" s="883"/>
      <c r="M85" s="884"/>
      <c r="N85" s="1387"/>
      <c r="O85" s="1387"/>
      <c r="P85" s="2328"/>
      <c r="Q85" s="121"/>
    </row>
    <row r="86" spans="1:17" ht="15" thickBot="1">
      <c r="A86" s="173"/>
      <c r="B86" s="1053"/>
      <c r="C86" s="886">
        <v>100</v>
      </c>
      <c r="D86" s="886">
        <f>C86-$K23</f>
        <v>98</v>
      </c>
      <c r="E86" s="886">
        <f>D86-$K23</f>
        <v>96</v>
      </c>
      <c r="F86" s="886">
        <f>E86-$K23</f>
        <v>94</v>
      </c>
      <c r="G86" s="886">
        <f>F86-$K23</f>
        <v>92</v>
      </c>
      <c r="H86" s="886"/>
      <c r="I86" s="886"/>
      <c r="J86" s="886"/>
      <c r="K86" s="886"/>
      <c r="L86" s="886"/>
      <c r="M86" s="887"/>
      <c r="N86" s="1388"/>
      <c r="O86" s="1388"/>
      <c r="P86" s="2328"/>
      <c r="Q86" s="121"/>
    </row>
    <row r="87" spans="1:17" s="40" customFormat="1" ht="27.75" thickTop="1">
      <c r="A87" s="1070"/>
      <c r="B87" s="1052" t="s">
        <v>1089</v>
      </c>
      <c r="C87" s="139" t="s">
        <v>3086</v>
      </c>
      <c r="D87" s="139" t="s">
        <v>3087</v>
      </c>
      <c r="E87" s="139" t="s">
        <v>3089</v>
      </c>
      <c r="F87" s="139" t="s">
        <v>3090</v>
      </c>
      <c r="G87" s="139" t="s">
        <v>3091</v>
      </c>
      <c r="H87" s="139"/>
      <c r="I87" s="139"/>
      <c r="J87" s="139"/>
      <c r="K87" s="139"/>
      <c r="L87" s="1382"/>
      <c r="M87" s="1383"/>
      <c r="N87" s="1386"/>
      <c r="O87" s="1386"/>
      <c r="P87" s="2328"/>
      <c r="Q87" s="121"/>
    </row>
    <row r="88" spans="1:17" s="40" customFormat="1" ht="15" thickBot="1">
      <c r="A88" s="1070"/>
      <c r="B88" s="1053"/>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8"/>
      <c r="O88" s="1388"/>
      <c r="P88" s="2328"/>
      <c r="Q88" s="121"/>
    </row>
    <row r="89" spans="1:17" s="40" customFormat="1" ht="14.25" thickTop="1">
      <c r="A89" s="1070"/>
      <c r="B89" s="1052" t="str">
        <f>B27</f>
        <v>楼层</v>
      </c>
      <c r="C89" s="139" t="s">
        <v>3092</v>
      </c>
      <c r="D89" s="139" t="s">
        <v>3094</v>
      </c>
      <c r="E89" s="139" t="s">
        <v>3095</v>
      </c>
      <c r="F89" s="1384"/>
      <c r="G89" s="139"/>
      <c r="H89" s="139"/>
      <c r="I89" s="139"/>
      <c r="J89" s="139"/>
      <c r="K89" s="139"/>
      <c r="L89" s="139"/>
      <c r="M89" s="1383"/>
      <c r="N89" s="1386"/>
      <c r="O89" s="1386"/>
      <c r="P89" s="2328"/>
      <c r="Q89" s="121"/>
    </row>
    <row r="90" spans="1:17" s="40" customFormat="1" ht="15" thickBot="1">
      <c r="A90" s="1070"/>
      <c r="B90" s="1053"/>
      <c r="C90" s="924">
        <v>100</v>
      </c>
      <c r="D90" s="886">
        <f>C90-$K27</f>
        <v>95</v>
      </c>
      <c r="E90" s="886">
        <f t="shared" ref="E90:M90" si="20">D90-$K27</f>
        <v>90</v>
      </c>
      <c r="F90" s="886">
        <f t="shared" si="20"/>
        <v>85</v>
      </c>
      <c r="G90" s="886">
        <f t="shared" si="20"/>
        <v>80</v>
      </c>
      <c r="H90" s="886">
        <f t="shared" si="20"/>
        <v>75</v>
      </c>
      <c r="I90" s="886">
        <f t="shared" si="20"/>
        <v>70</v>
      </c>
      <c r="J90" s="886">
        <f t="shared" si="20"/>
        <v>65</v>
      </c>
      <c r="K90" s="886">
        <f t="shared" si="20"/>
        <v>60</v>
      </c>
      <c r="L90" s="886">
        <f t="shared" si="20"/>
        <v>55</v>
      </c>
      <c r="M90" s="886">
        <f t="shared" si="20"/>
        <v>50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1052</v>
      </c>
      <c r="B101" s="286" t="s">
        <v>1090</v>
      </c>
      <c r="C101" s="122" t="s">
        <v>3096</v>
      </c>
      <c r="D101" s="122" t="s">
        <v>3097</v>
      </c>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8"/>
      <c r="O102" s="1388"/>
      <c r="P102" s="2328"/>
      <c r="Q102" s="121"/>
    </row>
    <row r="103" spans="1:17" ht="24.95" customHeight="1" thickTop="1">
      <c r="A103" s="173"/>
      <c r="B103" s="1052" t="s">
        <v>1054</v>
      </c>
      <c r="C103" s="920" t="str">
        <f>C104&amp;"(含)"&amp;"-"&amp;D104</f>
        <v>0(含)-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v>0</v>
      </c>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v>100</v>
      </c>
      <c r="D105" s="878">
        <v>102</v>
      </c>
      <c r="E105" s="878">
        <v>104</v>
      </c>
      <c r="F105" s="878">
        <v>106</v>
      </c>
      <c r="G105" s="878">
        <v>108</v>
      </c>
      <c r="H105" s="878">
        <v>110</v>
      </c>
      <c r="I105" s="878"/>
      <c r="J105" s="878"/>
      <c r="K105" s="878"/>
      <c r="L105" s="878"/>
      <c r="M105" s="879"/>
      <c r="N105" s="1388"/>
      <c r="O105" s="1388"/>
      <c r="P105" s="2329"/>
      <c r="Q105" s="1061"/>
    </row>
    <row r="106" spans="1:17" ht="14.25" thickTop="1">
      <c r="A106" s="175"/>
      <c r="B106" s="1052" t="s">
        <v>1055</v>
      </c>
      <c r="C106" s="139" t="s">
        <v>3098</v>
      </c>
      <c r="D106" s="139" t="s">
        <v>3099</v>
      </c>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8"/>
      <c r="O107" s="1388"/>
      <c r="P107" s="2328"/>
      <c r="Q107" s="121"/>
    </row>
    <row r="108" spans="1:17" ht="14.25" thickTop="1">
      <c r="A108" s="175"/>
      <c r="B108" s="1052" t="s">
        <v>1056</v>
      </c>
      <c r="C108" s="139" t="s">
        <v>3100</v>
      </c>
      <c r="D108" s="139" t="s">
        <v>3101</v>
      </c>
      <c r="E108" s="139" t="s">
        <v>3102</v>
      </c>
      <c r="F108" s="131" t="s">
        <v>3103</v>
      </c>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8"/>
      <c r="O109" s="1388"/>
      <c r="P109" s="2328"/>
      <c r="Q109" s="121"/>
    </row>
    <row r="110" spans="1:17" ht="15" thickTop="1">
      <c r="A110" s="175"/>
      <c r="B110" s="1052"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8"/>
      <c r="O112" s="1388"/>
      <c r="P112" s="2328"/>
      <c r="Q112" s="121"/>
    </row>
    <row r="113" spans="1:17" s="1037" customFormat="1" ht="14.25" thickTop="1">
      <c r="A113" s="1071"/>
      <c r="B113" s="1052" t="s">
        <v>1091</v>
      </c>
      <c r="C113" s="139" t="s">
        <v>3106</v>
      </c>
      <c r="D113" s="139" t="s">
        <v>3107</v>
      </c>
      <c r="E113" s="139" t="s">
        <v>3108</v>
      </c>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1092</v>
      </c>
      <c r="C115" s="139" t="s">
        <v>3104</v>
      </c>
      <c r="D115" s="139" t="s">
        <v>3105</v>
      </c>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8"/>
      <c r="O116" s="1388"/>
      <c r="P116" s="2328"/>
      <c r="Q116" s="121"/>
    </row>
    <row r="117" spans="1:17" ht="14.25" thickTop="1">
      <c r="A117" s="175"/>
      <c r="B117" s="1052" t="s">
        <v>2636</v>
      </c>
      <c r="C117" s="139" t="s">
        <v>3109</v>
      </c>
      <c r="D117" s="139" t="s">
        <v>3110</v>
      </c>
      <c r="E117" s="139" t="s">
        <v>3111</v>
      </c>
      <c r="F117" s="139" t="s">
        <v>3112</v>
      </c>
      <c r="G117" s="139" t="s">
        <v>3113</v>
      </c>
      <c r="H117" s="131"/>
      <c r="I117" s="131"/>
      <c r="J117" s="131"/>
      <c r="K117" s="132"/>
      <c r="L117" s="133"/>
      <c r="M117" s="134"/>
      <c r="N117" s="1387"/>
      <c r="O117" s="1387"/>
      <c r="P117" s="2328"/>
      <c r="Q117" s="121"/>
    </row>
    <row r="118" spans="1:17" ht="15" thickBot="1">
      <c r="A118" s="173"/>
      <c r="B118" s="1053"/>
      <c r="C118" s="886">
        <v>100</v>
      </c>
      <c r="D118" s="886">
        <f>C118-$K40</f>
        <v>99</v>
      </c>
      <c r="E118" s="886">
        <f>D118-$K40</f>
        <v>98</v>
      </c>
      <c r="F118" s="886">
        <f>E118-$K40</f>
        <v>97</v>
      </c>
      <c r="G118" s="886">
        <f>F118-$K40</f>
        <v>96</v>
      </c>
      <c r="H118" s="886"/>
      <c r="I118" s="886"/>
      <c r="J118" s="886"/>
      <c r="K118" s="886"/>
      <c r="L118" s="886"/>
      <c r="M118" s="887"/>
      <c r="N118" s="1388"/>
      <c r="O118" s="1388"/>
      <c r="P118" s="2328"/>
      <c r="Q118" s="121"/>
    </row>
    <row r="119" spans="1:17" ht="14.25" thickTop="1">
      <c r="A119" s="175"/>
      <c r="B119" s="211" t="s">
        <v>1059</v>
      </c>
      <c r="C119" s="131" t="s">
        <v>3114</v>
      </c>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8"/>
      <c r="O120" s="1388"/>
      <c r="P120" s="2328"/>
      <c r="Q120" s="121"/>
    </row>
    <row r="121" spans="1:17" s="1037" customFormat="1" ht="15" thickTop="1">
      <c r="A121" s="1071"/>
      <c r="B121" s="1052" t="s">
        <v>1060</v>
      </c>
      <c r="C121" s="896" t="s">
        <v>3204</v>
      </c>
      <c r="D121" s="896">
        <v>1400</v>
      </c>
      <c r="E121" s="896">
        <v>900</v>
      </c>
      <c r="F121" s="925">
        <v>600</v>
      </c>
      <c r="G121" s="897"/>
      <c r="H121" s="897"/>
      <c r="I121" s="897"/>
      <c r="J121" s="897"/>
      <c r="K121" s="897"/>
      <c r="L121" s="898"/>
      <c r="M121" s="899"/>
      <c r="N121" s="1389"/>
      <c r="O121" s="1389"/>
      <c r="P121" s="2329"/>
      <c r="Q121" s="1061"/>
    </row>
    <row r="122" spans="1:17" s="1037" customFormat="1" ht="15" thickBot="1">
      <c r="A122" s="1056"/>
      <c r="B122" s="1051"/>
      <c r="C122" s="902">
        <v>100</v>
      </c>
      <c r="D122" s="902">
        <v>98</v>
      </c>
      <c r="E122" s="902">
        <v>100</v>
      </c>
      <c r="F122" s="902">
        <v>100</v>
      </c>
      <c r="G122" s="902"/>
      <c r="H122" s="902"/>
      <c r="I122" s="902"/>
      <c r="J122" s="902"/>
      <c r="K122" s="902"/>
      <c r="L122" s="902"/>
      <c r="M122" s="902"/>
      <c r="N122" s="1389"/>
      <c r="O122" s="1389"/>
      <c r="P122" s="2329"/>
      <c r="Q122" s="1061"/>
    </row>
    <row r="123" spans="1:17" ht="14.25" thickTop="1">
      <c r="A123" s="175"/>
      <c r="B123" s="1052" t="s">
        <v>1062</v>
      </c>
      <c r="C123" s="139" t="s">
        <v>3100</v>
      </c>
      <c r="D123" s="139" t="s">
        <v>3101</v>
      </c>
      <c r="E123" s="139" t="s">
        <v>3102</v>
      </c>
      <c r="F123" s="131" t="s">
        <v>3103</v>
      </c>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8"/>
      <c r="O124" s="1388"/>
      <c r="P124" s="2328"/>
      <c r="Q124" s="121"/>
    </row>
    <row r="125" spans="1:17" ht="27.75" thickTop="1">
      <c r="A125" s="175"/>
      <c r="B125" s="1052" t="s">
        <v>1063</v>
      </c>
      <c r="C125" s="920" t="s">
        <v>1013</v>
      </c>
      <c r="D125" s="920" t="s">
        <v>1014</v>
      </c>
      <c r="E125" s="920" t="s">
        <v>1015</v>
      </c>
      <c r="F125" s="920" t="s">
        <v>1016</v>
      </c>
      <c r="G125" s="920" t="s">
        <v>1017</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2" sqref="I32"/>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3154</v>
      </c>
      <c r="D1" s="1272"/>
      <c r="E1" s="2583" t="s">
        <v>535</v>
      </c>
      <c r="F1" s="2584">
        <f ca="1">J53</f>
        <v>33.9</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ROUND(D2/10000,0)</f>
        <v>1383</v>
      </c>
      <c r="C2" s="1298" t="s">
        <v>1094</v>
      </c>
      <c r="D2" s="2722">
        <f ca="1">C40+J29+L46</f>
        <v>13826781</v>
      </c>
      <c r="E2" s="2573" t="s">
        <v>2620</v>
      </c>
      <c r="F2" s="1275"/>
      <c r="G2" s="2286"/>
      <c r="H2" s="1273"/>
      <c r="I2" s="1273"/>
      <c r="J2" s="1273"/>
      <c r="K2" s="1297"/>
      <c r="L2" s="1273"/>
      <c r="M2" s="1273"/>
    </row>
    <row r="3" spans="1:37" ht="18" customHeight="1" thickBot="1">
      <c r="A3" s="674" t="s">
        <v>343</v>
      </c>
      <c r="B3" s="1406">
        <f ca="1">IF(ISERROR(D2/F43),0,ROUND(D2/F43,0))</f>
        <v>6794</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870275</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ROUND(F6*F8*F7*(1-F9),0)</f>
        <v>869068</v>
      </c>
      <c r="D6" s="2623" t="s">
        <v>2535</v>
      </c>
      <c r="E6" s="683" t="s">
        <v>913</v>
      </c>
      <c r="F6" s="684">
        <f ca="1">INDIRECT("'数据-取费表'!u"&amp;$G$1)</f>
        <v>1.3</v>
      </c>
      <c r="G6" s="2287"/>
      <c r="H6" s="2620" t="s">
        <v>2372</v>
      </c>
      <c r="I6" s="3650" t="s">
        <v>2533</v>
      </c>
      <c r="J6" s="682">
        <f ca="1">ROUND(M6*M8*M7*(1-M9),0)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2035.05</v>
      </c>
      <c r="G7" s="2287"/>
      <c r="H7" s="685"/>
      <c r="I7" s="3651"/>
      <c r="J7" s="687"/>
      <c r="K7" s="688"/>
      <c r="L7" s="683" t="s">
        <v>914</v>
      </c>
      <c r="M7" s="684">
        <f ca="1">F7</f>
        <v>2035.05</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ROUND(IF(F10="押一",F6*F8*F7/12*F11,IF(F10="押二",F6*F8*F7/12*2*F11,IF(F10="押三",F6*F8*F7/12*3*F11,C11*F11))),0)</f>
        <v>1207</v>
      </c>
      <c r="D10" s="2632" t="s">
        <v>2536</v>
      </c>
      <c r="E10" s="2096" t="s">
        <v>2530</v>
      </c>
      <c r="F10" s="2829" t="s">
        <v>3122</v>
      </c>
      <c r="G10" s="2287"/>
      <c r="H10" s="2620" t="s">
        <v>2379</v>
      </c>
      <c r="I10" s="2621" t="s">
        <v>2528</v>
      </c>
      <c r="J10" s="682">
        <f ca="1">ROUND(IF(M10="押一",M6*M8*M7/12*M11,IF(M10="押二",M6*M8*M7/12*2*M11,IF(M10="押三",M6*M8*M7/12*3*M11,J11*M11))),0)</f>
        <v>0</v>
      </c>
      <c r="K10" s="2632" t="s">
        <v>2536</v>
      </c>
      <c r="L10" s="2096" t="s">
        <v>2530</v>
      </c>
      <c r="M10" s="2829" t="s">
        <v>2692</v>
      </c>
    </row>
    <row r="11" spans="1:37" ht="18" customHeight="1">
      <c r="A11" s="689"/>
      <c r="B11" s="2622" t="s">
        <v>2538</v>
      </c>
      <c r="C11" s="2414"/>
      <c r="D11" s="688"/>
      <c r="E11" s="2096" t="s">
        <v>2531</v>
      </c>
      <c r="F11" s="695">
        <f ca="1">'数据-取费表'!B39</f>
        <v>1.4999999999999999E-2</v>
      </c>
      <c r="G11" s="2287"/>
      <c r="H11" s="2633"/>
      <c r="I11" s="2622" t="s">
        <v>2693</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5821056</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ROUND(INDIRECT("'数据-取费表'!l"&amp;$G$1)*F43+'数据-取费表'!L14*INDIRECT("'数据-取费表'!S"&amp;$G$1),0)</f>
        <v>3663090</v>
      </c>
      <c r="D14" s="3379" t="s">
        <v>920</v>
      </c>
      <c r="E14" s="3380"/>
      <c r="F14" s="702"/>
      <c r="G14" s="2287"/>
      <c r="H14" s="2437" t="s">
        <v>2372</v>
      </c>
      <c r="I14" s="683" t="s">
        <v>921</v>
      </c>
      <c r="J14" s="313">
        <f ca="1">C29</f>
        <v>5821056</v>
      </c>
      <c r="K14" s="303"/>
      <c r="L14" s="699"/>
      <c r="M14" s="700"/>
    </row>
    <row r="15" spans="1:37" s="705" customFormat="1" ht="18" customHeight="1" thickBot="1">
      <c r="A15" s="2437" t="s">
        <v>2605</v>
      </c>
      <c r="B15" s="683" t="s">
        <v>357</v>
      </c>
      <c r="C15" s="313">
        <f ca="1">ROUND(C14*F15,0)</f>
        <v>109893</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ROUND(INDIRECT("'数据-取费表'!l"&amp;$G$1)*F43*F16,0)</f>
        <v>0</v>
      </c>
      <c r="D16" s="683" t="s">
        <v>922</v>
      </c>
      <c r="E16" s="683" t="s">
        <v>362</v>
      </c>
      <c r="F16" s="706">
        <f ca="1">IF(INDIRECT("'数据-取费表'!c"&amp;$G$1)="住宅",'数据-取费表'!B34,0)</f>
        <v>0</v>
      </c>
      <c r="G16" s="2287"/>
      <c r="H16" s="2664" t="s">
        <v>2337</v>
      </c>
      <c r="I16" s="2665" t="s">
        <v>924</v>
      </c>
      <c r="J16" s="691">
        <f ca="1">ROUND(J17+J22+J23+J24,0)</f>
        <v>136213</v>
      </c>
      <c r="K16" s="2674" t="s">
        <v>925</v>
      </c>
      <c r="L16" s="2675"/>
      <c r="M16" s="2626"/>
    </row>
    <row r="17" spans="1:37" s="705" customFormat="1" ht="18" customHeight="1">
      <c r="A17" s="2437" t="s">
        <v>2607</v>
      </c>
      <c r="B17" s="683" t="s">
        <v>359</v>
      </c>
      <c r="C17" s="313">
        <f ca="1">ROUND(F17*(F43+INDIRECT("'数据-取费表'!S"&amp;$G$1)),0)</f>
        <v>305258</v>
      </c>
      <c r="D17" s="683" t="s">
        <v>926</v>
      </c>
      <c r="E17" s="683" t="s">
        <v>927</v>
      </c>
      <c r="F17" s="315">
        <f>'数据-取费表'!B35</f>
        <v>150</v>
      </c>
      <c r="G17" s="2288"/>
      <c r="H17" s="2437" t="s">
        <v>2372</v>
      </c>
      <c r="I17" s="683" t="s">
        <v>360</v>
      </c>
      <c r="J17" s="313">
        <f ca="1">ROUND(IF(项目基本情况!B11="自然人",J5*M17,J18+J19+J20),0)</f>
        <v>48897</v>
      </c>
      <c r="K17" s="3379" t="s">
        <v>928</v>
      </c>
      <c r="L17" s="3381"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54946</v>
      </c>
      <c r="D18" s="683" t="s">
        <v>922</v>
      </c>
      <c r="E18" s="683" t="s">
        <v>362</v>
      </c>
      <c r="F18" s="706">
        <f>'数据-取费表'!B36</f>
        <v>1.4999999999999999E-2</v>
      </c>
      <c r="G18" s="2288"/>
      <c r="H18" s="2437" t="s">
        <v>2369</v>
      </c>
      <c r="I18" s="683" t="s">
        <v>930</v>
      </c>
      <c r="J18" s="313">
        <f ca="1">ROUND(J5*M18/(1+'数据-取费表'!C42),0)</f>
        <v>0</v>
      </c>
      <c r="K18" s="3381"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4133187</v>
      </c>
      <c r="D19" s="470" t="s">
        <v>932</v>
      </c>
      <c r="E19" s="3383"/>
      <c r="F19" s="315"/>
      <c r="G19" s="2287"/>
      <c r="H19" s="2437" t="s">
        <v>2605</v>
      </c>
      <c r="I19" s="683" t="s">
        <v>933</v>
      </c>
      <c r="J19" s="313">
        <f ca="1">IF(K19="按租金收入计税",ROUND(J5*M19,0),ROUND(C29*M19*0.7,0))</f>
        <v>48897</v>
      </c>
      <c r="K19" s="1299" t="s">
        <v>2412</v>
      </c>
      <c r="L19" s="683" t="s">
        <v>362</v>
      </c>
      <c r="M19" s="706">
        <f>IF(K19="按租金收入计税",'数据-取费表'!B51,'数据-取费表'!B50)</f>
        <v>1.2E-2</v>
      </c>
    </row>
    <row r="20" spans="1:37" s="705" customFormat="1" ht="18" customHeight="1">
      <c r="A20" s="2437" t="s">
        <v>2609</v>
      </c>
      <c r="B20" s="683" t="s">
        <v>364</v>
      </c>
      <c r="C20" s="313">
        <f ca="1">ROUND(C19*F20,0)</f>
        <v>82664</v>
      </c>
      <c r="D20" s="708" t="s">
        <v>934</v>
      </c>
      <c r="E20" s="683" t="s">
        <v>362</v>
      </c>
      <c r="F20" s="706">
        <f>'数据-取费表'!B37</f>
        <v>0.02</v>
      </c>
      <c r="G20" s="2288"/>
      <c r="H20" s="2437" t="s">
        <v>2606</v>
      </c>
      <c r="I20" s="495" t="s">
        <v>935</v>
      </c>
      <c r="J20" s="314">
        <f ca="1">ROUND(M20*M21,0)</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23</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3383"/>
      <c r="F22" s="315"/>
      <c r="G22" s="2287"/>
      <c r="H22" s="2437" t="s">
        <v>2379</v>
      </c>
      <c r="I22" s="683" t="s">
        <v>943</v>
      </c>
      <c r="J22" s="313">
        <f ca="1">ROUND(J14*M22,0)</f>
        <v>87316</v>
      </c>
      <c r="K22" s="3381"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303918</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ROUND(J13*M23,0)</f>
        <v>0</v>
      </c>
      <c r="K23" s="3381"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ROUND(J5*M24,0)</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3383"/>
      <c r="F25" s="315"/>
      <c r="G25" s="2287"/>
      <c r="H25" s="2664" t="s">
        <v>2352</v>
      </c>
      <c r="I25" s="2681" t="s">
        <v>374</v>
      </c>
      <c r="J25" s="691">
        <f ca="1">J5-J16</f>
        <v>-136213</v>
      </c>
      <c r="K25" s="2682" t="s">
        <v>375</v>
      </c>
      <c r="L25" s="2683"/>
      <c r="M25" s="2684"/>
    </row>
    <row r="26" spans="1:37" ht="18" customHeight="1">
      <c r="A26" s="2437" t="s">
        <v>2369</v>
      </c>
      <c r="B26" s="683" t="s">
        <v>2526</v>
      </c>
      <c r="C26" s="313">
        <f ca="1">ROUND((C19+C20)*F26,0)</f>
        <v>843170</v>
      </c>
      <c r="D26" s="708" t="s">
        <v>953</v>
      </c>
      <c r="E26" s="694" t="s">
        <v>954</v>
      </c>
      <c r="F26" s="693">
        <f ca="1">INDIRECT("'数据-取费表'!q"&amp;$G$1)</f>
        <v>0.2</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4.0000000000000001E-3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5821056</v>
      </c>
      <c r="D29" s="2679"/>
      <c r="E29" s="2677"/>
      <c r="F29" s="2680"/>
      <c r="G29" s="2288"/>
      <c r="H29" s="719" t="s">
        <v>2362</v>
      </c>
      <c r="I29" s="720" t="s">
        <v>959</v>
      </c>
      <c r="J29" s="721">
        <f ca="1">ROUND(J26/(1+F40)^F41,0)</f>
        <v>0</v>
      </c>
      <c r="K29" s="722" t="s">
        <v>960</v>
      </c>
      <c r="L29" s="723"/>
      <c r="M29" s="724">
        <f ca="1">INDIRECT("'数据-取费表'!k"&amp;$G$1)</f>
        <v>2035.05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207324</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ROUND(IF(项目基本情况!B11="自然人",C5*F31,C32+C33+C34),0)</f>
        <v>95312</v>
      </c>
      <c r="D31" s="3379" t="s">
        <v>928</v>
      </c>
      <c r="E31" s="3381"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IF(项目基本情况!B11="自然人","——",ROUND(C5*F32/(1+'数据-取费表'!C42),0))</f>
        <v>46415</v>
      </c>
      <c r="D32" s="3381"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IF(项目基本情况!B11="自然人","——",IF(D33="按租金收入计税",ROUND(C5*F33,0),IF(D33="按房产原值计税",ROUND(C29*F33*0.7,0),INDIRECT("'数据-取费表'!Aj"&amp;$G$1))))</f>
        <v>48897</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ROUND(C29*F36,0)</f>
        <v>87316</v>
      </c>
      <c r="D36" s="3381"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ROUND(C13*F37,0)</f>
        <v>11642</v>
      </c>
      <c r="D37" s="3381"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13054.1</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662951</v>
      </c>
      <c r="D39" s="2682" t="s">
        <v>375</v>
      </c>
      <c r="E39" s="2683"/>
      <c r="F39" s="2684"/>
      <c r="G39" s="2287"/>
      <c r="H39" s="1288"/>
      <c r="I39" s="2882"/>
      <c r="J39" s="2883"/>
      <c r="K39" s="1293"/>
      <c r="L39" s="1288"/>
      <c r="M39" s="1288"/>
    </row>
    <row r="40" spans="1:18" ht="18" customHeight="1">
      <c r="A40" s="680" t="s">
        <v>2355</v>
      </c>
      <c r="B40" s="681" t="s">
        <v>376</v>
      </c>
      <c r="C40" s="682">
        <f ca="1">ROUND(C39*(1-((1+F42)/(1+F40))^F41)/(F40-F42),0)</f>
        <v>13826781</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0.02</v>
      </c>
      <c r="G42" s="2287"/>
      <c r="H42" s="1190"/>
      <c r="I42" s="2882"/>
      <c r="J42" s="2883"/>
      <c r="K42" s="1292"/>
      <c r="L42" s="1190"/>
      <c r="M42" s="1190"/>
    </row>
    <row r="43" spans="1:18" ht="18" customHeight="1" thickBot="1">
      <c r="A43" s="719" t="s">
        <v>2362</v>
      </c>
      <c r="B43" s="720" t="s">
        <v>380</v>
      </c>
      <c r="C43" s="721">
        <f ca="1">ROUND(C40/F43,0)</f>
        <v>6794</v>
      </c>
      <c r="D43" s="722" t="s">
        <v>381</v>
      </c>
      <c r="E43" s="723" t="s">
        <v>382</v>
      </c>
      <c r="F43" s="724">
        <f ca="1">INDIRECT("'数据-取费表'!k"&amp;$G$1)</f>
        <v>2035.05</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f ca="1">C68-C40</f>
        <v>-16910506</v>
      </c>
      <c r="D45" s="2726" t="s">
        <v>2620</v>
      </c>
      <c r="E45" s="1431"/>
      <c r="F45" s="1431"/>
      <c r="O45" s="2589" t="s">
        <v>2485</v>
      </c>
      <c r="P45" s="1294"/>
      <c r="Q45" s="1294"/>
      <c r="R45" s="1294"/>
    </row>
    <row r="46" spans="1:18" s="1453" customFormat="1" ht="21" thickBot="1">
      <c r="A46" s="2395" t="s">
        <v>2324</v>
      </c>
      <c r="B46" s="2396"/>
      <c r="C46" s="2723">
        <f ca="1">ROUND(C45/10000,0)</f>
        <v>-1691</v>
      </c>
      <c r="D46" s="2724" t="str">
        <f>C2</f>
        <v>万元</v>
      </c>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908</v>
      </c>
      <c r="B47" s="2433" t="s">
        <v>909</v>
      </c>
      <c r="C47" s="2433" t="s">
        <v>910</v>
      </c>
      <c r="D47" s="2433" t="s">
        <v>911</v>
      </c>
      <c r="E47" s="2535" t="s">
        <v>912</v>
      </c>
      <c r="F47" s="2536"/>
      <c r="G47" s="1455"/>
      <c r="I47" s="2551" t="s">
        <v>2413</v>
      </c>
      <c r="J47" s="2552" t="s">
        <v>3116</v>
      </c>
      <c r="K47" s="2561" t="s">
        <v>2436</v>
      </c>
      <c r="L47" s="2562">
        <f ca="1">INDIRECT("'数据-取费表'!d"&amp;$G$1)</f>
        <v>40</v>
      </c>
      <c r="M47" s="2582" t="str">
        <f>IF(ISNUMBER(FIND("住宅",C1)),"住宅","非住宅")</f>
        <v>非住宅</v>
      </c>
      <c r="O47" s="2585" t="s">
        <v>2448</v>
      </c>
      <c r="P47" s="2595" t="s">
        <v>2466</v>
      </c>
      <c r="Q47" s="2586">
        <f ca="1">C40+J29</f>
        <v>13826781</v>
      </c>
      <c r="R47" s="2586" t="s">
        <v>2467</v>
      </c>
    </row>
    <row r="48" spans="1:18" s="1453" customFormat="1" ht="47.25" thickBot="1">
      <c r="A48" s="2709" t="s">
        <v>2616</v>
      </c>
      <c r="B48" s="681" t="s">
        <v>2331</v>
      </c>
      <c r="C48" s="3382">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ROUND(F49*F51*F50*(1-F52),0)</f>
        <v>0</v>
      </c>
      <c r="D49" s="2531" t="s">
        <v>2332</v>
      </c>
      <c r="E49" s="2534" t="s">
        <v>2325</v>
      </c>
      <c r="F49" s="2537"/>
      <c r="G49" s="1457"/>
      <c r="H49" s="1456"/>
      <c r="I49" s="2542" t="s">
        <v>2434</v>
      </c>
      <c r="J49" s="2554">
        <v>2017</v>
      </c>
      <c r="K49" s="2564" t="s">
        <v>2439</v>
      </c>
      <c r="L49" s="2565"/>
      <c r="O49" s="2587" t="s">
        <v>2450</v>
      </c>
      <c r="P49" s="2595" t="s">
        <v>2469</v>
      </c>
      <c r="Q49" s="2586">
        <f ca="1">C29</f>
        <v>5821056</v>
      </c>
      <c r="R49" s="2586" t="s">
        <v>2467</v>
      </c>
    </row>
    <row r="50" spans="1:18" s="1453" customFormat="1" ht="15.75" thickBot="1">
      <c r="A50" s="2431"/>
      <c r="B50" s="2434"/>
      <c r="C50" s="2435"/>
      <c r="D50" s="2404"/>
      <c r="E50" s="2532" t="s">
        <v>914</v>
      </c>
      <c r="F50" s="2533">
        <f ca="1">F7</f>
        <v>2035.05</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2896545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710" t="s">
        <v>2618</v>
      </c>
      <c r="B53" s="2711" t="s">
        <v>2528</v>
      </c>
      <c r="C53" s="697">
        <f ca="1">ROUND(IF(F53="押一",F49*F51*F50/12*F11,IF(F53="押二",F49*F51*F50/12*2*F11,IF(F53="押三",F49*F51*F50/12*3*F11,C54*F11))),0)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13826781</v>
      </c>
      <c r="R53" s="2586" t="s">
        <v>2455</v>
      </c>
    </row>
    <row r="54" spans="1:18" s="1453" customFormat="1" ht="16.5" thickBot="1">
      <c r="A54" s="2430"/>
      <c r="B54" s="2826" t="s">
        <v>2693</v>
      </c>
      <c r="C54" s="2414"/>
      <c r="D54" s="2632"/>
      <c r="E54" s="3378"/>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3378"/>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917</v>
      </c>
      <c r="C56" s="607">
        <f ca="1">C13</f>
        <v>5821056</v>
      </c>
      <c r="D56" s="2696"/>
      <c r="E56" s="2410"/>
      <c r="F56" s="2538"/>
      <c r="I56" s="2541" t="s">
        <v>2424</v>
      </c>
      <c r="J56" s="2570" t="s">
        <v>3070</v>
      </c>
      <c r="K56" s="2542" t="s">
        <v>2428</v>
      </c>
      <c r="L56" s="2167" t="str">
        <f ca="1">IF(L48&lt;J51,"——",L48-J51)</f>
        <v>——</v>
      </c>
      <c r="O56" s="2585" t="s">
        <v>2448</v>
      </c>
      <c r="P56" s="2595" t="s">
        <v>2466</v>
      </c>
      <c r="Q56" s="2586">
        <f ca="1">C40+J29</f>
        <v>13826781</v>
      </c>
      <c r="R56" s="2586" t="s">
        <v>2467</v>
      </c>
    </row>
    <row r="57" spans="1:18" s="1453" customFormat="1" ht="29.25" thickBot="1">
      <c r="A57" s="2539"/>
      <c r="B57" s="2401" t="s">
        <v>966</v>
      </c>
      <c r="C57" s="613">
        <f ca="1">C29</f>
        <v>5821056</v>
      </c>
      <c r="D57" s="2412"/>
      <c r="E57" s="2413"/>
      <c r="F57" s="2540"/>
      <c r="I57" s="2543" t="s">
        <v>2445</v>
      </c>
      <c r="J57" s="2547" t="str">
        <f ca="1">IF(OR(M47="住宅",J51&lt;L48,J56="是"),"——",J51-L48)</f>
        <v>——</v>
      </c>
      <c r="K57" s="2542" t="s">
        <v>2438</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147855</v>
      </c>
      <c r="D58" s="2415" t="s">
        <v>925</v>
      </c>
      <c r="E58" s="2416"/>
      <c r="F58" s="2417"/>
      <c r="I58" s="2543" t="s">
        <v>2425</v>
      </c>
      <c r="J58" s="3321" t="e">
        <f ca="1">IF(J55&lt;0.4,0.4,J55)</f>
        <v>#VALUE!</v>
      </c>
      <c r="K58" s="2566" t="s">
        <v>2447</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ROUND(IF(项目基本情况!B11="自然人",C48*F59,C60+C61+C62),0)</f>
        <v>48897</v>
      </c>
      <c r="D59" s="2418" t="s">
        <v>928</v>
      </c>
      <c r="E59" s="2419" t="s">
        <v>929</v>
      </c>
      <c r="F59" s="707" t="str">
        <f ca="1">IF(项目基本情况!B11="企业","",IF(INDIRECT("'数据-取费表'!c"&amp;$G$1)="住宅",5%,IF(F49*F50*F51/12/(1+'数据-取费表'!C42)&gt;20000,12%,7%)))</f>
        <v/>
      </c>
      <c r="I59" s="2543" t="s">
        <v>2426</v>
      </c>
      <c r="J59" s="2547" t="str">
        <f ca="1">IF(OR(M47="住宅",J51&lt;L48,J56="是"),"——",ROUND(C29*J58,0))</f>
        <v>——</v>
      </c>
      <c r="K59" s="2566" t="s">
        <v>2435</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IF(项目基本情况!B11="自然人","——",ROUND(C48*F60/(1+'数据-取费表'!C42),0))</f>
        <v>0</v>
      </c>
      <c r="D60" s="2419" t="s">
        <v>931</v>
      </c>
      <c r="E60" s="2401" t="s">
        <v>362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IF(项目基本情况!B11="自然人","——",IF(D61="按租金收入计税",ROUND(C48*F61,0),IF(D61="按房产原值计税",ROUND(C57*F61*0.7,0),INDIRECT("'数据-取费表'!Aj"&amp;$G$1))))</f>
        <v>48897</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IF(项目基本情况!B11="自然人","——",ROUND(F62*F63,0))</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13826781</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ROUND(C57*F64,0)</f>
        <v>87316</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ROUND(C56*F65,0)</f>
        <v>11642</v>
      </c>
      <c r="D65" s="2419" t="s">
        <v>366</v>
      </c>
      <c r="E65" s="2401" t="s">
        <v>362</v>
      </c>
      <c r="F65" s="715">
        <f t="shared" ca="1" si="0"/>
        <v>2E-3</v>
      </c>
      <c r="I65" s="2545" t="s">
        <v>2433</v>
      </c>
      <c r="J65" s="3325">
        <v>40</v>
      </c>
      <c r="K65" s="3325">
        <v>30</v>
      </c>
      <c r="L65" s="3325">
        <v>50</v>
      </c>
      <c r="M65" s="3323">
        <v>0.02</v>
      </c>
      <c r="O65" s="2585" t="s">
        <v>2448</v>
      </c>
      <c r="P65" s="2595" t="s">
        <v>2466</v>
      </c>
      <c r="Q65" s="2586">
        <f ca="1">C40+J29</f>
        <v>13826781</v>
      </c>
      <c r="R65" s="2586" t="s">
        <v>2467</v>
      </c>
    </row>
    <row r="66" spans="1:18" s="1453" customFormat="1" ht="20.25" thickBot="1">
      <c r="A66" s="2437" t="s">
        <v>2374</v>
      </c>
      <c r="B66" s="2401" t="s">
        <v>364</v>
      </c>
      <c r="C66" s="313">
        <f ca="1">ROUND(C48*F66,0)</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-147855</v>
      </c>
      <c r="D67" s="2418" t="s">
        <v>375</v>
      </c>
      <c r="E67" s="2423"/>
      <c r="F67" s="2424"/>
      <c r="O67" s="2587" t="s">
        <v>2450</v>
      </c>
      <c r="P67" s="2595" t="s">
        <v>2480</v>
      </c>
      <c r="Q67" s="2590">
        <f ca="1">L51</f>
        <v>2896545</v>
      </c>
      <c r="R67" s="2591" t="s">
        <v>2490</v>
      </c>
    </row>
    <row r="68" spans="1:18" s="1453" customFormat="1" ht="20.25" thickBot="1">
      <c r="A68" s="2398" t="s">
        <v>2355</v>
      </c>
      <c r="B68" s="2399" t="s">
        <v>376</v>
      </c>
      <c r="C68" s="682">
        <f ca="1">ROUND(C67*(1-((1+F70)/(1+F68))^F69)/(F68-F70),0)</f>
        <v>-3083725</v>
      </c>
      <c r="D68" s="2420" t="s">
        <v>370</v>
      </c>
      <c r="E68" s="2401" t="s">
        <v>371</v>
      </c>
      <c r="F68" s="693">
        <f ca="1">F40</f>
        <v>0.05</v>
      </c>
      <c r="O68" s="2587" t="s">
        <v>2451</v>
      </c>
      <c r="P68" s="2596" t="s">
        <v>2484</v>
      </c>
      <c r="Q68" s="2586">
        <f ca="1">ROUND(Q69-Q70*Q71,0)</f>
        <v>168161</v>
      </c>
      <c r="R68" s="2586" t="s">
        <v>2489</v>
      </c>
    </row>
    <row r="69" spans="1:18" s="1453" customFormat="1" ht="15.75" thickBot="1">
      <c r="A69" s="2402"/>
      <c r="B69" s="2403"/>
      <c r="C69" s="687"/>
      <c r="D69" s="2425" t="s">
        <v>958</v>
      </c>
      <c r="E69" s="2401" t="s">
        <v>378</v>
      </c>
      <c r="F69" s="718">
        <f ca="1">F41</f>
        <v>33.9</v>
      </c>
      <c r="O69" s="2587" t="s">
        <v>2459</v>
      </c>
      <c r="P69" s="2596" t="s">
        <v>2474</v>
      </c>
      <c r="Q69" s="2586">
        <f ca="1">C39</f>
        <v>662951</v>
      </c>
      <c r="R69" s="2586" t="s">
        <v>2467</v>
      </c>
    </row>
    <row r="70" spans="1:18" s="1453" customFormat="1" ht="15.75" thickBot="1">
      <c r="A70" s="2405"/>
      <c r="B70" s="2406"/>
      <c r="C70" s="691"/>
      <c r="D70" s="2421"/>
      <c r="E70" s="2401" t="s">
        <v>379</v>
      </c>
      <c r="F70" s="2530">
        <f ca="1">F42</f>
        <v>0.02</v>
      </c>
      <c r="O70" s="2587" t="s">
        <v>2460</v>
      </c>
      <c r="P70" s="2596" t="s">
        <v>2475</v>
      </c>
      <c r="Q70" s="2586">
        <f ca="1">C13</f>
        <v>5821056</v>
      </c>
      <c r="R70" s="2586" t="s">
        <v>2467</v>
      </c>
    </row>
    <row r="71" spans="1:18" s="1453" customFormat="1" ht="15.75" thickBot="1">
      <c r="A71" s="2426" t="s">
        <v>2362</v>
      </c>
      <c r="B71" s="2427" t="s">
        <v>380</v>
      </c>
      <c r="C71" s="721">
        <f ca="1">ROUND(C68/F71,0)</f>
        <v>-1515</v>
      </c>
      <c r="D71" s="2428" t="s">
        <v>381</v>
      </c>
      <c r="E71" s="2429" t="s">
        <v>382</v>
      </c>
      <c r="F71" s="724">
        <f ca="1">F43</f>
        <v>2035.05</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494790</v>
      </c>
      <c r="D75" s="1453"/>
      <c r="E75" s="1453"/>
      <c r="F75" s="1453"/>
      <c r="K75" s="1454"/>
      <c r="L75" s="1453"/>
      <c r="O75" s="2585" t="s">
        <v>2454</v>
      </c>
      <c r="P75" s="2595" t="s">
        <v>2472</v>
      </c>
      <c r="Q75" s="2586">
        <f ca="1">Q65+Q66</f>
        <v>13826781</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0.254</v>
      </c>
    </row>
    <row r="80" spans="1:18">
      <c r="B80" s="2874" t="s">
        <v>2699</v>
      </c>
      <c r="C80" s="649">
        <f ca="1">ROUND(C75/C39,3)</f>
        <v>0.746</v>
      </c>
    </row>
    <row r="81" spans="2:3">
      <c r="B81" s="645" t="s">
        <v>384</v>
      </c>
      <c r="C81" s="646"/>
    </row>
    <row r="82" spans="2:3">
      <c r="B82" s="2873" t="s">
        <v>2698</v>
      </c>
      <c r="C82" s="650">
        <f ca="1">1-C83</f>
        <v>0.57899999999999996</v>
      </c>
    </row>
    <row r="83" spans="2:3">
      <c r="B83" s="2873" t="s">
        <v>2697</v>
      </c>
      <c r="C83" s="649">
        <f ca="1">ROUND(C13/C40,3)</f>
        <v>0.42099999999999999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4" sqref="F14"/>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3154</v>
      </c>
      <c r="D1" s="1272"/>
      <c r="E1" s="2583" t="s">
        <v>535</v>
      </c>
      <c r="F1" s="2584">
        <f ca="1">J53</f>
        <v>33.9</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1391</v>
      </c>
      <c r="C2" s="1298" t="s">
        <v>1094</v>
      </c>
      <c r="D2" s="1274"/>
      <c r="E2" s="2573"/>
      <c r="F2" s="1275"/>
      <c r="G2" s="2286"/>
      <c r="H2" s="1273"/>
      <c r="I2" s="1273"/>
      <c r="J2" s="1273"/>
      <c r="K2" s="1297"/>
      <c r="L2" s="1273"/>
      <c r="M2" s="1273"/>
    </row>
    <row r="3" spans="1:37" ht="18" customHeight="1" thickBot="1">
      <c r="A3" s="674" t="s">
        <v>343</v>
      </c>
      <c r="B3" s="1406">
        <f ca="1">IF(ISERROR(B2*10000/F43),0,ROUND(B2*10000/F43,0))</f>
        <v>6835</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87</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ROUND(F6*F8*F7*(1-F9)/10000,0)</f>
        <v>87</v>
      </c>
      <c r="D6" s="2623" t="s">
        <v>2535</v>
      </c>
      <c r="E6" s="683" t="s">
        <v>913</v>
      </c>
      <c r="F6" s="684">
        <f ca="1">INDIRECT("'数据-取费表'!u"&amp;$G$1)</f>
        <v>1.3</v>
      </c>
      <c r="G6" s="2287"/>
      <c r="H6" s="2620" t="s">
        <v>2372</v>
      </c>
      <c r="I6" s="3650" t="s">
        <v>2533</v>
      </c>
      <c r="J6" s="682">
        <f ca="1">ROUND(M6*M8*M7*(1-M9)/10000,0)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2035.05</v>
      </c>
      <c r="G7" s="2287"/>
      <c r="H7" s="685"/>
      <c r="I7" s="3651"/>
      <c r="J7" s="687"/>
      <c r="K7" s="688"/>
      <c r="L7" s="683" t="s">
        <v>914</v>
      </c>
      <c r="M7" s="684">
        <f ca="1">F7</f>
        <v>2035.05</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ROUND(IF(F10="押一",F6*F8*F7/12*F11,IF(F10="押二",F6*F8*F7/12*2*F11,IF(F10="押三",F6*F8*F7/12*3*F11,C11*F11)))/10000,0)</f>
        <v>0</v>
      </c>
      <c r="D10" s="2632" t="s">
        <v>2536</v>
      </c>
      <c r="E10" s="2096" t="s">
        <v>2530</v>
      </c>
      <c r="F10" s="2829" t="s">
        <v>3122</v>
      </c>
      <c r="G10" s="2287"/>
      <c r="H10" s="2620" t="s">
        <v>2379</v>
      </c>
      <c r="I10" s="2621" t="s">
        <v>2528</v>
      </c>
      <c r="J10" s="682">
        <f ca="1">ROUND(IF(M10="押一",M6*M8*M7/12*M11,IF(M10="押二",M6*M8*M7/12*2*M11,IF(M10="押三",M6*M8*M7/12*3*M11,J11*M11)))/10000,0)</f>
        <v>0</v>
      </c>
      <c r="K10" s="2632" t="s">
        <v>2536</v>
      </c>
      <c r="L10" s="2096" t="s">
        <v>2530</v>
      </c>
      <c r="M10" s="2727" t="s">
        <v>2622</v>
      </c>
    </row>
    <row r="11" spans="1:37" ht="18" customHeight="1">
      <c r="A11" s="689"/>
      <c r="B11" s="2622" t="s">
        <v>2695</v>
      </c>
      <c r="C11" s="2414"/>
      <c r="D11" s="2868"/>
      <c r="E11" s="2096" t="s">
        <v>2531</v>
      </c>
      <c r="F11" s="695">
        <f ca="1">'数据-取费表'!B39</f>
        <v>1.4999999999999999E-2</v>
      </c>
      <c r="G11" s="2287"/>
      <c r="H11" s="2633"/>
      <c r="I11" s="2622" t="s">
        <v>2695</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582</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INDIRECT("'数据-取费表'!m"&amp;$G$1)+INDIRECT("'数据-取费表'!t"&amp;$G$1)</f>
        <v>366</v>
      </c>
      <c r="D14" s="3347" t="s">
        <v>920</v>
      </c>
      <c r="E14" s="3341"/>
      <c r="F14" s="702"/>
      <c r="G14" s="2287"/>
      <c r="H14" s="2437" t="s">
        <v>2372</v>
      </c>
      <c r="I14" s="683" t="s">
        <v>921</v>
      </c>
      <c r="J14" s="313">
        <f ca="1">C29</f>
        <v>582</v>
      </c>
      <c r="K14" s="303"/>
      <c r="L14" s="699"/>
      <c r="M14" s="700"/>
    </row>
    <row r="15" spans="1:37" s="705" customFormat="1" ht="18" customHeight="1" thickBot="1">
      <c r="A15" s="2437" t="s">
        <v>2605</v>
      </c>
      <c r="B15" s="683" t="s">
        <v>357</v>
      </c>
      <c r="C15" s="313">
        <f ca="1">ROUND(C14*F15,0)</f>
        <v>11</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ROUND(INDIRECT("'数据-取费表'!m"&amp;$G$1)*F16,0)</f>
        <v>0</v>
      </c>
      <c r="D16" s="683" t="s">
        <v>922</v>
      </c>
      <c r="E16" s="683" t="s">
        <v>362</v>
      </c>
      <c r="F16" s="706">
        <f ca="1">IF(INDIRECT("'数据-取费表'!c"&amp;$G$1)="住宅",'数据-取费表'!B34,0)</f>
        <v>0</v>
      </c>
      <c r="G16" s="2287"/>
      <c r="H16" s="2664" t="s">
        <v>2337</v>
      </c>
      <c r="I16" s="2665" t="s">
        <v>924</v>
      </c>
      <c r="J16" s="691">
        <f ca="1">ROUND(J17+J22+J23+J24,0)</f>
        <v>14</v>
      </c>
      <c r="K16" s="2674" t="s">
        <v>925</v>
      </c>
      <c r="L16" s="2675"/>
      <c r="M16" s="2626"/>
    </row>
    <row r="17" spans="1:37" s="705" customFormat="1" ht="18" customHeight="1">
      <c r="A17" s="2437" t="s">
        <v>2607</v>
      </c>
      <c r="B17" s="683" t="s">
        <v>359</v>
      </c>
      <c r="C17" s="313">
        <f ca="1">ROUND(F17*(F43+INDIRECT("'数据-取费表'!S"&amp;$G$1))/10000,0)</f>
        <v>31</v>
      </c>
      <c r="D17" s="683" t="s">
        <v>926</v>
      </c>
      <c r="E17" s="683" t="s">
        <v>927</v>
      </c>
      <c r="F17" s="315">
        <f>'数据-取费表'!B35</f>
        <v>150</v>
      </c>
      <c r="G17" s="2288"/>
      <c r="H17" s="2437" t="s">
        <v>2372</v>
      </c>
      <c r="I17" s="683" t="s">
        <v>360</v>
      </c>
      <c r="J17" s="313">
        <f ca="1">ROUND(IF(项目基本情况!B11="自然人",J5*M17,J18+J19+J20),1)</f>
        <v>4.9000000000000004</v>
      </c>
      <c r="K17" s="3347" t="s">
        <v>928</v>
      </c>
      <c r="L17" s="3345"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5</v>
      </c>
      <c r="D18" s="683" t="s">
        <v>922</v>
      </c>
      <c r="E18" s="683" t="s">
        <v>362</v>
      </c>
      <c r="F18" s="706">
        <f>'数据-取费表'!B36</f>
        <v>1.4999999999999999E-2</v>
      </c>
      <c r="G18" s="2288"/>
      <c r="H18" s="2437" t="s">
        <v>2369</v>
      </c>
      <c r="I18" s="683" t="s">
        <v>930</v>
      </c>
      <c r="J18" s="313">
        <f ca="1">ROUND(J5*M18/(1+'数据-取费表'!C42),2)</f>
        <v>0</v>
      </c>
      <c r="K18" s="3345"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413</v>
      </c>
      <c r="D19" s="470" t="s">
        <v>932</v>
      </c>
      <c r="E19" s="3356"/>
      <c r="F19" s="315"/>
      <c r="G19" s="2287"/>
      <c r="H19" s="2437" t="s">
        <v>2605</v>
      </c>
      <c r="I19" s="683" t="s">
        <v>933</v>
      </c>
      <c r="J19" s="313">
        <f ca="1">IF(K19="按租金收入计税",ROUND(J5*M19,2),ROUND(C29*M19*0.7,2))</f>
        <v>4.8899999999999997</v>
      </c>
      <c r="K19" s="1299" t="s">
        <v>2412</v>
      </c>
      <c r="L19" s="683" t="s">
        <v>362</v>
      </c>
      <c r="M19" s="706">
        <f>IF(K19="按租金收入计税",'数据-取费表'!B51,'数据-取费表'!B50)</f>
        <v>1.2E-2</v>
      </c>
    </row>
    <row r="20" spans="1:37" s="705" customFormat="1" ht="18" customHeight="1">
      <c r="A20" s="2437" t="s">
        <v>2609</v>
      </c>
      <c r="B20" s="683" t="s">
        <v>364</v>
      </c>
      <c r="C20" s="313">
        <f ca="1">ROUND(C19*F20,0)</f>
        <v>8</v>
      </c>
      <c r="D20" s="708" t="s">
        <v>934</v>
      </c>
      <c r="E20" s="683" t="s">
        <v>362</v>
      </c>
      <c r="F20" s="706">
        <f>'数据-取费表'!B37</f>
        <v>0.02</v>
      </c>
      <c r="G20" s="2288"/>
      <c r="H20" s="2437" t="s">
        <v>2606</v>
      </c>
      <c r="I20" s="495" t="s">
        <v>935</v>
      </c>
      <c r="J20" s="314">
        <f ca="1">ROUND(M20*M21/10000,2)</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25</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3356"/>
      <c r="F22" s="315"/>
      <c r="G22" s="2287"/>
      <c r="H22" s="2437" t="s">
        <v>2379</v>
      </c>
      <c r="I22" s="683" t="s">
        <v>943</v>
      </c>
      <c r="J22" s="313">
        <f ca="1">ROUND(J14*M22,1)</f>
        <v>8.6999999999999993</v>
      </c>
      <c r="K22" s="3345"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31</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ROUND(J13*M23,1)</f>
        <v>0</v>
      </c>
      <c r="K23" s="3345"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ROUND(J5*M24,1)</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3356"/>
      <c r="F25" s="315"/>
      <c r="G25" s="2287"/>
      <c r="H25" s="2664" t="s">
        <v>2352</v>
      </c>
      <c r="I25" s="2681" t="s">
        <v>374</v>
      </c>
      <c r="J25" s="691">
        <f ca="1">J5-J16</f>
        <v>-14</v>
      </c>
      <c r="K25" s="2682" t="s">
        <v>375</v>
      </c>
      <c r="L25" s="2683"/>
      <c r="M25" s="2684"/>
    </row>
    <row r="26" spans="1:37" ht="18" customHeight="1">
      <c r="A26" s="2437" t="s">
        <v>2369</v>
      </c>
      <c r="B26" s="683" t="s">
        <v>2526</v>
      </c>
      <c r="C26" s="313">
        <f ca="1">ROUND((C19+C20)*F26,0)</f>
        <v>84</v>
      </c>
      <c r="D26" s="708" t="s">
        <v>953</v>
      </c>
      <c r="E26" s="694" t="s">
        <v>954</v>
      </c>
      <c r="F26" s="693">
        <f ca="1">INDIRECT("'数据-取费表'!q"&amp;$G$1)</f>
        <v>0.2</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4.0000000000000001E-3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582</v>
      </c>
      <c r="D29" s="2679"/>
      <c r="E29" s="2677"/>
      <c r="F29" s="2680"/>
      <c r="G29" s="2288"/>
      <c r="H29" s="719" t="s">
        <v>2362</v>
      </c>
      <c r="I29" s="720" t="s">
        <v>959</v>
      </c>
      <c r="J29" s="721">
        <f ca="1">ROUND(J26/(1+F40)^F41,0)</f>
        <v>0</v>
      </c>
      <c r="K29" s="722" t="s">
        <v>960</v>
      </c>
      <c r="L29" s="723"/>
      <c r="M29" s="724">
        <f ca="1">INDIRECT("'数据-取费表'!k"&amp;$G$1)</f>
        <v>2035.05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21</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ROUND(IF(项目基本情况!B11="自然人",C5*F31,C32+C33+C34),1)</f>
        <v>9.5</v>
      </c>
      <c r="D31" s="3347" t="s">
        <v>928</v>
      </c>
      <c r="E31" s="3345"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IF(项目基本情况!B11="自然人","——",ROUND(C5*F32/(1+'数据-取费表'!C42),2))</f>
        <v>4.6399999999999997</v>
      </c>
      <c r="D32" s="3345"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IF(项目基本情况!B11="自然人","——",IF(D33="按租金收入计税",ROUND(C5*F33,2),IF(D33="按房产原值计税",ROUND(C29*F33*0.7,2),INDIRECT("'数据-取费表'!Aj"&amp;$G$1))))</f>
        <v>4.8899999999999997</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IF(项目基本情况!B11="自然人","——",ROUND(F34*F35/10000,2))</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ROUND(C29*F36,1)</f>
        <v>8.6999999999999993</v>
      </c>
      <c r="D36" s="3345"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ROUND(C13*F37,1)</f>
        <v>1.2</v>
      </c>
      <c r="D37" s="3345"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1.3</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66</v>
      </c>
      <c r="D39" s="2682" t="s">
        <v>375</v>
      </c>
      <c r="E39" s="2683"/>
      <c r="F39" s="2684"/>
      <c r="G39" s="2287"/>
      <c r="H39" s="1288"/>
      <c r="I39" s="2882"/>
      <c r="J39" s="2883"/>
      <c r="K39" s="1293"/>
      <c r="L39" s="1288"/>
      <c r="M39" s="1288"/>
    </row>
    <row r="40" spans="1:18" ht="18" customHeight="1">
      <c r="A40" s="680" t="s">
        <v>2355</v>
      </c>
      <c r="B40" s="681" t="s">
        <v>376</v>
      </c>
      <c r="C40" s="682">
        <f ca="1">ROUND(C39*(1-((1+F42)/(1+F40))^F41)/(F40-F42),0)</f>
        <v>1377</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0.02</v>
      </c>
      <c r="G42" s="2287"/>
      <c r="H42" s="1190"/>
      <c r="I42" s="2882"/>
      <c r="J42" s="2883"/>
      <c r="K42" s="1292"/>
      <c r="L42" s="1190"/>
      <c r="M42" s="1190"/>
    </row>
    <row r="43" spans="1:18" ht="18" customHeight="1" thickBot="1">
      <c r="A43" s="719" t="s">
        <v>2362</v>
      </c>
      <c r="B43" s="720" t="s">
        <v>380</v>
      </c>
      <c r="C43" s="721">
        <f ca="1">ROUND(C40*10000/F43,0)</f>
        <v>6766</v>
      </c>
      <c r="D43" s="722" t="s">
        <v>381</v>
      </c>
      <c r="E43" s="723" t="s">
        <v>382</v>
      </c>
      <c r="F43" s="724">
        <f ca="1">INDIRECT("'数据-取费表'!k"&amp;$G$1)</f>
        <v>2035.05</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2485</v>
      </c>
      <c r="P45" s="1294"/>
      <c r="Q45" s="1294"/>
      <c r="R45" s="1294"/>
    </row>
    <row r="46" spans="1:18" s="1453" customFormat="1" ht="21" thickBot="1">
      <c r="A46" s="2395" t="s">
        <v>2324</v>
      </c>
      <c r="B46" s="2396"/>
      <c r="C46" s="2723">
        <f ca="1">C68-C40</f>
        <v>-1620</v>
      </c>
      <c r="D46" s="2724" t="str">
        <f>C2</f>
        <v>万元</v>
      </c>
      <c r="E46" s="1431"/>
      <c r="F46" s="1431"/>
      <c r="I46" s="2576" t="s">
        <v>2420</v>
      </c>
      <c r="J46" s="2577"/>
      <c r="K46" s="2578"/>
      <c r="L46" s="2580">
        <f ca="1">IF(M47="住宅",0,IF(L48&gt;J51,L60,J60))</f>
        <v>14</v>
      </c>
      <c r="O46" s="2592" t="s">
        <v>2463</v>
      </c>
      <c r="P46" s="2593" t="s">
        <v>2464</v>
      </c>
      <c r="Q46" s="2594" t="s">
        <v>2462</v>
      </c>
      <c r="R46" s="2594" t="s">
        <v>2465</v>
      </c>
    </row>
    <row r="47" spans="1:18" s="1453" customFormat="1" ht="15.75" thickBot="1">
      <c r="A47" s="2397" t="s">
        <v>908</v>
      </c>
      <c r="B47" s="2433" t="s">
        <v>909</v>
      </c>
      <c r="C47" s="2728" t="s">
        <v>910</v>
      </c>
      <c r="D47" s="2433" t="s">
        <v>911</v>
      </c>
      <c r="E47" s="2535" t="s">
        <v>912</v>
      </c>
      <c r="F47" s="2536"/>
      <c r="G47" s="1455"/>
      <c r="I47" s="2551" t="s">
        <v>2413</v>
      </c>
      <c r="J47" s="2552" t="s">
        <v>3116</v>
      </c>
      <c r="K47" s="2561" t="s">
        <v>2436</v>
      </c>
      <c r="L47" s="2562">
        <f ca="1">INDIRECT("'数据-取费表'!d"&amp;$G$1)</f>
        <v>40</v>
      </c>
      <c r="M47" s="2582" t="str">
        <f>IF(ISNUMBER(FIND("住宅",C1)),"住宅","非住宅")</f>
        <v>非住宅</v>
      </c>
      <c r="O47" s="2585" t="s">
        <v>2448</v>
      </c>
      <c r="P47" s="2595" t="s">
        <v>2466</v>
      </c>
      <c r="Q47" s="2586">
        <f ca="1">C40+J29</f>
        <v>1377</v>
      </c>
      <c r="R47" s="2586" t="s">
        <v>2467</v>
      </c>
    </row>
    <row r="48" spans="1:18" s="1453" customFormat="1" ht="47.25" thickBot="1">
      <c r="A48" s="2709" t="s">
        <v>2616</v>
      </c>
      <c r="B48" s="681" t="s">
        <v>2331</v>
      </c>
      <c r="C48" s="3355">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f ca="1">J60</f>
        <v>14</v>
      </c>
      <c r="R48" s="2586" t="s">
        <v>2476</v>
      </c>
    </row>
    <row r="49" spans="1:18" s="1453" customFormat="1" ht="15.75" thickBot="1">
      <c r="A49" s="2430" t="s">
        <v>2617</v>
      </c>
      <c r="B49" s="2712" t="s">
        <v>2619</v>
      </c>
      <c r="C49" s="2721">
        <f ca="1">ROUND(F49*F51*F50*(1-F52)/10000,0)</f>
        <v>0</v>
      </c>
      <c r="D49" s="2531" t="s">
        <v>2332</v>
      </c>
      <c r="E49" s="2534" t="s">
        <v>2325</v>
      </c>
      <c r="F49" s="2537"/>
      <c r="G49" s="1457"/>
      <c r="H49" s="1456"/>
      <c r="I49" s="2542" t="s">
        <v>2434</v>
      </c>
      <c r="J49" s="2554">
        <v>2017</v>
      </c>
      <c r="K49" s="2564" t="s">
        <v>2439</v>
      </c>
      <c r="L49" s="2565"/>
      <c r="O49" s="2587" t="s">
        <v>2450</v>
      </c>
      <c r="P49" s="2595" t="s">
        <v>2469</v>
      </c>
      <c r="Q49" s="2586">
        <f ca="1">C29</f>
        <v>582</v>
      </c>
      <c r="R49" s="2586" t="s">
        <v>2467</v>
      </c>
    </row>
    <row r="50" spans="1:18" s="1453" customFormat="1" ht="15.75" thickBot="1">
      <c r="A50" s="2431"/>
      <c r="B50" s="2434"/>
      <c r="C50" s="2729"/>
      <c r="D50" s="2404"/>
      <c r="E50" s="2532" t="s">
        <v>914</v>
      </c>
      <c r="F50" s="2533">
        <f ca="1">F7</f>
        <v>2035.05</v>
      </c>
      <c r="H50" s="1456"/>
      <c r="I50" s="2542" t="s">
        <v>2416</v>
      </c>
      <c r="J50" s="2555">
        <f>SUMPRODUCT((I63:I65=J47)*(J62:L62=J48)*(J63:L65))</f>
        <v>60</v>
      </c>
      <c r="K50" s="2564" t="s">
        <v>2440</v>
      </c>
      <c r="L50" s="2565"/>
      <c r="M50" s="2559"/>
      <c r="O50" s="2587" t="s">
        <v>2451</v>
      </c>
      <c r="P50" s="2595" t="s">
        <v>2477</v>
      </c>
      <c r="Q50" s="2588">
        <f ca="1">J58</f>
        <v>0.435</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285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827" t="s">
        <v>2618</v>
      </c>
      <c r="B53" s="432" t="s">
        <v>2528</v>
      </c>
      <c r="C53" s="697">
        <f ca="1">ROUND(IF(F53="押一",F49*F51*F50/12*F11,IF(F53="押二",F49*F51*F50/12*2*F11,IF(F53="押三",F49*F51*F50/12*3*F11,C54*F11)))/10000,0)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1391</v>
      </c>
      <c r="R53" s="2586" t="s">
        <v>2455</v>
      </c>
    </row>
    <row r="54" spans="1:18" s="1453" customFormat="1" ht="16.5" thickBot="1">
      <c r="A54" s="2828"/>
      <c r="B54" s="2622" t="s">
        <v>2695</v>
      </c>
      <c r="C54" s="2414"/>
      <c r="D54" s="2632"/>
      <c r="E54" s="3350"/>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3350"/>
      <c r="F55" s="2538"/>
      <c r="I55" s="3320" t="s">
        <v>2422</v>
      </c>
      <c r="J55" s="3319">
        <f ca="1">ROUND(IF(J47="钢混",J57/J50,1-(1-2%)*(J50-J57)/J50),3)</f>
        <v>0.435</v>
      </c>
      <c r="K55" s="2549" t="s">
        <v>2423</v>
      </c>
      <c r="L55" s="2571"/>
      <c r="O55" s="2592" t="s">
        <v>2463</v>
      </c>
      <c r="P55" s="2593" t="s">
        <v>2464</v>
      </c>
      <c r="Q55" s="2594" t="s">
        <v>2462</v>
      </c>
      <c r="R55" s="2594" t="s">
        <v>2465</v>
      </c>
    </row>
    <row r="56" spans="1:18" s="1453" customFormat="1" ht="44.25" thickTop="1" thickBot="1">
      <c r="A56" s="2408">
        <v>2</v>
      </c>
      <c r="B56" s="2409" t="s">
        <v>917</v>
      </c>
      <c r="C56" s="607">
        <f ca="1">C13</f>
        <v>582</v>
      </c>
      <c r="D56" s="2696"/>
      <c r="E56" s="2410"/>
      <c r="F56" s="2538"/>
      <c r="I56" s="2541" t="s">
        <v>2424</v>
      </c>
      <c r="J56" s="2570" t="s">
        <v>41</v>
      </c>
      <c r="K56" s="2542" t="s">
        <v>2428</v>
      </c>
      <c r="L56" s="2167" t="str">
        <f ca="1">IF(L48&lt;J51,"——",L48-J51)</f>
        <v>——</v>
      </c>
      <c r="O56" s="2585" t="s">
        <v>2448</v>
      </c>
      <c r="P56" s="2595" t="s">
        <v>2466</v>
      </c>
      <c r="Q56" s="2586">
        <f ca="1">C40+J29</f>
        <v>1377</v>
      </c>
      <c r="R56" s="2586" t="s">
        <v>2467</v>
      </c>
    </row>
    <row r="57" spans="1:18" s="1453" customFormat="1" ht="29.25" thickBot="1">
      <c r="A57" s="2539"/>
      <c r="B57" s="2401" t="s">
        <v>966</v>
      </c>
      <c r="C57" s="613">
        <f ca="1">C29</f>
        <v>582</v>
      </c>
      <c r="D57" s="2412"/>
      <c r="E57" s="2413"/>
      <c r="F57" s="2540"/>
      <c r="I57" s="2543" t="s">
        <v>2445</v>
      </c>
      <c r="J57" s="2547">
        <f ca="1">IF(OR(M47="住宅",J51&lt;L48,J56="是"),"——",J51-L48)</f>
        <v>26.1</v>
      </c>
      <c r="K57" s="2542" t="s">
        <v>2900</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15</v>
      </c>
      <c r="D58" s="2415" t="s">
        <v>925</v>
      </c>
      <c r="E58" s="2416"/>
      <c r="F58" s="2417"/>
      <c r="I58" s="2543" t="s">
        <v>2425</v>
      </c>
      <c r="J58" s="3321">
        <f ca="1">IF(J55&lt;0.4,0.4,J55)</f>
        <v>0.435</v>
      </c>
      <c r="K58" s="2566" t="s">
        <v>2901</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ROUND(IF(项目基本情况!B11="自然人",C48*F59,C60+C61+C62),1)</f>
        <v>4.9000000000000004</v>
      </c>
      <c r="D59" s="2418" t="s">
        <v>928</v>
      </c>
      <c r="E59" s="2419" t="s">
        <v>929</v>
      </c>
      <c r="F59" s="707" t="str">
        <f ca="1">IF(项目基本情况!B11="企业","",IF(INDIRECT("'数据-取费表'!c"&amp;$G$1)="住宅",5%,IF(F49*F50*F51/12/(1+'数据-取费表'!C42)&gt;20000,12%,7%)))</f>
        <v/>
      </c>
      <c r="I59" s="2543" t="s">
        <v>2426</v>
      </c>
      <c r="J59" s="2547">
        <f ca="1">IF(OR(M47="住宅",J51&lt;L48,J56="是"),"——",ROUND(C29*J58,0))</f>
        <v>253</v>
      </c>
      <c r="K59" s="2566" t="s">
        <v>2902</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IF(项目基本情况!B11="自然人","——",ROUND(C48*F60/(1+'数据-取费表'!C42),2))</f>
        <v>0</v>
      </c>
      <c r="D60" s="2419" t="s">
        <v>931</v>
      </c>
      <c r="E60" s="2401" t="s">
        <v>362</v>
      </c>
      <c r="F60" s="716">
        <f t="shared" ref="F60:F66" si="0">F32</f>
        <v>5.6000000000000001E-2</v>
      </c>
      <c r="I60" s="2544" t="s">
        <v>2427</v>
      </c>
      <c r="J60" s="2548">
        <f ca="1">IF(OR(M47="住宅",J51&lt;L48,J56="是"),"0",ROUND(J59/(1+J52)^J53,0))</f>
        <v>14</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IF(项目基本情况!B11="自然人","——",IF(D61="按租金收入计税",ROUND(C48*F61,2),IF(D61="按房产原值计税",ROUND(C57*F61*0.7,2),INDIRECT("'数据-取费表'!Aj"&amp;$G$1))))</f>
        <v>4.8899999999999997</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IF(项目基本情况!B11="自然人","——",ROUND(F62*F63/10000,2))</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1377</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ROUND(C57*F64,1)</f>
        <v>8.6999999999999993</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ROUND(C56*F65,1)</f>
        <v>1.2</v>
      </c>
      <c r="D65" s="2419" t="s">
        <v>366</v>
      </c>
      <c r="E65" s="2401" t="s">
        <v>362</v>
      </c>
      <c r="F65" s="715">
        <f t="shared" ca="1" si="0"/>
        <v>2E-3</v>
      </c>
      <c r="I65" s="2545" t="s">
        <v>2433</v>
      </c>
      <c r="J65" s="3325">
        <v>40</v>
      </c>
      <c r="K65" s="3325">
        <v>30</v>
      </c>
      <c r="L65" s="3325">
        <v>50</v>
      </c>
      <c r="M65" s="3323">
        <v>0.02</v>
      </c>
      <c r="O65" s="2585" t="s">
        <v>2448</v>
      </c>
      <c r="P65" s="2595" t="s">
        <v>2466</v>
      </c>
      <c r="Q65" s="2586">
        <f ca="1">C40+J29</f>
        <v>1377</v>
      </c>
      <c r="R65" s="2586" t="s">
        <v>2467</v>
      </c>
    </row>
    <row r="66" spans="1:18" s="1453" customFormat="1" ht="20.25" thickBot="1">
      <c r="A66" s="2437" t="s">
        <v>2374</v>
      </c>
      <c r="B66" s="2401" t="s">
        <v>364</v>
      </c>
      <c r="C66" s="313">
        <f ca="1">ROUND(C48*F66,1)</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-15</v>
      </c>
      <c r="D67" s="2418" t="s">
        <v>375</v>
      </c>
      <c r="E67" s="2423"/>
      <c r="F67" s="2424"/>
      <c r="O67" s="2587" t="s">
        <v>2450</v>
      </c>
      <c r="P67" s="2595" t="s">
        <v>2480</v>
      </c>
      <c r="Q67" s="2590">
        <f ca="1">L51</f>
        <v>285</v>
      </c>
      <c r="R67" s="2591" t="s">
        <v>2490</v>
      </c>
    </row>
    <row r="68" spans="1:18" s="1453" customFormat="1" ht="20.25" thickBot="1">
      <c r="A68" s="2398" t="s">
        <v>2355</v>
      </c>
      <c r="B68" s="2399" t="s">
        <v>376</v>
      </c>
      <c r="C68" s="682">
        <f ca="1">ROUND(C67*(1-((1+F70)/(1+F68))^F69)/(F68-F70),0)</f>
        <v>-243</v>
      </c>
      <c r="D68" s="2420" t="s">
        <v>370</v>
      </c>
      <c r="E68" s="2401" t="s">
        <v>371</v>
      </c>
      <c r="F68" s="693">
        <f ca="1">F40</f>
        <v>0.05</v>
      </c>
      <c r="O68" s="2587" t="s">
        <v>2451</v>
      </c>
      <c r="P68" s="2596" t="s">
        <v>2484</v>
      </c>
      <c r="Q68" s="2586">
        <f ca="1">ROUND(Q69-Q70*Q71,0)</f>
        <v>17</v>
      </c>
      <c r="R68" s="2586" t="s">
        <v>2489</v>
      </c>
    </row>
    <row r="69" spans="1:18" s="1453" customFormat="1" ht="15.75" thickBot="1">
      <c r="A69" s="2402"/>
      <c r="B69" s="2403"/>
      <c r="C69" s="687"/>
      <c r="D69" s="2425" t="s">
        <v>958</v>
      </c>
      <c r="E69" s="2401" t="s">
        <v>378</v>
      </c>
      <c r="F69" s="718">
        <f ca="1">F41</f>
        <v>33.9</v>
      </c>
      <c r="O69" s="2587" t="s">
        <v>2459</v>
      </c>
      <c r="P69" s="2596" t="s">
        <v>2474</v>
      </c>
      <c r="Q69" s="2586">
        <f ca="1">C39</f>
        <v>66</v>
      </c>
      <c r="R69" s="2586" t="s">
        <v>2467</v>
      </c>
    </row>
    <row r="70" spans="1:18" s="1453" customFormat="1" ht="15.75" thickBot="1">
      <c r="A70" s="2405"/>
      <c r="B70" s="2406"/>
      <c r="C70" s="691"/>
      <c r="D70" s="2421"/>
      <c r="E70" s="2401" t="s">
        <v>379</v>
      </c>
      <c r="F70" s="2530"/>
      <c r="O70" s="2587" t="s">
        <v>2460</v>
      </c>
      <c r="P70" s="2596" t="s">
        <v>2475</v>
      </c>
      <c r="Q70" s="2586">
        <f ca="1">C13</f>
        <v>582</v>
      </c>
      <c r="R70" s="2586" t="s">
        <v>2467</v>
      </c>
    </row>
    <row r="71" spans="1:18" s="1453" customFormat="1" ht="15.75" thickBot="1">
      <c r="A71" s="2426" t="s">
        <v>2362</v>
      </c>
      <c r="B71" s="2427" t="s">
        <v>380</v>
      </c>
      <c r="C71" s="721">
        <f ca="1">ROUND(C68*10000/F71,0)</f>
        <v>-1194</v>
      </c>
      <c r="D71" s="2428" t="s">
        <v>381</v>
      </c>
      <c r="E71" s="2429" t="s">
        <v>382</v>
      </c>
      <c r="F71" s="724">
        <f ca="1">F43</f>
        <v>2035.05</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49</v>
      </c>
      <c r="D75" s="1453"/>
      <c r="E75" s="1453"/>
      <c r="F75" s="1453"/>
      <c r="K75" s="1454"/>
      <c r="L75" s="1453"/>
      <c r="O75" s="2585" t="s">
        <v>2454</v>
      </c>
      <c r="P75" s="2595" t="s">
        <v>2472</v>
      </c>
      <c r="Q75" s="2586">
        <f ca="1">Q65+Q66</f>
        <v>1377</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0.25800000000000001</v>
      </c>
    </row>
    <row r="80" spans="1:18">
      <c r="B80" s="2874" t="s">
        <v>2699</v>
      </c>
      <c r="C80" s="649">
        <f ca="1">ROUND(C75/C39,3)</f>
        <v>0.74199999999999999</v>
      </c>
    </row>
    <row r="81" spans="2:3">
      <c r="B81" s="645" t="s">
        <v>384</v>
      </c>
      <c r="C81" s="646"/>
    </row>
    <row r="82" spans="2:3">
      <c r="B82" s="2873" t="s">
        <v>2698</v>
      </c>
      <c r="C82" s="650">
        <f ca="1">1-C83</f>
        <v>0.57699999999999996</v>
      </c>
    </row>
    <row r="83" spans="2:3">
      <c r="B83" s="2873" t="s">
        <v>2697</v>
      </c>
      <c r="C83" s="649">
        <f ca="1">ROUND(C13/C40,3)</f>
        <v>0.42299999999999999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1097</v>
      </c>
      <c r="B1" s="3120" t="s">
        <v>1098</v>
      </c>
      <c r="C1" s="3114" t="s">
        <v>1099</v>
      </c>
      <c r="D1" s="3105"/>
      <c r="E1" s="3110"/>
      <c r="F1" s="3107"/>
      <c r="G1" s="3109" t="s">
        <v>1100</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1101</v>
      </c>
      <c r="B2" s="2845" t="e">
        <f ca="1">IF(C2="——",ROUND(C43*D3/10000,0),ROUND(C43*D3/10000,0)-D2)</f>
        <v>#DIV/0!</v>
      </c>
      <c r="C2" s="3099"/>
      <c r="D2" s="2341"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1102</v>
      </c>
      <c r="B3" s="951" t="e">
        <f ca="1">IF(C2="——",C43,ROUND(B2*10000/D3,0))</f>
        <v>#DIV/0!</v>
      </c>
      <c r="C3" s="142" t="s">
        <v>1103</v>
      </c>
      <c r="D3" s="741">
        <f>IF(D1="",'数据-汇总表'!E3,SUMIF('数据-汇总表'!$C19:$C33,D1,'数据-汇总表'!$E19:$E33))</f>
        <v>3353.7699999999995</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1104</v>
      </c>
      <c r="B4" s="144"/>
      <c r="C4" s="3622" t="s">
        <v>1105</v>
      </c>
      <c r="D4" s="3623"/>
      <c r="E4" s="3624" t="s">
        <v>1106</v>
      </c>
      <c r="F4" s="3625"/>
      <c r="G4" s="3622" t="s">
        <v>1107</v>
      </c>
      <c r="H4" s="3623"/>
      <c r="I4" s="3622" t="s">
        <v>1108</v>
      </c>
      <c r="J4" s="3623"/>
      <c r="K4" s="187" t="s">
        <v>1109</v>
      </c>
      <c r="L4" s="2294"/>
      <c r="M4" s="2295"/>
      <c r="N4" s="2295"/>
      <c r="O4" s="2295"/>
      <c r="P4" s="3626" t="s">
        <v>1104</v>
      </c>
      <c r="Q4" s="3627"/>
      <c r="R4" s="3609" t="s">
        <v>1106</v>
      </c>
      <c r="S4" s="3610"/>
      <c r="T4" s="3609" t="s">
        <v>1107</v>
      </c>
      <c r="U4" s="3610"/>
      <c r="V4" s="3634" t="s">
        <v>1108</v>
      </c>
      <c r="W4" s="3634"/>
      <c r="X4" s="1338"/>
      <c r="Y4" s="3609" t="s">
        <v>1104</v>
      </c>
      <c r="Z4" s="3610"/>
      <c r="AA4" s="3604" t="s">
        <v>1106</v>
      </c>
      <c r="AB4" s="3605" t="s">
        <v>1107</v>
      </c>
      <c r="AC4" s="3604" t="s">
        <v>1108</v>
      </c>
    </row>
    <row r="5" spans="1:29">
      <c r="A5" s="146"/>
      <c r="B5" s="147"/>
      <c r="C5" s="3615" t="s">
        <v>1110</v>
      </c>
      <c r="D5" s="3616"/>
      <c r="E5" s="3613" t="s">
        <v>1111</v>
      </c>
      <c r="F5" s="3614"/>
      <c r="G5" s="3615" t="s">
        <v>1112</v>
      </c>
      <c r="H5" s="3616"/>
      <c r="I5" s="3615" t="s">
        <v>1113</v>
      </c>
      <c r="J5" s="3616"/>
      <c r="K5" s="187"/>
      <c r="L5" s="2294"/>
      <c r="M5" s="2295"/>
      <c r="N5" s="2295"/>
      <c r="O5" s="2295"/>
      <c r="P5" s="3628"/>
      <c r="Q5" s="3629"/>
      <c r="R5" s="3611"/>
      <c r="S5" s="3612"/>
      <c r="T5" s="3611"/>
      <c r="U5" s="3612"/>
      <c r="V5" s="3634"/>
      <c r="W5" s="3634"/>
      <c r="X5" s="1338"/>
      <c r="Y5" s="3611"/>
      <c r="Z5" s="3612"/>
      <c r="AA5" s="3605"/>
      <c r="AB5" s="3605"/>
      <c r="AC5" s="3605"/>
    </row>
    <row r="6" spans="1:29" ht="14.25" thickBot="1">
      <c r="A6" s="148"/>
      <c r="B6" s="149"/>
      <c r="C6" s="3617" t="s">
        <v>1114</v>
      </c>
      <c r="D6" s="3618"/>
      <c r="E6" s="3619" t="s">
        <v>1114</v>
      </c>
      <c r="F6" s="3620"/>
      <c r="G6" s="3617" t="s">
        <v>1114</v>
      </c>
      <c r="H6" s="3618"/>
      <c r="I6" s="3617" t="s">
        <v>1114</v>
      </c>
      <c r="J6" s="3618"/>
      <c r="K6" s="187" t="s">
        <v>1115</v>
      </c>
      <c r="L6" s="2294"/>
      <c r="M6" s="2295"/>
      <c r="N6" s="2295"/>
      <c r="O6" s="2295"/>
      <c r="P6" s="3630"/>
      <c r="Q6" s="3631"/>
      <c r="R6" s="3611"/>
      <c r="S6" s="3612"/>
      <c r="T6" s="3632"/>
      <c r="U6" s="3633"/>
      <c r="V6" s="3634"/>
      <c r="W6" s="3634"/>
      <c r="X6" s="1338"/>
      <c r="Y6" s="3632"/>
      <c r="Z6" s="3633"/>
      <c r="AA6" s="3606"/>
      <c r="AB6" s="3606"/>
      <c r="AC6" s="3606"/>
    </row>
    <row r="7" spans="1:29" s="40" customFormat="1" ht="15" thickBot="1">
      <c r="A7" s="1012" t="s">
        <v>1116</v>
      </c>
      <c r="B7" s="1013"/>
      <c r="C7" s="752">
        <f>'数据-取费表'!B2</f>
        <v>43003</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07" t="s">
        <v>1116</v>
      </c>
      <c r="Q7" s="3635"/>
      <c r="R7" s="1340" t="s">
        <v>62</v>
      </c>
      <c r="S7" s="1341">
        <f t="shared" ref="S7:S15" si="0">F7</f>
        <v>0</v>
      </c>
      <c r="T7" s="1340" t="s">
        <v>62</v>
      </c>
      <c r="U7" s="1341">
        <f t="shared" ref="U7:U15" si="1">H7</f>
        <v>0</v>
      </c>
      <c r="V7" s="1340" t="s">
        <v>62</v>
      </c>
      <c r="W7" s="1341">
        <f t="shared" ref="W7:W15" si="2">J7</f>
        <v>0</v>
      </c>
      <c r="X7" s="287"/>
      <c r="Y7" s="3607" t="s">
        <v>1116</v>
      </c>
      <c r="Z7" s="3608"/>
      <c r="AA7" s="1342" t="e">
        <f>D7/F7</f>
        <v>#DIV/0!</v>
      </c>
      <c r="AB7" s="1342" t="e">
        <f>D7/H7</f>
        <v>#DIV/0!</v>
      </c>
      <c r="AC7" s="1342" t="e">
        <f>D7/J7</f>
        <v>#DIV/0!</v>
      </c>
    </row>
    <row r="8" spans="1:29" s="40" customFormat="1" ht="15" thickBot="1">
      <c r="A8" s="1012" t="s">
        <v>1117</v>
      </c>
      <c r="B8" s="1013"/>
      <c r="C8" s="1018" t="s">
        <v>152</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07" t="s">
        <v>1018</v>
      </c>
      <c r="Q8" s="3608"/>
      <c r="R8" s="1340" t="s">
        <v>62</v>
      </c>
      <c r="S8" s="1341">
        <f t="shared" si="0"/>
        <v>0</v>
      </c>
      <c r="T8" s="1340" t="s">
        <v>62</v>
      </c>
      <c r="U8" s="1341">
        <f t="shared" si="1"/>
        <v>0</v>
      </c>
      <c r="V8" s="1340" t="s">
        <v>62</v>
      </c>
      <c r="W8" s="1341">
        <f t="shared" si="2"/>
        <v>0</v>
      </c>
      <c r="X8" s="287"/>
      <c r="Y8" s="3607" t="s">
        <v>1018</v>
      </c>
      <c r="Z8" s="3608"/>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39" t="s">
        <v>64</v>
      </c>
      <c r="Q9" s="7" t="str">
        <f t="shared" ref="Q9:Q15" si="6">B9</f>
        <v>用途</v>
      </c>
      <c r="R9" s="1340" t="s">
        <v>62</v>
      </c>
      <c r="S9" s="1341">
        <f t="shared" si="0"/>
        <v>100</v>
      </c>
      <c r="T9" s="1340" t="s">
        <v>62</v>
      </c>
      <c r="U9" s="1341">
        <f t="shared" si="1"/>
        <v>100</v>
      </c>
      <c r="V9" s="1340" t="s">
        <v>62</v>
      </c>
      <c r="W9" s="1341">
        <f t="shared" si="2"/>
        <v>100</v>
      </c>
      <c r="X9" s="287"/>
      <c r="Y9" s="3450" t="s">
        <v>64</v>
      </c>
      <c r="Z9" s="288" t="str">
        <f t="shared" ref="Z9:Z15" si="7">Q9</f>
        <v>用途</v>
      </c>
      <c r="AA9" s="1342">
        <f t="shared" si="3"/>
        <v>1</v>
      </c>
      <c r="AB9" s="1342">
        <f t="shared" si="4"/>
        <v>1</v>
      </c>
      <c r="AC9" s="1342">
        <f t="shared" si="5"/>
        <v>1</v>
      </c>
    </row>
    <row r="10" spans="1:29" s="92" customFormat="1" ht="27">
      <c r="A10" s="150"/>
      <c r="B10" s="12" t="s">
        <v>103</v>
      </c>
      <c r="C10" s="1347"/>
      <c r="D10" s="425">
        <v>100</v>
      </c>
      <c r="E10" s="1347"/>
      <c r="F10" s="425">
        <f>SUMIF(59:59,E10,60:60)-SUMIF(59:59,C10,60:60)+100</f>
        <v>100</v>
      </c>
      <c r="G10" s="1348"/>
      <c r="H10" s="425">
        <f>SUMIF(59:59,G10,60:60)-SUMIF(59:59,C10,60:60)+100</f>
        <v>100</v>
      </c>
      <c r="I10" s="1347"/>
      <c r="J10" s="425">
        <f>SUMIF(59:59,I10,60:60)-SUMIF(59:59,C10,60:60)+100</f>
        <v>100</v>
      </c>
      <c r="K10" s="954"/>
      <c r="L10" s="2297"/>
      <c r="M10" s="2298"/>
      <c r="N10" s="2298"/>
      <c r="O10" s="2338"/>
      <c r="P10" s="3639"/>
      <c r="Q10" s="7" t="str">
        <f t="shared" si="6"/>
        <v>土地使用年限（年）</v>
      </c>
      <c r="R10" s="1340" t="s">
        <v>62</v>
      </c>
      <c r="S10" s="1341">
        <f t="shared" si="0"/>
        <v>100</v>
      </c>
      <c r="T10" s="1340" t="s">
        <v>62</v>
      </c>
      <c r="U10" s="1341">
        <f t="shared" si="1"/>
        <v>100</v>
      </c>
      <c r="V10" s="1340" t="s">
        <v>62</v>
      </c>
      <c r="W10" s="1341">
        <f t="shared" si="2"/>
        <v>100</v>
      </c>
      <c r="X10" s="287"/>
      <c r="Y10" s="3450"/>
      <c r="Z10" s="288" t="str">
        <f t="shared" si="7"/>
        <v>土地使用年限（年）</v>
      </c>
      <c r="AA10" s="1342">
        <f t="shared" si="3"/>
        <v>1</v>
      </c>
      <c r="AB10" s="1342">
        <f t="shared" si="4"/>
        <v>1</v>
      </c>
      <c r="AC10" s="1342">
        <f t="shared" si="5"/>
        <v>1</v>
      </c>
    </row>
    <row r="11" spans="1:29" ht="15">
      <c r="A11" s="151"/>
      <c r="B11" s="12" t="s">
        <v>90</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639"/>
      <c r="Q11" s="7" t="str">
        <f t="shared" si="6"/>
        <v>容积率</v>
      </c>
      <c r="R11" s="1340" t="s">
        <v>62</v>
      </c>
      <c r="S11" s="1341" t="e">
        <f t="shared" si="0"/>
        <v>#N/A</v>
      </c>
      <c r="T11" s="1340" t="s">
        <v>62</v>
      </c>
      <c r="U11" s="1341" t="e">
        <f t="shared" si="1"/>
        <v>#N/A</v>
      </c>
      <c r="V11" s="1340" t="s">
        <v>62</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39"/>
      <c r="Q12" s="7">
        <f t="shared" si="6"/>
        <v>111</v>
      </c>
      <c r="R12" s="1340" t="s">
        <v>62</v>
      </c>
      <c r="S12" s="1341">
        <f t="shared" si="0"/>
        <v>100</v>
      </c>
      <c r="T12" s="1340" t="s">
        <v>62</v>
      </c>
      <c r="U12" s="1341">
        <f t="shared" si="1"/>
        <v>100</v>
      </c>
      <c r="V12" s="1340" t="s">
        <v>62</v>
      </c>
      <c r="W12" s="1341">
        <f t="shared" si="2"/>
        <v>100</v>
      </c>
      <c r="X12" s="287"/>
      <c r="Y12" s="3450"/>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39"/>
      <c r="Q13" s="7">
        <f t="shared" si="6"/>
        <v>111</v>
      </c>
      <c r="R13" s="1340" t="s">
        <v>62</v>
      </c>
      <c r="S13" s="1341">
        <f t="shared" si="0"/>
        <v>100</v>
      </c>
      <c r="T13" s="1340" t="s">
        <v>62</v>
      </c>
      <c r="U13" s="1341">
        <f t="shared" si="1"/>
        <v>100</v>
      </c>
      <c r="V13" s="1340" t="s">
        <v>62</v>
      </c>
      <c r="W13" s="1341">
        <f t="shared" si="2"/>
        <v>100</v>
      </c>
      <c r="X13" s="287"/>
      <c r="Y13" s="3450"/>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39"/>
      <c r="Q14" s="7">
        <f t="shared" si="6"/>
        <v>111</v>
      </c>
      <c r="R14" s="1340" t="s">
        <v>62</v>
      </c>
      <c r="S14" s="1341">
        <f t="shared" si="0"/>
        <v>100</v>
      </c>
      <c r="T14" s="1340" t="s">
        <v>62</v>
      </c>
      <c r="U14" s="1341">
        <f t="shared" si="1"/>
        <v>100</v>
      </c>
      <c r="V14" s="1340" t="s">
        <v>62</v>
      </c>
      <c r="W14" s="1341">
        <f t="shared" si="2"/>
        <v>100</v>
      </c>
      <c r="X14" s="287"/>
      <c r="Y14" s="3450"/>
      <c r="Z14" s="288">
        <f t="shared" si="7"/>
        <v>111</v>
      </c>
      <c r="AA14" s="1342">
        <f t="shared" si="3"/>
        <v>1</v>
      </c>
      <c r="AB14" s="1342">
        <f t="shared" si="4"/>
        <v>1</v>
      </c>
      <c r="AC14" s="1342">
        <f t="shared" si="5"/>
        <v>1</v>
      </c>
    </row>
    <row r="15" spans="1:29" ht="67.5">
      <c r="A15" s="155" t="s">
        <v>66</v>
      </c>
      <c r="B15" s="58" t="s">
        <v>148</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41" t="s">
        <v>66</v>
      </c>
      <c r="Q15" s="1349" t="str">
        <f t="shared" si="6"/>
        <v>产业集聚程度</v>
      </c>
      <c r="R15" s="1350" t="s">
        <v>62</v>
      </c>
      <c r="S15" s="1351">
        <f t="shared" si="0"/>
        <v>100</v>
      </c>
      <c r="T15" s="1350" t="s">
        <v>62</v>
      </c>
      <c r="U15" s="1351">
        <f t="shared" si="1"/>
        <v>100</v>
      </c>
      <c r="V15" s="1350" t="s">
        <v>62</v>
      </c>
      <c r="W15" s="1351">
        <f t="shared" si="2"/>
        <v>100</v>
      </c>
      <c r="X15" s="1338"/>
      <c r="Y15" s="3641" t="s">
        <v>66</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42"/>
      <c r="Q16" s="1349"/>
      <c r="R16" s="1350"/>
      <c r="S16" s="1351"/>
      <c r="T16" s="1350"/>
      <c r="U16" s="1351"/>
      <c r="V16" s="1350"/>
      <c r="W16" s="1351"/>
      <c r="X16" s="1338"/>
      <c r="Y16" s="3642"/>
      <c r="Z16" s="1352"/>
      <c r="AA16" s="1353">
        <v>1</v>
      </c>
      <c r="AB16" s="1353">
        <v>1</v>
      </c>
      <c r="AC16" s="1353">
        <v>1</v>
      </c>
    </row>
    <row r="17" spans="1:29" ht="94.5">
      <c r="A17" s="151"/>
      <c r="B17" s="1354" t="s">
        <v>69</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42"/>
      <c r="Q17" s="1349" t="str">
        <f>B17</f>
        <v>交通便捷度</v>
      </c>
      <c r="R17" s="1350" t="s">
        <v>62</v>
      </c>
      <c r="S17" s="1351">
        <f>F17</f>
        <v>100</v>
      </c>
      <c r="T17" s="1350" t="s">
        <v>62</v>
      </c>
      <c r="U17" s="1351">
        <f>H17</f>
        <v>100</v>
      </c>
      <c r="V17" s="1350" t="s">
        <v>62</v>
      </c>
      <c r="W17" s="1351">
        <f>J17</f>
        <v>100</v>
      </c>
      <c r="X17" s="1338"/>
      <c r="Y17" s="3642"/>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42"/>
      <c r="Q18" s="1349"/>
      <c r="R18" s="1350"/>
      <c r="S18" s="1351"/>
      <c r="T18" s="1350"/>
      <c r="U18" s="1351"/>
      <c r="V18" s="1350"/>
      <c r="W18" s="1351"/>
      <c r="X18" s="1338"/>
      <c r="Y18" s="3642"/>
      <c r="Z18" s="1352"/>
      <c r="AA18" s="1353">
        <v>1</v>
      </c>
      <c r="AB18" s="1353">
        <v>1</v>
      </c>
      <c r="AC18" s="1353">
        <v>1</v>
      </c>
    </row>
    <row r="19" spans="1:29" ht="40.5">
      <c r="A19" s="151"/>
      <c r="B19" s="1354" t="s">
        <v>2659</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42"/>
      <c r="Q19" s="1349" t="str">
        <f>B19</f>
        <v>公共配套设施</v>
      </c>
      <c r="R19" s="1350" t="s">
        <v>62</v>
      </c>
      <c r="S19" s="1351">
        <f>F19</f>
        <v>100</v>
      </c>
      <c r="T19" s="1350" t="s">
        <v>62</v>
      </c>
      <c r="U19" s="1351">
        <f>H19</f>
        <v>100</v>
      </c>
      <c r="V19" s="1350" t="s">
        <v>62</v>
      </c>
      <c r="W19" s="1351">
        <f>J19</f>
        <v>100</v>
      </c>
      <c r="X19" s="1338"/>
      <c r="Y19" s="3642"/>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42"/>
      <c r="Q20" s="1349"/>
      <c r="R20" s="1350"/>
      <c r="S20" s="1351"/>
      <c r="T20" s="1350"/>
      <c r="U20" s="1351"/>
      <c r="V20" s="1350"/>
      <c r="W20" s="1351"/>
      <c r="X20" s="1338"/>
      <c r="Y20" s="3642"/>
      <c r="Z20" s="1352"/>
      <c r="AA20" s="1353">
        <v>1</v>
      </c>
      <c r="AB20" s="1353">
        <v>1</v>
      </c>
      <c r="AC20" s="1353">
        <v>1</v>
      </c>
    </row>
    <row r="21" spans="1:29" ht="40.5">
      <c r="A21" s="151"/>
      <c r="B21" s="1410" t="s">
        <v>2662</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42"/>
      <c r="Q21" s="2744" t="str">
        <f>B21</f>
        <v>基础设施水平</v>
      </c>
      <c r="R21" s="1350" t="s">
        <v>62</v>
      </c>
      <c r="S21" s="1351">
        <f>F21</f>
        <v>100</v>
      </c>
      <c r="T21" s="1350" t="s">
        <v>62</v>
      </c>
      <c r="U21" s="1351">
        <f>H21</f>
        <v>100</v>
      </c>
      <c r="V21" s="1350" t="s">
        <v>62</v>
      </c>
      <c r="W21" s="1351">
        <f>J21</f>
        <v>100</v>
      </c>
      <c r="X21" s="2746"/>
      <c r="Y21" s="3642"/>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4"/>
      <c r="L22" s="2300"/>
      <c r="M22" s="2295"/>
      <c r="N22" s="2295"/>
      <c r="O22" s="2339"/>
      <c r="P22" s="3642"/>
      <c r="Q22" s="2744"/>
      <c r="R22" s="1350"/>
      <c r="S22" s="1351"/>
      <c r="T22" s="1350"/>
      <c r="U22" s="1351"/>
      <c r="V22" s="1350"/>
      <c r="W22" s="1351"/>
      <c r="X22" s="2746"/>
      <c r="Y22" s="3642"/>
      <c r="Z22" s="2745"/>
      <c r="AA22" s="1353">
        <v>1</v>
      </c>
      <c r="AB22" s="1353">
        <v>1</v>
      </c>
      <c r="AC22" s="1353">
        <v>1</v>
      </c>
    </row>
    <row r="23" spans="1:29" ht="81">
      <c r="A23" s="151"/>
      <c r="B23" s="1354" t="s">
        <v>140</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42"/>
      <c r="Q23" s="1349" t="str">
        <f>B23</f>
        <v>环境质量</v>
      </c>
      <c r="R23" s="1350" t="s">
        <v>62</v>
      </c>
      <c r="S23" s="1351">
        <f>F23</f>
        <v>100</v>
      </c>
      <c r="T23" s="1350" t="s">
        <v>62</v>
      </c>
      <c r="U23" s="1351">
        <f>H23</f>
        <v>100</v>
      </c>
      <c r="V23" s="1350" t="s">
        <v>62</v>
      </c>
      <c r="W23" s="1351">
        <f>J23</f>
        <v>100</v>
      </c>
      <c r="X23" s="1338"/>
      <c r="Y23" s="3642"/>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42"/>
      <c r="Q24" s="1349"/>
      <c r="R24" s="1350"/>
      <c r="S24" s="1351"/>
      <c r="T24" s="1350"/>
      <c r="U24" s="1351"/>
      <c r="V24" s="1350"/>
      <c r="W24" s="1351"/>
      <c r="X24" s="1338"/>
      <c r="Y24" s="3642"/>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42"/>
      <c r="Q25" s="1349">
        <f>B25</f>
        <v>111</v>
      </c>
      <c r="R25" s="1350" t="s">
        <v>62</v>
      </c>
      <c r="S25" s="1351">
        <f>F25</f>
        <v>100</v>
      </c>
      <c r="T25" s="1350" t="s">
        <v>62</v>
      </c>
      <c r="U25" s="1351">
        <f>H25</f>
        <v>100</v>
      </c>
      <c r="V25" s="1350" t="s">
        <v>62</v>
      </c>
      <c r="W25" s="1351">
        <f>J25</f>
        <v>100</v>
      </c>
      <c r="X25" s="1338"/>
      <c r="Y25" s="3642"/>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42"/>
      <c r="Q26" s="1349">
        <f t="shared" ref="Q26:Q40" si="11">B26</f>
        <v>111</v>
      </c>
      <c r="R26" s="1350" t="s">
        <v>62</v>
      </c>
      <c r="S26" s="1351">
        <f>F26</f>
        <v>100</v>
      </c>
      <c r="T26" s="1350" t="s">
        <v>62</v>
      </c>
      <c r="U26" s="1351">
        <f>H26</f>
        <v>100</v>
      </c>
      <c r="V26" s="1350" t="s">
        <v>62</v>
      </c>
      <c r="W26" s="1351">
        <f>J26</f>
        <v>100</v>
      </c>
      <c r="X26" s="1338"/>
      <c r="Y26" s="3642"/>
      <c r="Z26" s="1352">
        <f>Q26</f>
        <v>111</v>
      </c>
      <c r="AA26" s="1353">
        <f t="shared" si="3"/>
        <v>1</v>
      </c>
      <c r="AB26" s="1353">
        <f t="shared" si="4"/>
        <v>1</v>
      </c>
      <c r="AC26" s="1353">
        <f t="shared" si="5"/>
        <v>1</v>
      </c>
    </row>
    <row r="27" spans="1:29" s="40" customFormat="1" ht="14.25">
      <c r="A27" s="1028"/>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42"/>
      <c r="Q27" s="7">
        <f t="shared" si="11"/>
        <v>111</v>
      </c>
      <c r="R27" s="1340" t="s">
        <v>62</v>
      </c>
      <c r="S27" s="1341">
        <f>F27</f>
        <v>100</v>
      </c>
      <c r="T27" s="1340" t="s">
        <v>62</v>
      </c>
      <c r="U27" s="1341">
        <f>H27</f>
        <v>100</v>
      </c>
      <c r="V27" s="1340" t="s">
        <v>62</v>
      </c>
      <c r="W27" s="1341">
        <f>J27</f>
        <v>100</v>
      </c>
      <c r="X27" s="287"/>
      <c r="Y27" s="3642"/>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42"/>
      <c r="Q28" s="1349">
        <f t="shared" si="11"/>
        <v>111</v>
      </c>
      <c r="R28" s="1350" t="s">
        <v>62</v>
      </c>
      <c r="S28" s="1351">
        <f t="shared" ref="S28:S40" si="12">F28</f>
        <v>100</v>
      </c>
      <c r="T28" s="1350" t="s">
        <v>62</v>
      </c>
      <c r="U28" s="1351">
        <f t="shared" ref="U28:U40" si="13">H28</f>
        <v>100</v>
      </c>
      <c r="V28" s="1350" t="s">
        <v>62</v>
      </c>
      <c r="W28" s="1351">
        <f t="shared" ref="W28:W40" si="14">J28</f>
        <v>100</v>
      </c>
      <c r="X28" s="1338"/>
      <c r="Y28" s="3642"/>
      <c r="Z28" s="1352">
        <f t="shared" ref="Z28:Z40" si="15">Q28</f>
        <v>111</v>
      </c>
      <c r="AA28" s="1353">
        <f t="shared" si="3"/>
        <v>1</v>
      </c>
      <c r="AB28" s="1353">
        <f t="shared" si="4"/>
        <v>1</v>
      </c>
      <c r="AC28" s="1353">
        <f t="shared" si="5"/>
        <v>1</v>
      </c>
    </row>
    <row r="29" spans="1:29" ht="28.5">
      <c r="A29" s="160" t="s">
        <v>67</v>
      </c>
      <c r="B29" s="62" t="s">
        <v>143</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70" t="s">
        <v>1118</v>
      </c>
      <c r="Q29" s="1349" t="str">
        <f t="shared" si="11"/>
        <v>建筑类型</v>
      </c>
      <c r="R29" s="1350" t="s">
        <v>62</v>
      </c>
      <c r="S29" s="1351">
        <f t="shared" si="12"/>
        <v>100</v>
      </c>
      <c r="T29" s="1350" t="s">
        <v>62</v>
      </c>
      <c r="U29" s="1351">
        <f t="shared" si="13"/>
        <v>100</v>
      </c>
      <c r="V29" s="1350" t="s">
        <v>62</v>
      </c>
      <c r="W29" s="1351">
        <f t="shared" si="14"/>
        <v>100</v>
      </c>
      <c r="X29" s="1338"/>
      <c r="Y29" s="3646" t="s">
        <v>1118</v>
      </c>
      <c r="Z29" s="1352" t="str">
        <f t="shared" si="15"/>
        <v>建筑类型</v>
      </c>
      <c r="AA29" s="1353">
        <f t="shared" si="3"/>
        <v>1</v>
      </c>
      <c r="AB29" s="1353">
        <f t="shared" si="4"/>
        <v>1</v>
      </c>
      <c r="AC29" s="1353">
        <f t="shared" si="5"/>
        <v>1</v>
      </c>
    </row>
    <row r="30" spans="1:29" s="1037" customFormat="1" ht="14.25">
      <c r="A30" s="1041"/>
      <c r="B30" s="12" t="s">
        <v>73</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46"/>
      <c r="Q30" s="1357" t="str">
        <f t="shared" si="11"/>
        <v>项目建筑规模</v>
      </c>
      <c r="R30" s="1358" t="s">
        <v>62</v>
      </c>
      <c r="S30" s="1359" t="e">
        <f t="shared" si="12"/>
        <v>#N/A</v>
      </c>
      <c r="T30" s="1358" t="s">
        <v>62</v>
      </c>
      <c r="U30" s="1359" t="e">
        <f t="shared" si="13"/>
        <v>#N/A</v>
      </c>
      <c r="V30" s="1358" t="s">
        <v>62</v>
      </c>
      <c r="W30" s="1359" t="e">
        <f t="shared" si="14"/>
        <v>#N/A</v>
      </c>
      <c r="X30" s="1360"/>
      <c r="Y30" s="3646"/>
      <c r="Z30" s="1361" t="str">
        <f t="shared" si="15"/>
        <v>项目建筑规模</v>
      </c>
      <c r="AA30" s="1353" t="e">
        <f t="shared" si="3"/>
        <v>#N/A</v>
      </c>
      <c r="AB30" s="1353" t="e">
        <f t="shared" si="4"/>
        <v>#N/A</v>
      </c>
      <c r="AC30" s="1353" t="e">
        <f t="shared" si="5"/>
        <v>#N/A</v>
      </c>
    </row>
    <row r="31" spans="1:29" ht="15">
      <c r="A31" s="161"/>
      <c r="B31" s="12" t="s">
        <v>74</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46"/>
      <c r="Q31" s="1349" t="str">
        <f t="shared" si="11"/>
        <v>建筑结构</v>
      </c>
      <c r="R31" s="1350" t="s">
        <v>62</v>
      </c>
      <c r="S31" s="1351">
        <f t="shared" si="12"/>
        <v>100</v>
      </c>
      <c r="T31" s="1350" t="s">
        <v>62</v>
      </c>
      <c r="U31" s="1351">
        <f t="shared" si="13"/>
        <v>100</v>
      </c>
      <c r="V31" s="1350" t="s">
        <v>62</v>
      </c>
      <c r="W31" s="1351">
        <f t="shared" si="14"/>
        <v>100</v>
      </c>
      <c r="X31" s="1338"/>
      <c r="Y31" s="3646"/>
      <c r="Z31" s="1352" t="str">
        <f t="shared" si="15"/>
        <v>建筑结构</v>
      </c>
      <c r="AA31" s="1353">
        <f t="shared" si="3"/>
        <v>1</v>
      </c>
      <c r="AB31" s="1353">
        <f t="shared" si="4"/>
        <v>1</v>
      </c>
      <c r="AC31" s="1353">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46"/>
      <c r="Q32" s="1349" t="str">
        <f t="shared" si="11"/>
        <v>公共部分装修</v>
      </c>
      <c r="R32" s="1350" t="s">
        <v>62</v>
      </c>
      <c r="S32" s="1351">
        <f t="shared" si="12"/>
        <v>100</v>
      </c>
      <c r="T32" s="1350" t="s">
        <v>62</v>
      </c>
      <c r="U32" s="1351">
        <f t="shared" si="13"/>
        <v>100</v>
      </c>
      <c r="V32" s="1350" t="s">
        <v>62</v>
      </c>
      <c r="W32" s="1351">
        <f t="shared" si="14"/>
        <v>100</v>
      </c>
      <c r="X32" s="1338"/>
      <c r="Y32" s="3646"/>
      <c r="Z32" s="1352" t="str">
        <f t="shared" si="15"/>
        <v>公共部分装修</v>
      </c>
      <c r="AA32" s="1353">
        <f t="shared" si="3"/>
        <v>1</v>
      </c>
      <c r="AB32" s="1353">
        <f t="shared" si="4"/>
        <v>1</v>
      </c>
      <c r="AC32" s="1353">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46"/>
      <c r="Q33" s="1349" t="str">
        <f t="shared" si="11"/>
        <v>成新度</v>
      </c>
      <c r="R33" s="1350" t="s">
        <v>62</v>
      </c>
      <c r="S33" s="1351" t="e">
        <f t="shared" si="12"/>
        <v>#N/A</v>
      </c>
      <c r="T33" s="1350" t="s">
        <v>62</v>
      </c>
      <c r="U33" s="1351" t="e">
        <f t="shared" si="13"/>
        <v>#N/A</v>
      </c>
      <c r="V33" s="1350" t="s">
        <v>62</v>
      </c>
      <c r="W33" s="1351" t="e">
        <f t="shared" si="14"/>
        <v>#N/A</v>
      </c>
      <c r="X33" s="1338"/>
      <c r="Y33" s="3646"/>
      <c r="Z33" s="1352" t="str">
        <f t="shared" si="15"/>
        <v>成新度</v>
      </c>
      <c r="AA33" s="1353" t="e">
        <f t="shared" si="3"/>
        <v>#N/A</v>
      </c>
      <c r="AB33" s="1353" t="e">
        <f t="shared" si="4"/>
        <v>#N/A</v>
      </c>
      <c r="AC33" s="1353" t="e">
        <f t="shared" si="5"/>
        <v>#N/A</v>
      </c>
    </row>
    <row r="34" spans="1:29" s="40" customFormat="1" ht="15">
      <c r="A34" s="1039"/>
      <c r="B34" s="12" t="s">
        <v>1119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46"/>
      <c r="Q34" s="7" t="str">
        <f t="shared" si="11"/>
        <v>物业管理</v>
      </c>
      <c r="R34" s="1340" t="s">
        <v>62</v>
      </c>
      <c r="S34" s="1341">
        <f t="shared" si="12"/>
        <v>100</v>
      </c>
      <c r="T34" s="1340" t="s">
        <v>62</v>
      </c>
      <c r="U34" s="1341">
        <f t="shared" si="13"/>
        <v>100</v>
      </c>
      <c r="V34" s="1340" t="s">
        <v>62</v>
      </c>
      <c r="W34" s="1341">
        <f t="shared" si="14"/>
        <v>100</v>
      </c>
      <c r="X34" s="287"/>
      <c r="Y34" s="3646"/>
      <c r="Z34" s="288" t="str">
        <f t="shared" si="15"/>
        <v>物业管理</v>
      </c>
      <c r="AA34" s="1342">
        <f t="shared" si="3"/>
        <v>1</v>
      </c>
      <c r="AB34" s="1342">
        <f t="shared" si="4"/>
        <v>1</v>
      </c>
      <c r="AC34" s="1342">
        <f t="shared" si="5"/>
        <v>1</v>
      </c>
    </row>
    <row r="35" spans="1:29" ht="15">
      <c r="A35" s="161"/>
      <c r="B35" s="12" t="s">
        <v>2652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46" t="s">
        <v>67</v>
      </c>
      <c r="Q35" s="1349" t="str">
        <f t="shared" si="11"/>
        <v>市政基础设施</v>
      </c>
      <c r="R35" s="1350" t="s">
        <v>62</v>
      </c>
      <c r="S35" s="1351">
        <f t="shared" si="12"/>
        <v>100</v>
      </c>
      <c r="T35" s="1350" t="s">
        <v>62</v>
      </c>
      <c r="U35" s="1351">
        <f t="shared" si="13"/>
        <v>100</v>
      </c>
      <c r="V35" s="1350" t="s">
        <v>62</v>
      </c>
      <c r="W35" s="1351">
        <f t="shared" si="14"/>
        <v>100</v>
      </c>
      <c r="X35" s="1338"/>
      <c r="Y35" s="3646" t="s">
        <v>67</v>
      </c>
      <c r="Z35" s="1352" t="str">
        <f t="shared" si="15"/>
        <v>市政基础设施</v>
      </c>
      <c r="AA35" s="1353">
        <f t="shared" si="3"/>
        <v>1</v>
      </c>
      <c r="AB35" s="1353">
        <f t="shared" si="4"/>
        <v>1</v>
      </c>
      <c r="AC35" s="1353">
        <f t="shared" si="5"/>
        <v>1</v>
      </c>
    </row>
    <row r="36" spans="1:29" ht="15">
      <c r="A36" s="161"/>
      <c r="B36" s="12" t="s">
        <v>134</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46"/>
      <c r="Q36" s="1349" t="str">
        <f t="shared" si="11"/>
        <v>内部装修</v>
      </c>
      <c r="R36" s="1350" t="s">
        <v>62</v>
      </c>
      <c r="S36" s="1351">
        <f t="shared" si="12"/>
        <v>100</v>
      </c>
      <c r="T36" s="1350" t="s">
        <v>62</v>
      </c>
      <c r="U36" s="1351">
        <f t="shared" si="13"/>
        <v>100</v>
      </c>
      <c r="V36" s="1350" t="s">
        <v>62</v>
      </c>
      <c r="W36" s="1351">
        <f t="shared" si="14"/>
        <v>100</v>
      </c>
      <c r="X36" s="1338"/>
      <c r="Y36" s="3646"/>
      <c r="Z36" s="1352" t="str">
        <f t="shared" si="15"/>
        <v>内部装修</v>
      </c>
      <c r="AA36" s="1353">
        <f t="shared" si="3"/>
        <v>1</v>
      </c>
      <c r="AB36" s="1353">
        <f t="shared" si="4"/>
        <v>1</v>
      </c>
      <c r="AC36" s="1353">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46"/>
      <c r="Q37" s="1349" t="str">
        <f t="shared" si="11"/>
        <v>内部装修状况</v>
      </c>
      <c r="R37" s="1350" t="s">
        <v>62</v>
      </c>
      <c r="S37" s="1351">
        <f t="shared" si="12"/>
        <v>100</v>
      </c>
      <c r="T37" s="1350" t="s">
        <v>62</v>
      </c>
      <c r="U37" s="1351">
        <f t="shared" si="13"/>
        <v>100</v>
      </c>
      <c r="V37" s="1350" t="s">
        <v>62</v>
      </c>
      <c r="W37" s="1351">
        <f t="shared" si="14"/>
        <v>100</v>
      </c>
      <c r="X37" s="1338"/>
      <c r="Y37" s="3646"/>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46"/>
      <c r="Q38" s="1357">
        <f t="shared" si="11"/>
        <v>111</v>
      </c>
      <c r="R38" s="1358" t="s">
        <v>62</v>
      </c>
      <c r="S38" s="1359">
        <f t="shared" si="12"/>
        <v>100</v>
      </c>
      <c r="T38" s="1358" t="s">
        <v>62</v>
      </c>
      <c r="U38" s="1359">
        <f t="shared" si="13"/>
        <v>100</v>
      </c>
      <c r="V38" s="1358" t="s">
        <v>62</v>
      </c>
      <c r="W38" s="1359">
        <f t="shared" si="14"/>
        <v>100</v>
      </c>
      <c r="X38" s="1360"/>
      <c r="Y38" s="3646"/>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46"/>
      <c r="Q39" s="1349">
        <f t="shared" si="11"/>
        <v>111</v>
      </c>
      <c r="R39" s="1350" t="s">
        <v>62</v>
      </c>
      <c r="S39" s="1351">
        <f t="shared" si="12"/>
        <v>100</v>
      </c>
      <c r="T39" s="1350" t="s">
        <v>62</v>
      </c>
      <c r="U39" s="1351">
        <f t="shared" si="13"/>
        <v>100</v>
      </c>
      <c r="V39" s="1350" t="s">
        <v>62</v>
      </c>
      <c r="W39" s="1351">
        <f t="shared" si="14"/>
        <v>100</v>
      </c>
      <c r="X39" s="1338"/>
      <c r="Y39" s="3646"/>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47"/>
      <c r="Q40" s="1349">
        <f t="shared" si="11"/>
        <v>111</v>
      </c>
      <c r="R40" s="1350" t="s">
        <v>62</v>
      </c>
      <c r="S40" s="1351">
        <f t="shared" si="12"/>
        <v>100</v>
      </c>
      <c r="T40" s="1350" t="s">
        <v>62</v>
      </c>
      <c r="U40" s="1351">
        <f t="shared" si="13"/>
        <v>100</v>
      </c>
      <c r="V40" s="1350" t="s">
        <v>62</v>
      </c>
      <c r="W40" s="1351">
        <f t="shared" si="14"/>
        <v>100</v>
      </c>
      <c r="X40" s="1338"/>
      <c r="Y40" s="3647"/>
      <c r="Z40" s="1352">
        <f t="shared" si="15"/>
        <v>111</v>
      </c>
      <c r="AA40" s="1353">
        <f t="shared" si="3"/>
        <v>1</v>
      </c>
      <c r="AB40" s="1353">
        <f t="shared" si="4"/>
        <v>1</v>
      </c>
      <c r="AC40" s="1353">
        <f t="shared" si="5"/>
        <v>1</v>
      </c>
    </row>
    <row r="41" spans="1:29" ht="15">
      <c r="A41" s="163" t="s">
        <v>99</v>
      </c>
      <c r="B41" s="164"/>
      <c r="C41" s="2834" t="s">
        <v>23</v>
      </c>
      <c r="D41" s="2835"/>
      <c r="E41" s="2836"/>
      <c r="F41" s="2837"/>
      <c r="G41" s="2838"/>
      <c r="H41" s="2839"/>
      <c r="I41" s="2836"/>
      <c r="J41" s="2839"/>
      <c r="K41" s="1391"/>
      <c r="L41" s="2302"/>
      <c r="M41" s="2303"/>
      <c r="N41" s="2295"/>
      <c r="O41" s="2303"/>
      <c r="P41" s="3639" t="str">
        <f>A41</f>
        <v>成交单价（元/平方米）</v>
      </c>
      <c r="Q41" s="3639"/>
      <c r="R41" s="3640">
        <f>E41</f>
        <v>0</v>
      </c>
      <c r="S41" s="3640"/>
      <c r="T41" s="3640">
        <f>G41</f>
        <v>0</v>
      </c>
      <c r="U41" s="3640"/>
      <c r="V41" s="3640">
        <f>I41</f>
        <v>0</v>
      </c>
      <c r="W41" s="3640"/>
      <c r="X41" s="1363"/>
      <c r="Y41" s="1364"/>
      <c r="Z41" s="1363"/>
      <c r="AA41" s="1363"/>
      <c r="AB41" s="1363"/>
      <c r="AC41" s="1363"/>
    </row>
    <row r="42" spans="1:29" ht="15.75" thickBot="1">
      <c r="A42" s="165" t="s">
        <v>97</v>
      </c>
      <c r="B42" s="166"/>
      <c r="C42" s="2840" t="e">
        <f>R43</f>
        <v>#DIV/0!</v>
      </c>
      <c r="D42" s="2841"/>
      <c r="E42" s="2842" t="e">
        <f>R42</f>
        <v>#DIV/0!</v>
      </c>
      <c r="F42" s="2842"/>
      <c r="G42" s="2840" t="e">
        <f>T42</f>
        <v>#DIV/0!</v>
      </c>
      <c r="H42" s="2841"/>
      <c r="I42" s="2842" t="e">
        <f>V42</f>
        <v>#DIV/0!</v>
      </c>
      <c r="J42" s="2841"/>
      <c r="K42" s="1392"/>
      <c r="L42" s="2302"/>
      <c r="M42" s="2303"/>
      <c r="N42" s="2295"/>
      <c r="O42" s="2303"/>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363"/>
      <c r="Y42" s="1363"/>
      <c r="Z42" s="1363"/>
      <c r="AA42" s="1363"/>
      <c r="AB42" s="1363"/>
      <c r="AC42" s="1363"/>
    </row>
    <row r="43" spans="1:29" ht="15.75" thickBot="1">
      <c r="A43" s="115" t="s">
        <v>3016</v>
      </c>
      <c r="B43" s="116"/>
      <c r="C43" s="2844" t="e">
        <f>R43</f>
        <v>#DIV/0!</v>
      </c>
      <c r="D43" s="2844"/>
      <c r="E43" s="2844"/>
      <c r="F43" s="2844"/>
      <c r="G43" s="2844"/>
      <c r="H43" s="2844"/>
      <c r="I43" s="2844"/>
      <c r="J43" s="2844"/>
      <c r="K43" s="1393"/>
      <c r="L43" s="2302"/>
      <c r="M43" s="2303"/>
      <c r="N43" s="2303"/>
      <c r="O43" s="2303"/>
      <c r="P43" s="3636" t="str">
        <f>A43</f>
        <v>估价对象XX用房的比较价值（楼面单价，元/平方米）</v>
      </c>
      <c r="Q43" s="3637"/>
      <c r="R43" s="3638" t="e">
        <f>IF(F1="售价",ROUND(AVERAGE(R42:V42),0),ROUND(AVERAGE(R42:V42),1))</f>
        <v>#DIV/0!</v>
      </c>
      <c r="S43" s="3638"/>
      <c r="T43" s="3638"/>
      <c r="U43" s="3638"/>
      <c r="V43" s="3638"/>
      <c r="W43" s="3638"/>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124</v>
      </c>
      <c r="B51" s="1363"/>
      <c r="C51" s="1371"/>
      <c r="D51" s="1371"/>
      <c r="E51" s="1371"/>
      <c r="F51" s="1372"/>
      <c r="G51" s="1372"/>
      <c r="H51" s="1371"/>
      <c r="I51" s="1371"/>
      <c r="J51" s="1371"/>
      <c r="K51" s="2309"/>
      <c r="L51" s="2310"/>
      <c r="M51" s="2311"/>
      <c r="N51" s="2311"/>
      <c r="O51" s="2311"/>
      <c r="P51" s="120"/>
      <c r="Q51" s="121"/>
    </row>
    <row r="52" spans="1:17" s="850" customFormat="1" ht="15">
      <c r="A52" s="847" t="s">
        <v>2792</v>
      </c>
      <c r="B52" s="848"/>
      <c r="C52" s="3043" t="str">
        <f>YEAR(C7)&amp;"-"&amp;MONTH(C7)</f>
        <v>2017-9</v>
      </c>
      <c r="D52" s="3044">
        <f>EDATE(C52,-1)</f>
        <v>42948</v>
      </c>
      <c r="E52" s="3044">
        <f t="shared" ref="E52:O52" si="16">EDATE(D52,-1)</f>
        <v>42917</v>
      </c>
      <c r="F52" s="3044">
        <f t="shared" si="16"/>
        <v>42887</v>
      </c>
      <c r="G52" s="3044">
        <f t="shared" si="16"/>
        <v>42856</v>
      </c>
      <c r="H52" s="3044">
        <f t="shared" si="16"/>
        <v>42826</v>
      </c>
      <c r="I52" s="3044">
        <f t="shared" si="16"/>
        <v>42795</v>
      </c>
      <c r="J52" s="3044">
        <f t="shared" si="16"/>
        <v>42767</v>
      </c>
      <c r="K52" s="3044">
        <f t="shared" si="16"/>
        <v>42736</v>
      </c>
      <c r="L52" s="3044">
        <f t="shared" si="16"/>
        <v>42705</v>
      </c>
      <c r="M52" s="3044">
        <f t="shared" si="16"/>
        <v>42675</v>
      </c>
      <c r="N52" s="3044">
        <f t="shared" si="16"/>
        <v>42644</v>
      </c>
      <c r="O52" s="3044">
        <f t="shared" si="16"/>
        <v>42614</v>
      </c>
      <c r="P52" s="849"/>
    </row>
    <row r="53" spans="1:17" s="40" customFormat="1" ht="14.25">
      <c r="A53" s="1043"/>
      <c r="B53" s="1044"/>
      <c r="C53" s="3041">
        <v>100</v>
      </c>
      <c r="D53" s="854"/>
      <c r="E53" s="854"/>
      <c r="F53" s="854"/>
      <c r="G53" s="854"/>
      <c r="H53" s="854"/>
      <c r="I53" s="854"/>
      <c r="J53" s="854"/>
      <c r="K53" s="854"/>
      <c r="L53" s="854"/>
      <c r="M53" s="855"/>
      <c r="N53" s="854"/>
      <c r="O53" s="856"/>
      <c r="P53" s="121"/>
    </row>
    <row r="54" spans="1:17" s="40" customFormat="1" ht="15" thickBot="1">
      <c r="A54" s="1045" t="s">
        <v>115</v>
      </c>
      <c r="B54" s="1046"/>
      <c r="C54" s="859"/>
      <c r="D54" s="860"/>
      <c r="E54" s="860"/>
      <c r="F54" s="860"/>
      <c r="G54" s="860"/>
      <c r="H54" s="860"/>
      <c r="I54" s="860"/>
      <c r="J54" s="860"/>
      <c r="K54" s="860"/>
      <c r="L54" s="860"/>
      <c r="M54" s="861"/>
      <c r="N54" s="860"/>
      <c r="O54" s="862"/>
      <c r="P54" s="121"/>
      <c r="Q54" s="121"/>
    </row>
    <row r="55" spans="1:17" s="40" customFormat="1">
      <c r="A55" s="1047" t="s">
        <v>63</v>
      </c>
      <c r="B55" s="1044"/>
      <c r="C55" s="1048" t="s">
        <v>113</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4"/>
      <c r="E56" s="854"/>
      <c r="F56" s="854"/>
      <c r="G56" s="854"/>
      <c r="H56" s="854"/>
      <c r="I56" s="854"/>
      <c r="J56" s="854"/>
      <c r="K56" s="854"/>
      <c r="L56" s="854"/>
      <c r="M56" s="856"/>
      <c r="N56" s="1386"/>
      <c r="O56" s="1386"/>
      <c r="P56" s="121"/>
      <c r="Q56" s="121"/>
    </row>
    <row r="57" spans="1:17">
      <c r="A57" s="172" t="s">
        <v>64</v>
      </c>
      <c r="B57" s="286" t="s">
        <v>65</v>
      </c>
      <c r="C57" s="176">
        <f>C9</f>
        <v>0</v>
      </c>
      <c r="D57" s="122"/>
      <c r="E57" s="122"/>
      <c r="F57" s="122"/>
      <c r="G57" s="122"/>
      <c r="H57" s="122"/>
      <c r="I57" s="122"/>
      <c r="J57" s="122"/>
      <c r="K57" s="123"/>
      <c r="L57" s="124"/>
      <c r="M57" s="125"/>
      <c r="N57" s="1387"/>
      <c r="O57" s="1387"/>
      <c r="P57" s="1"/>
      <c r="Q57" s="121"/>
    </row>
    <row r="58" spans="1:17" ht="15" thickBot="1">
      <c r="A58" s="173"/>
      <c r="B58" s="1051"/>
      <c r="C58" s="878">
        <v>100</v>
      </c>
      <c r="D58" s="878"/>
      <c r="E58" s="878"/>
      <c r="F58" s="878"/>
      <c r="G58" s="878"/>
      <c r="H58" s="878"/>
      <c r="I58" s="878"/>
      <c r="J58" s="878"/>
      <c r="K58" s="878"/>
      <c r="L58" s="878"/>
      <c r="M58" s="879"/>
      <c r="N58" s="1388"/>
      <c r="O58" s="1388"/>
      <c r="P58" s="1"/>
      <c r="Q58" s="121"/>
    </row>
    <row r="59" spans="1:17" ht="27.75" thickTop="1">
      <c r="A59" s="173"/>
      <c r="B59" s="1052" t="s">
        <v>103</v>
      </c>
      <c r="C59" s="881" t="s">
        <v>1006</v>
      </c>
      <c r="D59" s="881" t="s">
        <v>1007</v>
      </c>
      <c r="E59" s="881" t="s">
        <v>1008</v>
      </c>
      <c r="F59" s="881" t="s">
        <v>1009</v>
      </c>
      <c r="G59" s="881" t="s">
        <v>1010</v>
      </c>
      <c r="H59" s="881" t="s">
        <v>1011</v>
      </c>
      <c r="I59" s="881" t="s">
        <v>1012</v>
      </c>
      <c r="J59" s="881"/>
      <c r="K59" s="882"/>
      <c r="L59" s="883"/>
      <c r="M59" s="884"/>
      <c r="N59" s="1387"/>
      <c r="O59" s="1387"/>
      <c r="P59" s="1"/>
      <c r="Q59" s="121"/>
    </row>
    <row r="60" spans="1:17" ht="15" thickBot="1">
      <c r="A60" s="173"/>
      <c r="B60" s="1053"/>
      <c r="C60" s="886" t="s">
        <v>135</v>
      </c>
      <c r="D60" s="886" t="s">
        <v>136</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4" t="s">
        <v>90</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5"/>
      <c r="C62" s="891"/>
      <c r="D62" s="891"/>
      <c r="E62" s="891"/>
      <c r="F62" s="891"/>
      <c r="G62" s="891"/>
      <c r="H62" s="891"/>
      <c r="I62" s="891"/>
      <c r="J62" s="891"/>
      <c r="K62" s="892"/>
      <c r="L62" s="893"/>
      <c r="M62" s="894"/>
      <c r="N62" s="1387"/>
      <c r="O62" s="1387"/>
      <c r="P62" s="1"/>
      <c r="Q62" s="121"/>
    </row>
    <row r="63" spans="1:17" ht="15" thickBot="1">
      <c r="A63" s="173"/>
      <c r="B63" s="1051"/>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2"/>
      <c r="D65" s="878"/>
      <c r="E65" s="878"/>
      <c r="F65" s="878"/>
      <c r="G65" s="878"/>
      <c r="H65" s="878"/>
      <c r="I65" s="878"/>
      <c r="J65" s="878"/>
      <c r="K65" s="878"/>
      <c r="L65" s="878"/>
      <c r="M65" s="879"/>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2"/>
      <c r="D67" s="878"/>
      <c r="E67" s="878"/>
      <c r="F67" s="878"/>
      <c r="G67" s="902"/>
      <c r="H67" s="904"/>
      <c r="I67" s="904"/>
      <c r="J67" s="904"/>
      <c r="K67" s="904"/>
      <c r="L67" s="904"/>
      <c r="M67" s="905"/>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2"/>
      <c r="D69" s="912"/>
      <c r="E69" s="912"/>
      <c r="F69" s="912"/>
      <c r="G69" s="912"/>
      <c r="H69" s="913"/>
      <c r="I69" s="913"/>
      <c r="J69" s="913"/>
      <c r="K69" s="913"/>
      <c r="L69" s="913"/>
      <c r="M69" s="914"/>
      <c r="N69" s="1389"/>
      <c r="O69" s="1389"/>
      <c r="P69" s="1060"/>
      <c r="Q69" s="1061"/>
    </row>
    <row r="70" spans="1:17" ht="14.25">
      <c r="A70" s="172" t="s">
        <v>66</v>
      </c>
      <c r="B70" s="286" t="s">
        <v>156</v>
      </c>
      <c r="C70" s="915" t="s">
        <v>1013</v>
      </c>
      <c r="D70" s="915" t="s">
        <v>1014</v>
      </c>
      <c r="E70" s="915" t="s">
        <v>1015</v>
      </c>
      <c r="F70" s="915" t="s">
        <v>1016</v>
      </c>
      <c r="G70" s="915" t="s">
        <v>1017</v>
      </c>
      <c r="H70" s="871"/>
      <c r="I70" s="871"/>
      <c r="J70" s="871"/>
      <c r="K70" s="916"/>
      <c r="L70" s="917"/>
      <c r="M70" s="918"/>
      <c r="N70" s="1387"/>
      <c r="O70" s="1387"/>
      <c r="P70" s="130"/>
      <c r="Q70" s="121"/>
    </row>
    <row r="71" spans="1:17" ht="15" thickBot="1">
      <c r="A71" s="173"/>
      <c r="B71" s="1053"/>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2" t="s">
        <v>89</v>
      </c>
      <c r="C72" s="920" t="s">
        <v>1013</v>
      </c>
      <c r="D72" s="920" t="s">
        <v>1014</v>
      </c>
      <c r="E72" s="920" t="s">
        <v>1015</v>
      </c>
      <c r="F72" s="920" t="s">
        <v>1016</v>
      </c>
      <c r="G72" s="920" t="s">
        <v>1017</v>
      </c>
      <c r="H72" s="881"/>
      <c r="I72" s="881"/>
      <c r="J72" s="881"/>
      <c r="K72" s="882"/>
      <c r="L72" s="883"/>
      <c r="M72" s="884"/>
      <c r="N72" s="1387"/>
      <c r="O72" s="1387"/>
      <c r="P72" s="1"/>
      <c r="Q72" s="121"/>
    </row>
    <row r="73" spans="1:17" ht="15" thickBot="1">
      <c r="A73" s="173"/>
      <c r="B73" s="1053"/>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2" t="s">
        <v>2634</v>
      </c>
      <c r="C74" s="920" t="s">
        <v>1013</v>
      </c>
      <c r="D74" s="920" t="s">
        <v>1014</v>
      </c>
      <c r="E74" s="920" t="s">
        <v>1015</v>
      </c>
      <c r="F74" s="920" t="s">
        <v>1016</v>
      </c>
      <c r="G74" s="920" t="s">
        <v>1017</v>
      </c>
      <c r="H74" s="881"/>
      <c r="I74" s="881"/>
      <c r="J74" s="881"/>
      <c r="K74" s="882"/>
      <c r="L74" s="883"/>
      <c r="M74" s="884"/>
      <c r="N74" s="1387"/>
      <c r="O74" s="1387"/>
      <c r="P74" s="1"/>
      <c r="Q74" s="121"/>
    </row>
    <row r="75" spans="1:17" ht="15" thickBot="1">
      <c r="A75" s="173"/>
      <c r="B75" s="1053"/>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4" t="s">
        <v>2662</v>
      </c>
      <c r="C76" s="213" t="s">
        <v>2654</v>
      </c>
      <c r="D76" s="213" t="s">
        <v>2655</v>
      </c>
      <c r="E76" s="213" t="s">
        <v>2656</v>
      </c>
      <c r="F76" s="213" t="s">
        <v>2657</v>
      </c>
      <c r="G76" s="213" t="s">
        <v>2658</v>
      </c>
      <c r="H76" s="881"/>
      <c r="I76" s="881"/>
      <c r="J76" s="881"/>
      <c r="K76" s="881"/>
      <c r="L76" s="881"/>
      <c r="M76" s="2763"/>
      <c r="N76" s="1388"/>
      <c r="O76" s="1388"/>
      <c r="P76" s="1"/>
      <c r="Q76" s="121"/>
    </row>
    <row r="77" spans="1:17" ht="15" thickBot="1">
      <c r="A77" s="173"/>
      <c r="B77" s="1054"/>
      <c r="C77" s="886">
        <v>100</v>
      </c>
      <c r="D77" s="886">
        <f>C77-$K21</f>
        <v>100</v>
      </c>
      <c r="E77" s="886">
        <f>D77-$K21</f>
        <v>100</v>
      </c>
      <c r="F77" s="886">
        <f>E77-$K21</f>
        <v>100</v>
      </c>
      <c r="G77" s="886">
        <f>F77-$K21</f>
        <v>100</v>
      </c>
      <c r="H77" s="1001"/>
      <c r="I77" s="1001"/>
      <c r="J77" s="1001"/>
      <c r="K77" s="1001"/>
      <c r="L77" s="1001"/>
      <c r="M77" s="792"/>
      <c r="N77" s="1388"/>
      <c r="O77" s="1388"/>
      <c r="P77" s="1"/>
      <c r="Q77" s="121"/>
    </row>
    <row r="78" spans="1:17" ht="15" thickTop="1">
      <c r="A78" s="173"/>
      <c r="B78" s="1052" t="s">
        <v>146</v>
      </c>
      <c r="C78" s="920" t="s">
        <v>1013</v>
      </c>
      <c r="D78" s="920" t="s">
        <v>1014</v>
      </c>
      <c r="E78" s="920" t="s">
        <v>1015</v>
      </c>
      <c r="F78" s="920" t="s">
        <v>1016</v>
      </c>
      <c r="G78" s="920" t="s">
        <v>1017</v>
      </c>
      <c r="H78" s="881"/>
      <c r="I78" s="881"/>
      <c r="J78" s="881"/>
      <c r="K78" s="882"/>
      <c r="L78" s="883"/>
      <c r="M78" s="884"/>
      <c r="N78" s="1387"/>
      <c r="O78" s="1387"/>
      <c r="P78" s="1"/>
      <c r="Q78" s="121"/>
    </row>
    <row r="79" spans="1:17" ht="15" thickBot="1">
      <c r="A79" s="173"/>
      <c r="B79" s="1053"/>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2"/>
      <c r="D81" s="878"/>
      <c r="E81" s="878"/>
      <c r="F81" s="878"/>
      <c r="G81" s="878"/>
      <c r="H81" s="878"/>
      <c r="I81" s="878"/>
      <c r="J81" s="878"/>
      <c r="K81" s="878"/>
      <c r="L81" s="878"/>
      <c r="M81" s="879"/>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2"/>
      <c r="D83" s="878"/>
      <c r="E83" s="878"/>
      <c r="F83" s="878"/>
      <c r="G83" s="878"/>
      <c r="H83" s="878"/>
      <c r="I83" s="878"/>
      <c r="J83" s="878"/>
      <c r="K83" s="878"/>
      <c r="L83" s="878"/>
      <c r="M83" s="879"/>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2"/>
      <c r="D85" s="878"/>
      <c r="E85" s="878"/>
      <c r="F85" s="878"/>
      <c r="G85" s="878"/>
      <c r="H85" s="878"/>
      <c r="I85" s="878"/>
      <c r="J85" s="878"/>
      <c r="K85" s="878"/>
      <c r="L85" s="878"/>
      <c r="M85" s="879"/>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2"/>
      <c r="D87" s="912"/>
      <c r="E87" s="912"/>
      <c r="F87" s="912"/>
      <c r="G87" s="933"/>
      <c r="H87" s="933"/>
      <c r="I87" s="933"/>
      <c r="J87" s="933"/>
      <c r="K87" s="933"/>
      <c r="L87" s="933"/>
      <c r="M87" s="934"/>
      <c r="N87" s="1388"/>
      <c r="O87" s="1388"/>
      <c r="P87" s="1"/>
      <c r="Q87" s="121"/>
    </row>
    <row r="88" spans="1:17">
      <c r="A88" s="172" t="s">
        <v>67</v>
      </c>
      <c r="B88" s="286" t="s">
        <v>120</v>
      </c>
      <c r="C88" s="122"/>
      <c r="D88" s="122"/>
      <c r="E88" s="122"/>
      <c r="F88" s="122"/>
      <c r="G88" s="122"/>
      <c r="H88" s="122"/>
      <c r="I88" s="122"/>
      <c r="J88" s="122"/>
      <c r="K88" s="123"/>
      <c r="L88" s="124"/>
      <c r="M88" s="125"/>
      <c r="N88" s="1387"/>
      <c r="O88" s="1387"/>
      <c r="P88" s="1"/>
      <c r="Q88" s="121"/>
    </row>
    <row r="89" spans="1:17" ht="15" thickBot="1">
      <c r="A89" s="173"/>
      <c r="B89" s="1053"/>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2" t="s">
        <v>93</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2"/>
      <c r="D92" s="878"/>
      <c r="E92" s="878"/>
      <c r="F92" s="878"/>
      <c r="G92" s="878"/>
      <c r="H92" s="878"/>
      <c r="I92" s="878"/>
      <c r="J92" s="878"/>
      <c r="K92" s="878"/>
      <c r="L92" s="878"/>
      <c r="M92" s="879"/>
      <c r="N92" s="1388"/>
      <c r="O92" s="1388"/>
      <c r="P92" s="1060"/>
      <c r="Q92" s="1061"/>
    </row>
    <row r="93" spans="1:17" ht="14.25" thickTop="1">
      <c r="A93" s="175"/>
      <c r="B93" s="1052" t="s">
        <v>92</v>
      </c>
      <c r="C93" s="139"/>
      <c r="D93" s="139"/>
      <c r="E93" s="131"/>
      <c r="F93" s="131"/>
      <c r="G93" s="131"/>
      <c r="H93" s="131"/>
      <c r="I93" s="131"/>
      <c r="J93" s="131"/>
      <c r="K93" s="132"/>
      <c r="L93" s="133"/>
      <c r="M93" s="134"/>
      <c r="N93" s="1387"/>
      <c r="O93" s="1387"/>
      <c r="P93" s="1"/>
      <c r="Q93" s="121"/>
    </row>
    <row r="94" spans="1:17" ht="15" thickBot="1">
      <c r="A94" s="173"/>
      <c r="B94" s="1053"/>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2" t="s">
        <v>121</v>
      </c>
      <c r="C95" s="139"/>
      <c r="D95" s="139"/>
      <c r="E95" s="139"/>
      <c r="F95" s="131"/>
      <c r="G95" s="131"/>
      <c r="H95" s="131"/>
      <c r="I95" s="131"/>
      <c r="J95" s="131"/>
      <c r="K95" s="132"/>
      <c r="L95" s="133"/>
      <c r="M95" s="134"/>
      <c r="N95" s="1387"/>
      <c r="O95" s="1387"/>
      <c r="P95" s="1"/>
      <c r="Q95" s="121"/>
    </row>
    <row r="96" spans="1:17" ht="15" thickBot="1">
      <c r="A96" s="173"/>
      <c r="B96" s="1053"/>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2" t="s">
        <v>109</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4"/>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3"/>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7" customFormat="1" ht="14.25" thickTop="1">
      <c r="A100" s="1071"/>
      <c r="B100" s="1052" t="s">
        <v>122</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0"/>
      <c r="Q101" s="1061"/>
    </row>
    <row r="102" spans="1:17" ht="14.25" thickTop="1">
      <c r="A102" s="175"/>
      <c r="B102" s="1052" t="s">
        <v>2636</v>
      </c>
      <c r="C102" s="139"/>
      <c r="D102" s="139"/>
      <c r="E102" s="139"/>
      <c r="F102" s="139"/>
      <c r="G102" s="139"/>
      <c r="H102" s="131"/>
      <c r="I102" s="131"/>
      <c r="J102" s="131"/>
      <c r="K102" s="132"/>
      <c r="L102" s="133"/>
      <c r="M102" s="134"/>
      <c r="N102" s="1387"/>
      <c r="O102" s="1387"/>
      <c r="P102" s="1"/>
      <c r="Q102" s="121"/>
    </row>
    <row r="103" spans="1:17" ht="15" thickBot="1">
      <c r="A103" s="173"/>
      <c r="B103" s="1053"/>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2" t="s">
        <v>123</v>
      </c>
      <c r="C104" s="139"/>
      <c r="D104" s="139"/>
      <c r="E104" s="139"/>
      <c r="F104" s="139"/>
      <c r="G104" s="139"/>
      <c r="H104" s="131"/>
      <c r="I104" s="131"/>
      <c r="J104" s="131"/>
      <c r="K104" s="132"/>
      <c r="L104" s="133"/>
      <c r="M104" s="134"/>
      <c r="N104" s="1387"/>
      <c r="O104" s="1387"/>
      <c r="P104" s="1"/>
      <c r="Q104" s="121"/>
    </row>
    <row r="105" spans="1:17" ht="15" thickBot="1">
      <c r="A105" s="173"/>
      <c r="B105" s="1053"/>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149</v>
      </c>
      <c r="C106" s="920" t="s">
        <v>1013</v>
      </c>
      <c r="D106" s="920" t="s">
        <v>1014</v>
      </c>
      <c r="E106" s="920" t="s">
        <v>1015</v>
      </c>
      <c r="F106" s="920" t="s">
        <v>1016</v>
      </c>
      <c r="G106" s="920" t="s">
        <v>1017</v>
      </c>
      <c r="H106" s="881"/>
      <c r="I106" s="881"/>
      <c r="J106" s="881"/>
      <c r="K106" s="882"/>
      <c r="L106" s="883"/>
      <c r="M106" s="884"/>
      <c r="N106" s="1388"/>
      <c r="O106" s="1388"/>
      <c r="P106" s="200"/>
      <c r="Q106" s="201"/>
    </row>
    <row r="107" spans="1:17" ht="15" thickBot="1">
      <c r="A107" s="173"/>
      <c r="B107" s="1053"/>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2"/>
      <c r="D109" s="878"/>
      <c r="E109" s="878"/>
      <c r="F109" s="878"/>
      <c r="G109" s="902"/>
      <c r="H109" s="904"/>
      <c r="I109" s="904"/>
      <c r="J109" s="904"/>
      <c r="K109" s="904"/>
      <c r="L109" s="904"/>
      <c r="M109" s="905"/>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2"/>
      <c r="D111" s="878"/>
      <c r="E111" s="878"/>
      <c r="F111" s="878"/>
      <c r="G111" s="902"/>
      <c r="H111" s="904"/>
      <c r="I111" s="904"/>
      <c r="J111" s="904"/>
      <c r="K111" s="904"/>
      <c r="L111" s="904"/>
      <c r="M111" s="905"/>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ColWidth="9"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3" customFormat="1" ht="28.5" customHeight="1" thickBot="1">
      <c r="A1" s="3122" t="s">
        <v>385</v>
      </c>
      <c r="B1" s="3123"/>
      <c r="C1" s="3124" t="s">
        <v>441</v>
      </c>
      <c r="D1" s="3125"/>
      <c r="E1" s="3126"/>
      <c r="F1" s="3107"/>
      <c r="G1" s="3127" t="s">
        <v>442</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0" customFormat="1" ht="28.5" customHeight="1" thickTop="1">
      <c r="A2" s="3121" t="s">
        <v>443</v>
      </c>
      <c r="B2" s="2845" t="e">
        <f ca="1">IF(C2="——",IF(B37="元/平方米",ROUND(C39*D3/10000,0),ROUND(F3*C39/10000,0)),IF(B37="元/平方米",ROUND(C39*D3/10000,0),ROUND(F3*C39/10000,0))-D2)</f>
        <v>#DIV/0!</v>
      </c>
      <c r="C2" s="3099"/>
      <c r="D2" s="2341" t="e">
        <f ca="1">SUMIF(INDIRECT("'"&amp;F2&amp;"'"&amp;"!A:A"),"承租人权益价值",INDIRECT("'"&amp;F2&amp;"'"&amp;"!c:c"))</f>
        <v>#REF!</v>
      </c>
      <c r="E2" s="3100" t="s">
        <v>865</v>
      </c>
      <c r="F2" s="3101"/>
      <c r="G2" s="2342"/>
      <c r="H2" s="2342"/>
      <c r="I2" s="2342"/>
      <c r="J2" s="2342"/>
      <c r="K2" s="2344"/>
      <c r="L2" s="2345"/>
      <c r="M2" s="2346"/>
      <c r="N2" s="2346"/>
      <c r="O2" s="2346"/>
      <c r="P2" s="2846"/>
      <c r="Q2" s="1314"/>
      <c r="R2" s="1314"/>
      <c r="S2" s="1314"/>
      <c r="T2" s="1314"/>
      <c r="U2" s="1314"/>
      <c r="V2" s="1314"/>
      <c r="W2" s="1314"/>
      <c r="X2" s="1314"/>
      <c r="Y2" s="1314"/>
      <c r="Z2" s="1314"/>
      <c r="AA2" s="1314"/>
      <c r="AB2" s="1314"/>
      <c r="AC2" s="1315"/>
    </row>
    <row r="3" spans="1:29" s="740" customFormat="1" ht="28.5" customHeight="1" thickBot="1">
      <c r="A3" s="578" t="s">
        <v>444</v>
      </c>
      <c r="B3" s="951" t="e">
        <f ca="1">IF(AND(C2="——",B37="元/平方米"),C39,ROUND(B2*10000/D3,0))</f>
        <v>#DIV/0!</v>
      </c>
      <c r="C3" s="742" t="s">
        <v>445</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6"/>
      <c r="Q3" s="1314"/>
      <c r="R3" s="1314"/>
      <c r="S3" s="1314"/>
      <c r="T3" s="1314"/>
      <c r="U3" s="1314"/>
      <c r="V3" s="1314"/>
      <c r="W3" s="1314"/>
      <c r="X3" s="1314"/>
      <c r="Y3" s="1314"/>
      <c r="Z3" s="1314"/>
      <c r="AA3" s="1314"/>
      <c r="AB3" s="1407"/>
      <c r="AC3" s="1397"/>
    </row>
    <row r="4" spans="1:29" ht="15">
      <c r="A4" s="743" t="s">
        <v>446</v>
      </c>
      <c r="B4" s="744"/>
      <c r="C4" s="3689" t="s">
        <v>447</v>
      </c>
      <c r="D4" s="3690"/>
      <c r="E4" s="3691" t="s">
        <v>448</v>
      </c>
      <c r="F4" s="3692"/>
      <c r="G4" s="3689" t="s">
        <v>449</v>
      </c>
      <c r="H4" s="3690"/>
      <c r="I4" s="3689" t="s">
        <v>450</v>
      </c>
      <c r="J4" s="3690"/>
      <c r="K4" s="952" t="s">
        <v>451</v>
      </c>
      <c r="L4" s="2347"/>
      <c r="M4" s="2348"/>
      <c r="N4" s="2348"/>
      <c r="O4" s="2348"/>
      <c r="P4" s="3693" t="s">
        <v>452</v>
      </c>
      <c r="Q4" s="3694"/>
      <c r="R4" s="3676" t="s">
        <v>448</v>
      </c>
      <c r="S4" s="3677"/>
      <c r="T4" s="3676" t="s">
        <v>449</v>
      </c>
      <c r="U4" s="3677"/>
      <c r="V4" s="3701" t="s">
        <v>450</v>
      </c>
      <c r="W4" s="3701"/>
      <c r="X4" s="2831"/>
      <c r="Y4" s="3676" t="s">
        <v>452</v>
      </c>
      <c r="Z4" s="3677"/>
      <c r="AA4" s="3671" t="s">
        <v>448</v>
      </c>
      <c r="AB4" s="3672" t="s">
        <v>449</v>
      </c>
      <c r="AC4" s="3671" t="s">
        <v>450</v>
      </c>
    </row>
    <row r="5" spans="1:29" ht="15">
      <c r="A5" s="746"/>
      <c r="B5" s="747"/>
      <c r="C5" s="3682" t="s">
        <v>3017</v>
      </c>
      <c r="D5" s="3683"/>
      <c r="E5" s="3680" t="s">
        <v>3018</v>
      </c>
      <c r="F5" s="3681"/>
      <c r="G5" s="3682" t="s">
        <v>3019</v>
      </c>
      <c r="H5" s="3683"/>
      <c r="I5" s="3682" t="s">
        <v>3020</v>
      </c>
      <c r="J5" s="3683"/>
      <c r="K5" s="952"/>
      <c r="L5" s="2347"/>
      <c r="M5" s="2348"/>
      <c r="N5" s="2348"/>
      <c r="O5" s="2348"/>
      <c r="P5" s="3695"/>
      <c r="Q5" s="3696"/>
      <c r="R5" s="3678"/>
      <c r="S5" s="3679"/>
      <c r="T5" s="3678"/>
      <c r="U5" s="3679"/>
      <c r="V5" s="3701"/>
      <c r="W5" s="3701"/>
      <c r="X5" s="2831"/>
      <c r="Y5" s="3678"/>
      <c r="Z5" s="3679"/>
      <c r="AA5" s="3672"/>
      <c r="AB5" s="3672"/>
      <c r="AC5" s="3672"/>
    </row>
    <row r="6" spans="1:29" ht="15.75" thickBot="1">
      <c r="A6" s="748"/>
      <c r="B6" s="749"/>
      <c r="C6" s="3684" t="s">
        <v>3021</v>
      </c>
      <c r="D6" s="3685"/>
      <c r="E6" s="3686" t="s">
        <v>3021</v>
      </c>
      <c r="F6" s="3687"/>
      <c r="G6" s="3684" t="s">
        <v>3021</v>
      </c>
      <c r="H6" s="3685"/>
      <c r="I6" s="3684" t="s">
        <v>3021</v>
      </c>
      <c r="J6" s="3685"/>
      <c r="K6" s="952" t="s">
        <v>394</v>
      </c>
      <c r="L6" s="2347"/>
      <c r="M6" s="2348"/>
      <c r="N6" s="2348"/>
      <c r="O6" s="2348"/>
      <c r="P6" s="3697"/>
      <c r="Q6" s="3698"/>
      <c r="R6" s="3678"/>
      <c r="S6" s="3679"/>
      <c r="T6" s="3699"/>
      <c r="U6" s="3700"/>
      <c r="V6" s="3701"/>
      <c r="W6" s="3701"/>
      <c r="X6" s="2831"/>
      <c r="Y6" s="3699"/>
      <c r="Z6" s="3700"/>
      <c r="AA6" s="3673"/>
      <c r="AB6" s="3673"/>
      <c r="AC6" s="3673"/>
    </row>
    <row r="7" spans="1:29" s="407" customFormat="1" ht="15.75" thickBot="1">
      <c r="A7" s="750" t="s">
        <v>395</v>
      </c>
      <c r="B7" s="751"/>
      <c r="C7" s="752">
        <f>'数据-取费表'!B2</f>
        <v>43003</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74" t="s">
        <v>396</v>
      </c>
      <c r="Q7" s="3702"/>
      <c r="R7" s="1317" t="s">
        <v>62</v>
      </c>
      <c r="S7" s="1318">
        <f t="shared" ref="S7:S14" si="0">F7</f>
        <v>0</v>
      </c>
      <c r="T7" s="1317" t="s">
        <v>62</v>
      </c>
      <c r="U7" s="1318">
        <f t="shared" ref="U7:U14" si="1">H7</f>
        <v>0</v>
      </c>
      <c r="V7" s="1317" t="s">
        <v>62</v>
      </c>
      <c r="W7" s="1318">
        <f t="shared" ref="W7:W14" si="2">J7</f>
        <v>0</v>
      </c>
      <c r="X7" s="1319"/>
      <c r="Y7" s="3674" t="s">
        <v>396</v>
      </c>
      <c r="Z7" s="3675"/>
      <c r="AA7" s="1320" t="e">
        <f>D7/F7</f>
        <v>#DIV/0!</v>
      </c>
      <c r="AB7" s="1320" t="e">
        <f>D7/H7</f>
        <v>#DIV/0!</v>
      </c>
      <c r="AC7" s="1320"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36" si="3">D8/F8</f>
        <v>#DIV/0!</v>
      </c>
      <c r="AB8" s="1320" t="e">
        <f t="shared" ref="AB8:AB36" si="4">D8/H8</f>
        <v>#DIV/0!</v>
      </c>
      <c r="AC8" s="1320" t="e">
        <f t="shared" ref="AC8:AC36" si="5">D8/J8</f>
        <v>#DIV/0!</v>
      </c>
    </row>
    <row r="9" spans="1:29" s="407"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88" t="s">
        <v>399</v>
      </c>
      <c r="Q9" s="2830" t="str">
        <f t="shared" ref="Q9:Q14" si="6">B9</f>
        <v>用途</v>
      </c>
      <c r="R9" s="1317" t="s">
        <v>62</v>
      </c>
      <c r="S9" s="1318">
        <f t="shared" si="0"/>
        <v>100</v>
      </c>
      <c r="T9" s="1317" t="s">
        <v>62</v>
      </c>
      <c r="U9" s="1318">
        <f t="shared" si="1"/>
        <v>100</v>
      </c>
      <c r="V9" s="1317" t="s">
        <v>62</v>
      </c>
      <c r="W9" s="1318">
        <f t="shared" si="2"/>
        <v>100</v>
      </c>
      <c r="X9" s="1319"/>
      <c r="Y9" s="3477"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88"/>
      <c r="Q10" s="2830" t="str">
        <f t="shared" si="6"/>
        <v>土地使用年限（年）</v>
      </c>
      <c r="R10" s="1317" t="s">
        <v>62</v>
      </c>
      <c r="S10" s="1318">
        <f t="shared" si="0"/>
        <v>100</v>
      </c>
      <c r="T10" s="1317" t="s">
        <v>62</v>
      </c>
      <c r="U10" s="1318">
        <f t="shared" si="1"/>
        <v>100</v>
      </c>
      <c r="V10" s="1317" t="s">
        <v>62</v>
      </c>
      <c r="W10" s="1318">
        <f t="shared" si="2"/>
        <v>100</v>
      </c>
      <c r="X10" s="1319"/>
      <c r="Y10" s="3477"/>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88"/>
      <c r="Q11" s="2830">
        <f t="shared" si="6"/>
        <v>111</v>
      </c>
      <c r="R11" s="1317" t="s">
        <v>62</v>
      </c>
      <c r="S11" s="1318">
        <f t="shared" si="0"/>
        <v>100</v>
      </c>
      <c r="T11" s="1317" t="s">
        <v>62</v>
      </c>
      <c r="U11" s="1318">
        <f t="shared" si="1"/>
        <v>100</v>
      </c>
      <c r="V11" s="1317" t="s">
        <v>62</v>
      </c>
      <c r="W11" s="1318">
        <f t="shared" si="2"/>
        <v>100</v>
      </c>
      <c r="X11" s="1319"/>
      <c r="Y11" s="3477"/>
      <c r="Z11" s="344">
        <f t="shared" si="7"/>
        <v>111</v>
      </c>
      <c r="AA11" s="1320">
        <f t="shared" si="3"/>
        <v>1</v>
      </c>
      <c r="AB11" s="1320">
        <f t="shared" si="4"/>
        <v>1</v>
      </c>
      <c r="AC11" s="1320">
        <f t="shared" si="5"/>
        <v>1</v>
      </c>
    </row>
    <row r="12" spans="1:29" s="407"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88"/>
      <c r="Q12" s="2830">
        <f t="shared" si="6"/>
        <v>111</v>
      </c>
      <c r="R12" s="1317" t="s">
        <v>62</v>
      </c>
      <c r="S12" s="1318">
        <f t="shared" si="0"/>
        <v>100</v>
      </c>
      <c r="T12" s="1317" t="s">
        <v>62</v>
      </c>
      <c r="U12" s="1318">
        <f t="shared" si="1"/>
        <v>100</v>
      </c>
      <c r="V12" s="1317" t="s">
        <v>62</v>
      </c>
      <c r="W12" s="1318">
        <f t="shared" si="2"/>
        <v>100</v>
      </c>
      <c r="X12" s="1319"/>
      <c r="Y12" s="3477"/>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88"/>
      <c r="Q13" s="2830">
        <f t="shared" si="6"/>
        <v>111</v>
      </c>
      <c r="R13" s="1317" t="s">
        <v>62</v>
      </c>
      <c r="S13" s="1318">
        <f t="shared" si="0"/>
        <v>100</v>
      </c>
      <c r="T13" s="1317" t="s">
        <v>62</v>
      </c>
      <c r="U13" s="1318">
        <f t="shared" si="1"/>
        <v>100</v>
      </c>
      <c r="V13" s="1317" t="s">
        <v>62</v>
      </c>
      <c r="W13" s="1318">
        <f t="shared" si="2"/>
        <v>100</v>
      </c>
      <c r="X13" s="1319"/>
      <c r="Y13" s="3477"/>
      <c r="Z13" s="344">
        <f t="shared" si="7"/>
        <v>111</v>
      </c>
      <c r="AA13" s="1320">
        <f t="shared" si="3"/>
        <v>1</v>
      </c>
      <c r="AB13" s="1320">
        <f t="shared" si="4"/>
        <v>1</v>
      </c>
      <c r="AC13" s="1320">
        <f t="shared" si="5"/>
        <v>1</v>
      </c>
    </row>
    <row r="14" spans="1:29" ht="94.5">
      <c r="A14" s="743" t="s">
        <v>403</v>
      </c>
      <c r="B14" s="970" t="s">
        <v>453</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703" t="s">
        <v>404</v>
      </c>
      <c r="Q14" s="2832" t="str">
        <f t="shared" si="6"/>
        <v>交通便捷度</v>
      </c>
      <c r="R14" s="1322" t="s">
        <v>62</v>
      </c>
      <c r="S14" s="1323">
        <f t="shared" si="0"/>
        <v>100</v>
      </c>
      <c r="T14" s="1322" t="s">
        <v>62</v>
      </c>
      <c r="U14" s="1323">
        <f t="shared" si="1"/>
        <v>100</v>
      </c>
      <c r="V14" s="1322" t="s">
        <v>62</v>
      </c>
      <c r="W14" s="1323">
        <f t="shared" si="2"/>
        <v>100</v>
      </c>
      <c r="X14" s="2831"/>
      <c r="Y14" s="3703" t="s">
        <v>404</v>
      </c>
      <c r="Z14" s="283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7"/>
      <c r="L15" s="2357"/>
      <c r="M15" s="2348"/>
      <c r="N15" s="2348"/>
      <c r="O15" s="2348"/>
      <c r="P15" s="3704"/>
      <c r="Q15" s="2832"/>
      <c r="R15" s="1322"/>
      <c r="S15" s="1323"/>
      <c r="T15" s="1322"/>
      <c r="U15" s="1323"/>
      <c r="V15" s="1322"/>
      <c r="W15" s="1323"/>
      <c r="X15" s="2831"/>
      <c r="Y15" s="3704"/>
      <c r="Z15" s="2833"/>
      <c r="AA15" s="1325">
        <v>1</v>
      </c>
      <c r="AB15" s="1325">
        <v>1</v>
      </c>
      <c r="AC15" s="1325">
        <v>1</v>
      </c>
    </row>
    <row r="16" spans="1:29" ht="40.5">
      <c r="A16" s="746"/>
      <c r="B16" s="1032" t="s">
        <v>2663</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704"/>
      <c r="Q16" s="2832" t="str">
        <f>B16</f>
        <v>公共配套设施</v>
      </c>
      <c r="R16" s="1322" t="s">
        <v>62</v>
      </c>
      <c r="S16" s="1323">
        <f>F16</f>
        <v>100</v>
      </c>
      <c r="T16" s="1322" t="s">
        <v>62</v>
      </c>
      <c r="U16" s="1323">
        <f>H16</f>
        <v>100</v>
      </c>
      <c r="V16" s="1322" t="s">
        <v>62</v>
      </c>
      <c r="W16" s="1323">
        <f>J16</f>
        <v>100</v>
      </c>
      <c r="X16" s="2831"/>
      <c r="Y16" s="3704"/>
      <c r="Z16" s="283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7"/>
      <c r="L17" s="2357"/>
      <c r="M17" s="2348"/>
      <c r="N17" s="2348"/>
      <c r="O17" s="2348"/>
      <c r="P17" s="3704"/>
      <c r="Q17" s="2832"/>
      <c r="R17" s="1322"/>
      <c r="S17" s="1323"/>
      <c r="T17" s="1322"/>
      <c r="U17" s="1323"/>
      <c r="V17" s="1322"/>
      <c r="W17" s="1323"/>
      <c r="X17" s="2831"/>
      <c r="Y17" s="3704"/>
      <c r="Z17" s="2833"/>
      <c r="AA17" s="1325">
        <v>1</v>
      </c>
      <c r="AB17" s="1325">
        <v>1</v>
      </c>
      <c r="AC17" s="1325">
        <v>1</v>
      </c>
    </row>
    <row r="18" spans="1:29" ht="40.5">
      <c r="A18" s="746"/>
      <c r="B18" s="1034" t="s">
        <v>2662</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704"/>
      <c r="Q18" s="2832" t="str">
        <f>B18</f>
        <v>基础设施水平</v>
      </c>
      <c r="R18" s="1322" t="s">
        <v>62</v>
      </c>
      <c r="S18" s="1323">
        <f>F18</f>
        <v>100</v>
      </c>
      <c r="T18" s="1322" t="s">
        <v>62</v>
      </c>
      <c r="U18" s="1323">
        <f>H18</f>
        <v>100</v>
      </c>
      <c r="V18" s="1322" t="s">
        <v>62</v>
      </c>
      <c r="W18" s="1323">
        <f>J18</f>
        <v>100</v>
      </c>
      <c r="X18" s="2831"/>
      <c r="Y18" s="3704"/>
      <c r="Z18" s="283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5"/>
      <c r="L19" s="2357"/>
      <c r="M19" s="2348"/>
      <c r="N19" s="2348"/>
      <c r="O19" s="2348"/>
      <c r="P19" s="3704"/>
      <c r="Q19" s="2832"/>
      <c r="R19" s="1322"/>
      <c r="S19" s="1323"/>
      <c r="T19" s="1322"/>
      <c r="U19" s="1323"/>
      <c r="V19" s="1322"/>
      <c r="W19" s="1323"/>
      <c r="X19" s="2831"/>
      <c r="Y19" s="3704"/>
      <c r="Z19" s="2833"/>
      <c r="AA19" s="1325">
        <v>1</v>
      </c>
      <c r="AB19" s="1325">
        <v>1</v>
      </c>
      <c r="AC19" s="1325">
        <v>1</v>
      </c>
    </row>
    <row r="20" spans="1:29" ht="54">
      <c r="A20" s="746"/>
      <c r="B20" s="972" t="s">
        <v>454</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704"/>
      <c r="Q20" s="2832" t="str">
        <f>B20</f>
        <v>自然及人文环境</v>
      </c>
      <c r="R20" s="1322" t="s">
        <v>62</v>
      </c>
      <c r="S20" s="1323">
        <f>F20</f>
        <v>100</v>
      </c>
      <c r="T20" s="1322" t="s">
        <v>62</v>
      </c>
      <c r="U20" s="1323">
        <f>H20</f>
        <v>100</v>
      </c>
      <c r="V20" s="1322" t="s">
        <v>62</v>
      </c>
      <c r="W20" s="1323">
        <f>J20</f>
        <v>100</v>
      </c>
      <c r="X20" s="2831"/>
      <c r="Y20" s="3704"/>
      <c r="Z20" s="283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7"/>
      <c r="L21" s="2357"/>
      <c r="M21" s="2348"/>
      <c r="N21" s="2348"/>
      <c r="O21" s="2348"/>
      <c r="P21" s="3704"/>
      <c r="Q21" s="2832"/>
      <c r="R21" s="1322"/>
      <c r="S21" s="1323"/>
      <c r="T21" s="1322"/>
      <c r="U21" s="1323"/>
      <c r="V21" s="1322"/>
      <c r="W21" s="1323"/>
      <c r="X21" s="2831"/>
      <c r="Y21" s="3704"/>
      <c r="Z21" s="2833"/>
      <c r="AA21" s="1325">
        <v>1</v>
      </c>
      <c r="AB21" s="1325">
        <v>1</v>
      </c>
      <c r="AC21" s="1325">
        <v>1</v>
      </c>
    </row>
    <row r="22" spans="1:29" ht="15">
      <c r="A22" s="746"/>
      <c r="B22" s="972" t="s">
        <v>455</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704"/>
      <c r="Q22" s="2832" t="str">
        <f>B22</f>
        <v>楼层</v>
      </c>
      <c r="R22" s="1322" t="s">
        <v>62</v>
      </c>
      <c r="S22" s="1323">
        <f>F22</f>
        <v>100</v>
      </c>
      <c r="T22" s="1322" t="s">
        <v>62</v>
      </c>
      <c r="U22" s="1323">
        <f>H22</f>
        <v>100</v>
      </c>
      <c r="V22" s="1322" t="s">
        <v>62</v>
      </c>
      <c r="W22" s="1323">
        <f>J22</f>
        <v>100</v>
      </c>
      <c r="X22" s="2831"/>
      <c r="Y22" s="3704"/>
      <c r="Z22" s="283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704"/>
      <c r="Q23" s="2832">
        <f>B23</f>
        <v>111</v>
      </c>
      <c r="R23" s="1322" t="s">
        <v>62</v>
      </c>
      <c r="S23" s="1323">
        <f>F23</f>
        <v>100</v>
      </c>
      <c r="T23" s="1322" t="s">
        <v>62</v>
      </c>
      <c r="U23" s="1323">
        <f>H23</f>
        <v>100</v>
      </c>
      <c r="V23" s="1322" t="s">
        <v>62</v>
      </c>
      <c r="W23" s="1323">
        <f>J23</f>
        <v>100</v>
      </c>
      <c r="X23" s="2831"/>
      <c r="Y23" s="3704"/>
      <c r="Z23" s="283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704"/>
      <c r="Q24" s="2832">
        <f t="shared" ref="Q24:Q36" si="11">B24</f>
        <v>111</v>
      </c>
      <c r="R24" s="1322" t="s">
        <v>62</v>
      </c>
      <c r="S24" s="1323">
        <f>F24</f>
        <v>100</v>
      </c>
      <c r="T24" s="1322" t="s">
        <v>62</v>
      </c>
      <c r="U24" s="1323">
        <f>H24</f>
        <v>100</v>
      </c>
      <c r="V24" s="1322" t="s">
        <v>62</v>
      </c>
      <c r="W24" s="1323">
        <f>J24</f>
        <v>100</v>
      </c>
      <c r="X24" s="2831"/>
      <c r="Y24" s="3704"/>
      <c r="Z24" s="2833">
        <f>Q24</f>
        <v>111</v>
      </c>
      <c r="AA24" s="1325">
        <f t="shared" si="3"/>
        <v>1</v>
      </c>
      <c r="AB24" s="1325">
        <f t="shared" si="4"/>
        <v>1</v>
      </c>
      <c r="AC24" s="1325">
        <f t="shared" si="5"/>
        <v>1</v>
      </c>
    </row>
    <row r="25" spans="1:29" s="407"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5"/>
      <c r="L25" s="2349"/>
      <c r="M25" s="2350"/>
      <c r="N25" s="2350"/>
      <c r="O25" s="2350"/>
      <c r="P25" s="3704"/>
      <c r="Q25" s="2830">
        <f t="shared" si="11"/>
        <v>111</v>
      </c>
      <c r="R25" s="1317" t="s">
        <v>62</v>
      </c>
      <c r="S25" s="1318">
        <f>F25</f>
        <v>100</v>
      </c>
      <c r="T25" s="1317" t="s">
        <v>62</v>
      </c>
      <c r="U25" s="1318">
        <f>H25</f>
        <v>100</v>
      </c>
      <c r="V25" s="1317" t="s">
        <v>62</v>
      </c>
      <c r="W25" s="1318">
        <f>J25</f>
        <v>100</v>
      </c>
      <c r="X25" s="1319"/>
      <c r="Y25" s="3704"/>
      <c r="Z25" s="344">
        <f>Q25</f>
        <v>111</v>
      </c>
      <c r="AA25" s="1325">
        <f>D25/F25</f>
        <v>1</v>
      </c>
      <c r="AB25" s="1325">
        <f>D25/H25</f>
        <v>1</v>
      </c>
      <c r="AC25" s="1325">
        <f>D25/J25</f>
        <v>1</v>
      </c>
    </row>
    <row r="26" spans="1:29" ht="28.5">
      <c r="A26" s="993" t="s">
        <v>405</v>
      </c>
      <c r="B26" s="360" t="s">
        <v>456</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705" t="s">
        <v>406</v>
      </c>
      <c r="Q26" s="2832" t="str">
        <f t="shared" si="11"/>
        <v>配套类型</v>
      </c>
      <c r="R26" s="1322" t="s">
        <v>62</v>
      </c>
      <c r="S26" s="1323">
        <f t="shared" ref="S26:S36" si="12">F26</f>
        <v>100</v>
      </c>
      <c r="T26" s="1322" t="s">
        <v>62</v>
      </c>
      <c r="U26" s="1323">
        <f t="shared" ref="U26:U36" si="13">H26</f>
        <v>100</v>
      </c>
      <c r="V26" s="1322" t="s">
        <v>62</v>
      </c>
      <c r="W26" s="1323">
        <f t="shared" ref="W26:W36" si="14">J26</f>
        <v>100</v>
      </c>
      <c r="X26" s="2831"/>
      <c r="Y26" s="3706" t="s">
        <v>406</v>
      </c>
      <c r="Z26" s="2833" t="str">
        <f t="shared" ref="Z26:Z36" si="15">Q26</f>
        <v>配套类型</v>
      </c>
      <c r="AA26" s="1325">
        <f t="shared" si="3"/>
        <v>1</v>
      </c>
      <c r="AB26" s="1325">
        <f t="shared" si="4"/>
        <v>1</v>
      </c>
      <c r="AC26" s="1325">
        <f t="shared" si="5"/>
        <v>1</v>
      </c>
    </row>
    <row r="27" spans="1:29" s="813"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5"/>
      <c r="L27" s="2355"/>
      <c r="M27" s="2358"/>
      <c r="N27" s="2358"/>
      <c r="O27" s="2358"/>
      <c r="P27" s="3706"/>
      <c r="Q27" s="1326" t="str">
        <f t="shared" si="11"/>
        <v>项目停车位配比</v>
      </c>
      <c r="R27" s="1327" t="s">
        <v>62</v>
      </c>
      <c r="S27" s="1328">
        <f t="shared" si="12"/>
        <v>100</v>
      </c>
      <c r="T27" s="1327" t="s">
        <v>62</v>
      </c>
      <c r="U27" s="1328">
        <f t="shared" si="13"/>
        <v>100</v>
      </c>
      <c r="V27" s="1327" t="s">
        <v>62</v>
      </c>
      <c r="W27" s="1328">
        <f t="shared" si="14"/>
        <v>100</v>
      </c>
      <c r="X27" s="1329"/>
      <c r="Y27" s="3706"/>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706"/>
      <c r="Q28" s="2832" t="str">
        <f t="shared" si="11"/>
        <v>公共部分装修</v>
      </c>
      <c r="R28" s="1322" t="s">
        <v>62</v>
      </c>
      <c r="S28" s="1323">
        <f t="shared" si="12"/>
        <v>100</v>
      </c>
      <c r="T28" s="1322" t="s">
        <v>62</v>
      </c>
      <c r="U28" s="1323">
        <f t="shared" si="13"/>
        <v>100</v>
      </c>
      <c r="V28" s="1322" t="s">
        <v>62</v>
      </c>
      <c r="W28" s="1323">
        <f t="shared" si="14"/>
        <v>100</v>
      </c>
      <c r="X28" s="2831"/>
      <c r="Y28" s="3706"/>
      <c r="Z28" s="2833" t="str">
        <f t="shared" si="15"/>
        <v>公共部分装修</v>
      </c>
      <c r="AA28" s="1325">
        <f t="shared" si="3"/>
        <v>1</v>
      </c>
      <c r="AB28" s="1325">
        <f t="shared" si="4"/>
        <v>1</v>
      </c>
      <c r="AC28" s="1325">
        <f t="shared" si="5"/>
        <v>1</v>
      </c>
    </row>
    <row r="29" spans="1:29" ht="15">
      <c r="A29" s="997"/>
      <c r="B29" s="995" t="s">
        <v>459</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706"/>
      <c r="Q29" s="2832" t="str">
        <f t="shared" si="11"/>
        <v>成新率</v>
      </c>
      <c r="R29" s="1322" t="s">
        <v>62</v>
      </c>
      <c r="S29" s="1323" t="e">
        <f t="shared" si="12"/>
        <v>#N/A</v>
      </c>
      <c r="T29" s="1322" t="s">
        <v>62</v>
      </c>
      <c r="U29" s="1323" t="e">
        <f t="shared" si="13"/>
        <v>#N/A</v>
      </c>
      <c r="V29" s="1322" t="s">
        <v>62</v>
      </c>
      <c r="W29" s="1323" t="e">
        <f t="shared" si="14"/>
        <v>#N/A</v>
      </c>
      <c r="X29" s="2831"/>
      <c r="Y29" s="3706"/>
      <c r="Z29" s="2833"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4"/>
      <c r="L30" s="2357"/>
      <c r="M30" s="2348"/>
      <c r="N30" s="2348"/>
      <c r="O30" s="2348"/>
      <c r="P30" s="3706"/>
      <c r="Q30" s="2832" t="str">
        <f t="shared" si="11"/>
        <v>物业等级</v>
      </c>
      <c r="R30" s="1322" t="s">
        <v>62</v>
      </c>
      <c r="S30" s="1323">
        <f t="shared" si="12"/>
        <v>100</v>
      </c>
      <c r="T30" s="1322" t="s">
        <v>62</v>
      </c>
      <c r="U30" s="1323">
        <f t="shared" si="13"/>
        <v>100</v>
      </c>
      <c r="V30" s="1322" t="s">
        <v>62</v>
      </c>
      <c r="W30" s="1323">
        <f t="shared" si="14"/>
        <v>100</v>
      </c>
      <c r="X30" s="2831"/>
      <c r="Y30" s="3706"/>
      <c r="Z30" s="2833" t="str">
        <f t="shared" si="15"/>
        <v>物业等级</v>
      </c>
      <c r="AA30" s="1325">
        <f t="shared" si="3"/>
        <v>1</v>
      </c>
      <c r="AB30" s="1325">
        <f t="shared" si="4"/>
        <v>1</v>
      </c>
      <c r="AC30" s="1325">
        <f t="shared" si="5"/>
        <v>1</v>
      </c>
    </row>
    <row r="31" spans="1:29" s="407" customFormat="1" ht="15">
      <c r="A31" s="999"/>
      <c r="B31" s="995" t="s">
        <v>461</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706"/>
      <c r="Q31" s="2830" t="str">
        <f t="shared" si="11"/>
        <v>停车位面积</v>
      </c>
      <c r="R31" s="1317" t="s">
        <v>62</v>
      </c>
      <c r="S31" s="1318" t="e">
        <f t="shared" si="12"/>
        <v>#N/A</v>
      </c>
      <c r="T31" s="1317" t="s">
        <v>62</v>
      </c>
      <c r="U31" s="1318" t="e">
        <f t="shared" si="13"/>
        <v>#N/A</v>
      </c>
      <c r="V31" s="1317" t="s">
        <v>62</v>
      </c>
      <c r="W31" s="1318" t="e">
        <f t="shared" si="14"/>
        <v>#N/A</v>
      </c>
      <c r="X31" s="1319"/>
      <c r="Y31" s="3706"/>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706" t="s">
        <v>406</v>
      </c>
      <c r="Q32" s="2832" t="str">
        <f t="shared" si="11"/>
        <v>车位类型</v>
      </c>
      <c r="R32" s="1322" t="s">
        <v>62</v>
      </c>
      <c r="S32" s="1323">
        <f t="shared" si="12"/>
        <v>100</v>
      </c>
      <c r="T32" s="1322" t="s">
        <v>62</v>
      </c>
      <c r="U32" s="1323">
        <f t="shared" si="13"/>
        <v>100</v>
      </c>
      <c r="V32" s="1322" t="s">
        <v>62</v>
      </c>
      <c r="W32" s="1323">
        <f t="shared" si="14"/>
        <v>100</v>
      </c>
      <c r="X32" s="2831"/>
      <c r="Y32" s="3706" t="s">
        <v>406</v>
      </c>
      <c r="Z32" s="2833"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706"/>
      <c r="Q33" s="2832" t="str">
        <f t="shared" si="11"/>
        <v>是否直接入户</v>
      </c>
      <c r="R33" s="1322" t="s">
        <v>62</v>
      </c>
      <c r="S33" s="1323">
        <f t="shared" si="12"/>
        <v>100</v>
      </c>
      <c r="T33" s="1322" t="s">
        <v>62</v>
      </c>
      <c r="U33" s="1323">
        <f t="shared" si="13"/>
        <v>100</v>
      </c>
      <c r="V33" s="1322" t="s">
        <v>62</v>
      </c>
      <c r="W33" s="1323">
        <f t="shared" si="14"/>
        <v>100</v>
      </c>
      <c r="X33" s="2831"/>
      <c r="Y33" s="3706"/>
      <c r="Z33" s="283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706"/>
      <c r="Q34" s="2832">
        <f t="shared" si="11"/>
        <v>111</v>
      </c>
      <c r="R34" s="1322" t="s">
        <v>62</v>
      </c>
      <c r="S34" s="1323">
        <f t="shared" si="12"/>
        <v>100</v>
      </c>
      <c r="T34" s="1322" t="s">
        <v>62</v>
      </c>
      <c r="U34" s="1323">
        <f t="shared" si="13"/>
        <v>100</v>
      </c>
      <c r="V34" s="1322" t="s">
        <v>62</v>
      </c>
      <c r="W34" s="1323">
        <f t="shared" si="14"/>
        <v>100</v>
      </c>
      <c r="X34" s="2831"/>
      <c r="Y34" s="3706"/>
      <c r="Z34" s="2833">
        <f t="shared" si="15"/>
        <v>111</v>
      </c>
      <c r="AA34" s="1325">
        <f t="shared" si="3"/>
        <v>1</v>
      </c>
      <c r="AB34" s="1325">
        <f t="shared" si="4"/>
        <v>1</v>
      </c>
      <c r="AC34" s="1325">
        <f t="shared" si="5"/>
        <v>1</v>
      </c>
    </row>
    <row r="35" spans="1:29" s="813"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706"/>
      <c r="Q35" s="1326">
        <f t="shared" si="11"/>
        <v>111</v>
      </c>
      <c r="R35" s="1327" t="s">
        <v>62</v>
      </c>
      <c r="S35" s="1328">
        <f t="shared" si="12"/>
        <v>100</v>
      </c>
      <c r="T35" s="1327" t="s">
        <v>62</v>
      </c>
      <c r="U35" s="1328">
        <f t="shared" si="13"/>
        <v>100</v>
      </c>
      <c r="V35" s="1327" t="s">
        <v>62</v>
      </c>
      <c r="W35" s="1328">
        <f t="shared" si="14"/>
        <v>100</v>
      </c>
      <c r="X35" s="1329"/>
      <c r="Y35" s="3706"/>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706"/>
      <c r="Q36" s="2832">
        <f t="shared" si="11"/>
        <v>111</v>
      </c>
      <c r="R36" s="1322" t="s">
        <v>62</v>
      </c>
      <c r="S36" s="1323">
        <f t="shared" si="12"/>
        <v>100</v>
      </c>
      <c r="T36" s="1322" t="s">
        <v>62</v>
      </c>
      <c r="U36" s="1323">
        <f t="shared" si="13"/>
        <v>100</v>
      </c>
      <c r="V36" s="1322" t="s">
        <v>62</v>
      </c>
      <c r="W36" s="1323">
        <f t="shared" si="14"/>
        <v>100</v>
      </c>
      <c r="X36" s="2831"/>
      <c r="Y36" s="3706"/>
      <c r="Z36" s="2833">
        <f t="shared" si="15"/>
        <v>111</v>
      </c>
      <c r="AA36" s="1325">
        <f t="shared" si="3"/>
        <v>1</v>
      </c>
      <c r="AB36" s="1325">
        <f t="shared" si="4"/>
        <v>1</v>
      </c>
      <c r="AC36" s="1325">
        <f t="shared" si="5"/>
        <v>1</v>
      </c>
    </row>
    <row r="37" spans="1:29" ht="15">
      <c r="A37" s="163" t="s">
        <v>2130</v>
      </c>
      <c r="B37" s="2098" t="s">
        <v>2131</v>
      </c>
      <c r="C37" s="2834" t="s">
        <v>23</v>
      </c>
      <c r="D37" s="2835"/>
      <c r="E37" s="2836"/>
      <c r="F37" s="2837"/>
      <c r="G37" s="2838"/>
      <c r="H37" s="2839"/>
      <c r="I37" s="2836"/>
      <c r="J37" s="2839"/>
      <c r="K37" s="960"/>
      <c r="L37" s="2360"/>
      <c r="M37" s="2361"/>
      <c r="N37" s="2348"/>
      <c r="O37" s="2361"/>
      <c r="P37" s="3688" t="str">
        <f>A37</f>
        <v>成交单价</v>
      </c>
      <c r="Q37" s="3688"/>
      <c r="R37" s="3707">
        <f>E37</f>
        <v>0</v>
      </c>
      <c r="S37" s="3707"/>
      <c r="T37" s="3707">
        <f>G37</f>
        <v>0</v>
      </c>
      <c r="U37" s="3707"/>
      <c r="V37" s="3707">
        <f>I37</f>
        <v>0</v>
      </c>
      <c r="W37" s="3707"/>
      <c r="X37" s="1305"/>
      <c r="Y37" s="1331"/>
      <c r="Z37" s="1305"/>
      <c r="AA37" s="1305"/>
      <c r="AB37" s="1305"/>
      <c r="AC37" s="1305"/>
    </row>
    <row r="38" spans="1:29" ht="15.75" thickBot="1">
      <c r="A38" s="828" t="s">
        <v>408</v>
      </c>
      <c r="B38" s="166" t="str">
        <f>B37</f>
        <v>元/车位</v>
      </c>
      <c r="C38" s="2840" t="e">
        <f>R39</f>
        <v>#DIV/0!</v>
      </c>
      <c r="D38" s="2841"/>
      <c r="E38" s="2842" t="e">
        <f>R38</f>
        <v>#DIV/0!</v>
      </c>
      <c r="F38" s="2842"/>
      <c r="G38" s="2840" t="e">
        <f>T38</f>
        <v>#DIV/0!</v>
      </c>
      <c r="H38" s="2841"/>
      <c r="I38" s="2842" t="e">
        <f>V38</f>
        <v>#DIV/0!</v>
      </c>
      <c r="J38" s="2841"/>
      <c r="K38" s="961"/>
      <c r="L38" s="2360"/>
      <c r="M38" s="2361"/>
      <c r="N38" s="2361"/>
      <c r="O38" s="2361"/>
      <c r="P38" s="3688" t="str">
        <f>A38</f>
        <v>比较价值（元/平方米）</v>
      </c>
      <c r="Q38" s="3688"/>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1305"/>
      <c r="Y38" s="1305"/>
      <c r="Z38" s="1305"/>
      <c r="AA38" s="1305"/>
      <c r="AB38" s="1305"/>
      <c r="AC38" s="1305"/>
    </row>
    <row r="39" spans="1:29" ht="15.75" thickBot="1">
      <c r="A39" s="834" t="s">
        <v>3022</v>
      </c>
      <c r="B39" s="835"/>
      <c r="C39" s="2844" t="e">
        <f>R39</f>
        <v>#DIV/0!</v>
      </c>
      <c r="D39" s="2844"/>
      <c r="E39" s="2844"/>
      <c r="F39" s="2844"/>
      <c r="G39" s="2844"/>
      <c r="H39" s="2844"/>
      <c r="I39" s="2844"/>
      <c r="J39" s="2844"/>
      <c r="K39" s="962"/>
      <c r="L39" s="2360"/>
      <c r="M39" s="2361"/>
      <c r="N39" s="2361"/>
      <c r="O39" s="2361"/>
      <c r="P39" s="3708" t="str">
        <f>A39</f>
        <v>估价对象XX用房的比较价值（楼面单价，元/平方米）</v>
      </c>
      <c r="Q39" s="3709"/>
      <c r="R39" s="3710" t="e">
        <f>IF(F1="售价",ROUND(AVERAGE(R38:V38),0),ROUND(AVERAGE(R38:V38),1))</f>
        <v>#DIV/0!</v>
      </c>
      <c r="S39" s="3710"/>
      <c r="T39" s="3710"/>
      <c r="U39" s="3710"/>
      <c r="V39" s="3710"/>
      <c r="W39" s="3710"/>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7"/>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7"/>
      <c r="Q41" s="2361"/>
      <c r="R41" s="2361"/>
      <c r="S41" s="2361"/>
      <c r="T41" s="2361"/>
      <c r="U41" s="2361"/>
      <c r="V41" s="2361"/>
      <c r="W41" s="2361"/>
      <c r="X41" s="2361"/>
      <c r="Y41" s="2361"/>
      <c r="Z41" s="2361"/>
      <c r="AA41" s="2361"/>
      <c r="AB41" s="2361"/>
      <c r="AC41" s="2361"/>
    </row>
    <row r="42" spans="1:29" ht="13.5" customHeight="1">
      <c r="A42" s="2361"/>
      <c r="B42" s="2361"/>
      <c r="C42" s="839" t="s">
        <v>409</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7"/>
      <c r="Q42" s="2361"/>
      <c r="R42" s="2361"/>
      <c r="S42" s="2361"/>
      <c r="T42" s="2361"/>
      <c r="U42" s="2361"/>
      <c r="V42" s="2361"/>
      <c r="W42" s="2361"/>
      <c r="X42" s="2361"/>
      <c r="Y42" s="2361"/>
      <c r="Z42" s="2361"/>
      <c r="AA42" s="2361"/>
      <c r="AB42" s="2361"/>
      <c r="AC42" s="2361"/>
    </row>
    <row r="43" spans="1:29" ht="13.5" customHeight="1">
      <c r="A43" s="2361"/>
      <c r="B43" s="2361"/>
      <c r="C43" s="839" t="s">
        <v>410</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7"/>
      <c r="Q43" s="2361"/>
      <c r="R43" s="2361"/>
      <c r="S43" s="2361"/>
      <c r="T43" s="2361"/>
      <c r="U43" s="2361"/>
      <c r="V43" s="2361"/>
      <c r="W43" s="2361"/>
      <c r="X43" s="2361"/>
      <c r="Y43" s="2361"/>
      <c r="Z43" s="2361"/>
      <c r="AA43" s="2361"/>
      <c r="AB43" s="2361"/>
      <c r="AC43" s="2361"/>
    </row>
    <row r="44" spans="1:29" s="844" customFormat="1" ht="13.5" customHeight="1">
      <c r="A44" s="2362"/>
      <c r="B44" s="2362"/>
      <c r="C44" s="839" t="s">
        <v>411</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8"/>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8"/>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7"/>
      <c r="Q46" s="2361"/>
      <c r="R46" s="2361"/>
      <c r="S46" s="2361"/>
      <c r="T46" s="2361"/>
      <c r="U46" s="2361"/>
      <c r="V46" s="2361"/>
      <c r="W46" s="2361"/>
      <c r="X46" s="2361"/>
      <c r="Y46" s="2361"/>
      <c r="Z46" s="2361"/>
      <c r="AA46" s="2361"/>
      <c r="AB46" s="2361"/>
      <c r="AC46" s="2361"/>
    </row>
    <row r="47" spans="1:29" ht="21.75" thickBot="1">
      <c r="A47" s="2851" t="s">
        <v>412</v>
      </c>
      <c r="B47" s="2361"/>
      <c r="C47" s="2377"/>
      <c r="D47" s="2377"/>
      <c r="E47" s="2377"/>
      <c r="F47" s="2852"/>
      <c r="G47" s="2852"/>
      <c r="H47" s="2377"/>
      <c r="I47" s="2377"/>
      <c r="J47" s="2377"/>
      <c r="K47" s="2378"/>
      <c r="L47" s="2379"/>
      <c r="M47" s="2377"/>
      <c r="N47" s="2377"/>
      <c r="O47" s="2377"/>
      <c r="P47" s="2849"/>
      <c r="Q47" s="2850"/>
      <c r="R47" s="2361"/>
      <c r="S47" s="2361"/>
      <c r="T47" s="2361"/>
      <c r="U47" s="2361"/>
      <c r="V47" s="2361"/>
      <c r="W47" s="2361"/>
      <c r="X47" s="2361"/>
      <c r="Y47" s="2361"/>
      <c r="Z47" s="2361"/>
      <c r="AA47" s="2361"/>
      <c r="AB47" s="2361"/>
      <c r="AC47" s="2361"/>
    </row>
    <row r="48" spans="1:29" s="850" customFormat="1" ht="15">
      <c r="A48" s="847" t="s">
        <v>2792</v>
      </c>
      <c r="B48" s="848"/>
      <c r="C48" s="3043" t="str">
        <f>YEAR(C7)&amp;"-"&amp;MONTH(C7)</f>
        <v>2017-9</v>
      </c>
      <c r="D48" s="3044">
        <f>EDATE(C48,-1)</f>
        <v>42948</v>
      </c>
      <c r="E48" s="3044">
        <f t="shared" ref="E48:O48" si="16">EDATE(D48,-1)</f>
        <v>42917</v>
      </c>
      <c r="F48" s="3044">
        <f t="shared" si="16"/>
        <v>42887</v>
      </c>
      <c r="G48" s="3044">
        <f t="shared" si="16"/>
        <v>42856</v>
      </c>
      <c r="H48" s="3044">
        <f t="shared" si="16"/>
        <v>42826</v>
      </c>
      <c r="I48" s="3044">
        <f t="shared" si="16"/>
        <v>42795</v>
      </c>
      <c r="J48" s="3044">
        <f t="shared" si="16"/>
        <v>42767</v>
      </c>
      <c r="K48" s="3044">
        <f t="shared" si="16"/>
        <v>42736</v>
      </c>
      <c r="L48" s="3044">
        <f t="shared" si="16"/>
        <v>42705</v>
      </c>
      <c r="M48" s="3044">
        <f t="shared" si="16"/>
        <v>42675</v>
      </c>
      <c r="N48" s="3044">
        <f t="shared" si="16"/>
        <v>42644</v>
      </c>
      <c r="O48" s="3044">
        <f t="shared" si="16"/>
        <v>42614</v>
      </c>
      <c r="P48" s="2865"/>
      <c r="Q48" s="2866"/>
      <c r="R48" s="2866"/>
      <c r="S48" s="2866"/>
      <c r="T48" s="2866"/>
      <c r="U48" s="2866"/>
      <c r="V48" s="2866"/>
      <c r="W48" s="2866"/>
      <c r="X48" s="2866"/>
      <c r="Y48" s="2866"/>
      <c r="Z48" s="2866"/>
      <c r="AA48" s="2866"/>
      <c r="AB48" s="2866"/>
      <c r="AC48" s="2866"/>
    </row>
    <row r="49" spans="1:29" s="407" customFormat="1" ht="15">
      <c r="A49" s="851"/>
      <c r="B49" s="852"/>
      <c r="C49" s="3032">
        <v>100</v>
      </c>
      <c r="D49" s="854"/>
      <c r="E49" s="854"/>
      <c r="F49" s="854"/>
      <c r="G49" s="854"/>
      <c r="H49" s="854"/>
      <c r="I49" s="854"/>
      <c r="J49" s="854"/>
      <c r="K49" s="854"/>
      <c r="L49" s="854"/>
      <c r="M49" s="855"/>
      <c r="N49" s="854"/>
      <c r="O49" s="855"/>
      <c r="P49" s="2855"/>
      <c r="Q49" s="2854"/>
      <c r="R49" s="2854"/>
      <c r="S49" s="2854"/>
      <c r="T49" s="2854"/>
      <c r="U49" s="2854"/>
      <c r="V49" s="2854"/>
      <c r="W49" s="2854"/>
      <c r="X49" s="2854"/>
      <c r="Y49" s="2854"/>
      <c r="Z49" s="2854"/>
      <c r="AA49" s="2854"/>
      <c r="AB49" s="2854"/>
      <c r="AC49" s="2854"/>
    </row>
    <row r="50" spans="1:29" s="407" customFormat="1" ht="15.75" thickBot="1">
      <c r="A50" s="857" t="s">
        <v>413</v>
      </c>
      <c r="B50" s="858"/>
      <c r="C50" s="859"/>
      <c r="D50" s="860"/>
      <c r="E50" s="860"/>
      <c r="F50" s="860"/>
      <c r="G50" s="860"/>
      <c r="H50" s="860"/>
      <c r="I50" s="860"/>
      <c r="J50" s="860"/>
      <c r="K50" s="860"/>
      <c r="L50" s="860"/>
      <c r="M50" s="861"/>
      <c r="N50" s="860"/>
      <c r="O50" s="861"/>
      <c r="P50" s="2855"/>
      <c r="Q50" s="2850"/>
      <c r="R50" s="2854"/>
      <c r="S50" s="2854"/>
      <c r="T50" s="2854"/>
      <c r="U50" s="2854"/>
      <c r="V50" s="2854"/>
      <c r="W50" s="2854"/>
      <c r="X50" s="2854"/>
      <c r="Y50" s="2854"/>
      <c r="Z50" s="2854"/>
      <c r="AA50" s="2854"/>
      <c r="AB50" s="2854"/>
      <c r="AC50" s="2854"/>
    </row>
    <row r="51" spans="1:29" s="407" customFormat="1" ht="15">
      <c r="A51" s="863" t="s">
        <v>397</v>
      </c>
      <c r="B51" s="852"/>
      <c r="C51" s="864" t="s">
        <v>414</v>
      </c>
      <c r="D51" s="865"/>
      <c r="E51" s="865"/>
      <c r="F51" s="865"/>
      <c r="G51" s="865"/>
      <c r="H51" s="865"/>
      <c r="I51" s="865"/>
      <c r="J51" s="865"/>
      <c r="K51" s="865"/>
      <c r="L51" s="866"/>
      <c r="M51" s="867"/>
      <c r="N51" s="2368"/>
      <c r="O51" s="2368"/>
      <c r="P51" s="2853"/>
      <c r="Q51" s="2850"/>
      <c r="R51" s="2854"/>
      <c r="S51" s="2854"/>
      <c r="T51" s="2854"/>
      <c r="U51" s="2854"/>
      <c r="V51" s="2854"/>
      <c r="W51" s="2854"/>
      <c r="X51" s="2854"/>
      <c r="Y51" s="2854"/>
      <c r="Z51" s="2854"/>
      <c r="AA51" s="2854"/>
      <c r="AB51" s="2854"/>
      <c r="AC51" s="2854"/>
    </row>
    <row r="52" spans="1:29" s="407" customFormat="1" ht="15.75" thickBot="1">
      <c r="A52" s="863"/>
      <c r="B52" s="852"/>
      <c r="C52" s="980">
        <v>100</v>
      </c>
      <c r="D52" s="854"/>
      <c r="E52" s="854"/>
      <c r="F52" s="854"/>
      <c r="G52" s="854"/>
      <c r="H52" s="854"/>
      <c r="I52" s="854"/>
      <c r="J52" s="854"/>
      <c r="K52" s="854"/>
      <c r="L52" s="854"/>
      <c r="M52" s="856"/>
      <c r="N52" s="2368"/>
      <c r="O52" s="2368"/>
      <c r="P52" s="2855"/>
      <c r="Q52" s="2850"/>
      <c r="R52" s="2854"/>
      <c r="S52" s="2854"/>
      <c r="T52" s="2854"/>
      <c r="U52" s="2854"/>
      <c r="V52" s="2854"/>
      <c r="W52" s="2854"/>
      <c r="X52" s="2854"/>
      <c r="Y52" s="2854"/>
      <c r="Z52" s="2854"/>
      <c r="AA52" s="2854"/>
      <c r="AB52" s="2854"/>
      <c r="AC52" s="2854"/>
    </row>
    <row r="53" spans="1:29">
      <c r="A53" s="869" t="s">
        <v>415</v>
      </c>
      <c r="B53" s="870" t="s">
        <v>416</v>
      </c>
      <c r="C53" s="871">
        <f>C9</f>
        <v>0</v>
      </c>
      <c r="D53" s="872"/>
      <c r="E53" s="872"/>
      <c r="F53" s="872"/>
      <c r="G53" s="872"/>
      <c r="H53" s="872"/>
      <c r="I53" s="872"/>
      <c r="J53" s="872"/>
      <c r="K53" s="873"/>
      <c r="L53" s="874"/>
      <c r="M53" s="875"/>
      <c r="N53" s="2369"/>
      <c r="O53" s="2369"/>
      <c r="P53" s="2856"/>
      <c r="Q53" s="2850"/>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6"/>
      <c r="Q54" s="2850"/>
      <c r="R54" s="2361"/>
      <c r="S54" s="2361"/>
      <c r="T54" s="2361"/>
      <c r="U54" s="2361"/>
      <c r="V54" s="2361"/>
      <c r="W54" s="2361"/>
      <c r="X54" s="2361"/>
      <c r="Y54" s="2361"/>
      <c r="Z54" s="2361"/>
      <c r="AA54" s="2361"/>
      <c r="AB54" s="2361"/>
      <c r="AC54" s="2361"/>
    </row>
    <row r="55" spans="1:29" ht="27.75" thickTop="1">
      <c r="A55" s="876"/>
      <c r="B55" s="880" t="s">
        <v>401</v>
      </c>
      <c r="C55" s="881" t="s">
        <v>417</v>
      </c>
      <c r="D55" s="881" t="s">
        <v>418</v>
      </c>
      <c r="E55" s="881" t="s">
        <v>419</v>
      </c>
      <c r="F55" s="881" t="s">
        <v>420</v>
      </c>
      <c r="G55" s="881" t="s">
        <v>435</v>
      </c>
      <c r="H55" s="881" t="s">
        <v>436</v>
      </c>
      <c r="I55" s="881" t="s">
        <v>437</v>
      </c>
      <c r="J55" s="881"/>
      <c r="K55" s="882"/>
      <c r="L55" s="883"/>
      <c r="M55" s="884"/>
      <c r="N55" s="2369"/>
      <c r="O55" s="2369"/>
      <c r="P55" s="2856"/>
      <c r="Q55" s="2850"/>
      <c r="R55" s="2361"/>
      <c r="S55" s="2361"/>
      <c r="T55" s="2361"/>
      <c r="U55" s="2361"/>
      <c r="V55" s="2361"/>
      <c r="W55" s="2361"/>
      <c r="X55" s="2361"/>
      <c r="Y55" s="2361"/>
      <c r="Z55" s="2361"/>
      <c r="AA55" s="2361"/>
      <c r="AB55" s="2361"/>
      <c r="AC55" s="2361"/>
    </row>
    <row r="56" spans="1:29" ht="15.75" thickBot="1">
      <c r="A56" s="876"/>
      <c r="B56" s="885"/>
      <c r="C56" s="886" t="s">
        <v>135</v>
      </c>
      <c r="D56" s="886" t="s">
        <v>136</v>
      </c>
      <c r="E56" s="886">
        <v>100</v>
      </c>
      <c r="F56" s="886">
        <f>E56-$K10</f>
        <v>100</v>
      </c>
      <c r="G56" s="886">
        <f>F56-$K10</f>
        <v>100</v>
      </c>
      <c r="H56" s="886">
        <f>G56-$K10</f>
        <v>100</v>
      </c>
      <c r="I56" s="886">
        <f>H56-$K10</f>
        <v>100</v>
      </c>
      <c r="J56" s="886"/>
      <c r="K56" s="886"/>
      <c r="L56" s="886"/>
      <c r="M56" s="887"/>
      <c r="N56" s="2370"/>
      <c r="O56" s="2370"/>
      <c r="P56" s="2856"/>
      <c r="Q56" s="2850"/>
      <c r="R56" s="2361"/>
      <c r="S56" s="2361"/>
      <c r="T56" s="2361"/>
      <c r="U56" s="2361"/>
      <c r="V56" s="2361"/>
      <c r="W56" s="2361"/>
      <c r="X56" s="2361"/>
      <c r="Y56" s="2361"/>
      <c r="Z56" s="2361"/>
      <c r="AA56" s="2361"/>
      <c r="AB56" s="2361"/>
      <c r="AC56" s="2361"/>
    </row>
    <row r="57" spans="1:29" ht="15.75" thickTop="1">
      <c r="A57" s="876"/>
      <c r="B57" s="1001">
        <f>B11</f>
        <v>111</v>
      </c>
      <c r="C57" s="891"/>
      <c r="D57" s="891"/>
      <c r="E57" s="891"/>
      <c r="F57" s="891"/>
      <c r="G57" s="891"/>
      <c r="H57" s="891"/>
      <c r="I57" s="891"/>
      <c r="J57" s="891"/>
      <c r="K57" s="892"/>
      <c r="L57" s="893"/>
      <c r="M57" s="894"/>
      <c r="N57" s="2369"/>
      <c r="O57" s="2369"/>
      <c r="P57" s="2856"/>
      <c r="Q57" s="2850"/>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6"/>
      <c r="Q58" s="2850"/>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7"/>
      <c r="Q59" s="2858"/>
      <c r="R59" s="2859"/>
      <c r="S59" s="2859"/>
      <c r="T59" s="2859"/>
      <c r="U59" s="2859"/>
      <c r="V59" s="2859"/>
      <c r="W59" s="2859"/>
      <c r="X59" s="2859"/>
      <c r="Y59" s="2859"/>
      <c r="Z59" s="2859"/>
      <c r="AA59" s="2859"/>
      <c r="AB59" s="2859"/>
      <c r="AC59" s="2859"/>
    </row>
    <row r="60" spans="1:29" s="813" customFormat="1" ht="15.75" thickBot="1">
      <c r="A60" s="895"/>
      <c r="B60" s="885"/>
      <c r="C60" s="902"/>
      <c r="D60" s="878"/>
      <c r="E60" s="878"/>
      <c r="F60" s="878"/>
      <c r="G60" s="878"/>
      <c r="H60" s="878"/>
      <c r="I60" s="878"/>
      <c r="J60" s="878"/>
      <c r="K60" s="878"/>
      <c r="L60" s="878"/>
      <c r="M60" s="879"/>
      <c r="N60" s="2370"/>
      <c r="O60" s="2370"/>
      <c r="P60" s="2857"/>
      <c r="Q60" s="2858"/>
      <c r="R60" s="2859"/>
      <c r="S60" s="2859"/>
      <c r="T60" s="2859"/>
      <c r="U60" s="2859"/>
      <c r="V60" s="2859"/>
      <c r="W60" s="2859"/>
      <c r="X60" s="2859"/>
      <c r="Y60" s="2859"/>
      <c r="Z60" s="2859"/>
      <c r="AA60" s="2859"/>
      <c r="AB60" s="2859"/>
      <c r="AC60" s="2859"/>
    </row>
    <row r="61" spans="1:29" s="813" customFormat="1" ht="15.75" thickTop="1">
      <c r="A61" s="895"/>
      <c r="B61" s="880">
        <f>B13</f>
        <v>111</v>
      </c>
      <c r="C61" s="896"/>
      <c r="D61" s="896"/>
      <c r="E61" s="896"/>
      <c r="F61" s="896"/>
      <c r="G61" s="896"/>
      <c r="H61" s="897"/>
      <c r="I61" s="897"/>
      <c r="J61" s="897"/>
      <c r="K61" s="897"/>
      <c r="L61" s="898"/>
      <c r="M61" s="899"/>
      <c r="N61" s="2371"/>
      <c r="O61" s="2371"/>
      <c r="P61" s="2860"/>
      <c r="Q61" s="2861"/>
      <c r="R61" s="2859"/>
      <c r="S61" s="2859"/>
      <c r="T61" s="2859"/>
      <c r="U61" s="2859"/>
      <c r="V61" s="2859"/>
      <c r="W61" s="2859"/>
      <c r="X61" s="2859"/>
      <c r="Y61" s="2859"/>
      <c r="Z61" s="2859"/>
      <c r="AA61" s="2859"/>
      <c r="AB61" s="2859"/>
      <c r="AC61" s="2859"/>
    </row>
    <row r="62" spans="1:29" s="813" customFormat="1" ht="15.75" thickBot="1">
      <c r="A62" s="895"/>
      <c r="B62" s="885"/>
      <c r="C62" s="902"/>
      <c r="D62" s="902"/>
      <c r="E62" s="902"/>
      <c r="F62" s="902"/>
      <c r="G62" s="902"/>
      <c r="H62" s="904"/>
      <c r="I62" s="904"/>
      <c r="J62" s="904"/>
      <c r="K62" s="904"/>
      <c r="L62" s="904"/>
      <c r="M62" s="905"/>
      <c r="N62" s="2371"/>
      <c r="O62" s="2371"/>
      <c r="P62" s="2857"/>
      <c r="Q62" s="2858"/>
      <c r="R62" s="2859"/>
      <c r="S62" s="2859"/>
      <c r="T62" s="2859"/>
      <c r="U62" s="2859"/>
      <c r="V62" s="2859"/>
      <c r="W62" s="2859"/>
      <c r="X62" s="2859"/>
      <c r="Y62" s="2859"/>
      <c r="Z62" s="2859"/>
      <c r="AA62" s="2859"/>
      <c r="AB62" s="2859"/>
      <c r="AC62" s="2859"/>
    </row>
    <row r="63" spans="1:29" ht="15" thickTop="1">
      <c r="A63" s="869" t="s">
        <v>403</v>
      </c>
      <c r="B63" s="870" t="s">
        <v>427</v>
      </c>
      <c r="C63" s="915" t="s">
        <v>422</v>
      </c>
      <c r="D63" s="915" t="s">
        <v>423</v>
      </c>
      <c r="E63" s="915" t="s">
        <v>424</v>
      </c>
      <c r="F63" s="915" t="s">
        <v>425</v>
      </c>
      <c r="G63" s="915" t="s">
        <v>426</v>
      </c>
      <c r="H63" s="871"/>
      <c r="I63" s="871"/>
      <c r="J63" s="871"/>
      <c r="K63" s="916"/>
      <c r="L63" s="917"/>
      <c r="M63" s="918"/>
      <c r="N63" s="2369"/>
      <c r="O63" s="2369"/>
      <c r="P63" s="2862"/>
      <c r="Q63" s="2850"/>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6"/>
      <c r="Q64" s="2850"/>
      <c r="R64" s="2361"/>
      <c r="S64" s="2361"/>
      <c r="T64" s="2361"/>
      <c r="U64" s="2361"/>
      <c r="V64" s="2361"/>
      <c r="W64" s="2361"/>
      <c r="X64" s="2361"/>
      <c r="Y64" s="2361"/>
      <c r="Z64" s="2361"/>
      <c r="AA64" s="2361"/>
      <c r="AB64" s="2361"/>
      <c r="AC64" s="2361"/>
    </row>
    <row r="65" spans="1:29" ht="15.75" thickTop="1">
      <c r="A65" s="876"/>
      <c r="B65" s="1052" t="s">
        <v>2634</v>
      </c>
      <c r="C65" s="920" t="s">
        <v>422</v>
      </c>
      <c r="D65" s="920" t="s">
        <v>423</v>
      </c>
      <c r="E65" s="920" t="s">
        <v>424</v>
      </c>
      <c r="F65" s="920" t="s">
        <v>425</v>
      </c>
      <c r="G65" s="920" t="s">
        <v>426</v>
      </c>
      <c r="H65" s="881"/>
      <c r="I65" s="881"/>
      <c r="J65" s="881"/>
      <c r="K65" s="882"/>
      <c r="L65" s="883"/>
      <c r="M65" s="884"/>
      <c r="N65" s="2369"/>
      <c r="O65" s="2369"/>
      <c r="P65" s="2856"/>
      <c r="Q65" s="2850"/>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6"/>
      <c r="Q66" s="2850"/>
      <c r="R66" s="2361"/>
      <c r="S66" s="2361"/>
      <c r="T66" s="2361"/>
      <c r="U66" s="2361"/>
      <c r="V66" s="2361"/>
      <c r="W66" s="2361"/>
      <c r="X66" s="2361"/>
      <c r="Y66" s="2361"/>
      <c r="Z66" s="2361"/>
      <c r="AA66" s="2361"/>
      <c r="AB66" s="2361"/>
      <c r="AC66" s="2361"/>
    </row>
    <row r="67" spans="1:29" ht="15.75" thickTop="1">
      <c r="A67" s="876"/>
      <c r="B67" s="1054" t="s">
        <v>2664</v>
      </c>
      <c r="C67" s="213" t="s">
        <v>2654</v>
      </c>
      <c r="D67" s="213" t="s">
        <v>2655</v>
      </c>
      <c r="E67" s="213" t="s">
        <v>2656</v>
      </c>
      <c r="F67" s="213" t="s">
        <v>2657</v>
      </c>
      <c r="G67" s="213" t="s">
        <v>2658</v>
      </c>
      <c r="H67" s="881"/>
      <c r="I67" s="881"/>
      <c r="J67" s="881"/>
      <c r="K67" s="881"/>
      <c r="L67" s="881"/>
      <c r="M67" s="2763"/>
      <c r="N67" s="2370"/>
      <c r="O67" s="2370"/>
      <c r="P67" s="2856"/>
      <c r="Q67" s="2850"/>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1"/>
      <c r="I68" s="1001"/>
      <c r="J68" s="1001"/>
      <c r="K68" s="1001"/>
      <c r="L68" s="1001"/>
      <c r="M68" s="792"/>
      <c r="N68" s="2370"/>
      <c r="O68" s="2370"/>
      <c r="P68" s="2856"/>
      <c r="Q68" s="2850"/>
      <c r="R68" s="2361"/>
      <c r="S68" s="2361"/>
      <c r="T68" s="2361"/>
      <c r="U68" s="2361"/>
      <c r="V68" s="2361"/>
      <c r="W68" s="2361"/>
      <c r="X68" s="2361"/>
      <c r="Y68" s="2361"/>
      <c r="Z68" s="2361"/>
      <c r="AA68" s="2361"/>
      <c r="AB68" s="2361"/>
      <c r="AC68" s="2361"/>
    </row>
    <row r="69" spans="1:29" ht="15.75" thickTop="1">
      <c r="A69" s="876"/>
      <c r="B69" s="880" t="s">
        <v>429</v>
      </c>
      <c r="C69" s="920" t="s">
        <v>422</v>
      </c>
      <c r="D69" s="920" t="s">
        <v>423</v>
      </c>
      <c r="E69" s="920" t="s">
        <v>424</v>
      </c>
      <c r="F69" s="920" t="s">
        <v>425</v>
      </c>
      <c r="G69" s="920" t="s">
        <v>426</v>
      </c>
      <c r="H69" s="881"/>
      <c r="I69" s="881"/>
      <c r="J69" s="881"/>
      <c r="K69" s="882"/>
      <c r="L69" s="883"/>
      <c r="M69" s="884"/>
      <c r="N69" s="2369"/>
      <c r="O69" s="2369"/>
      <c r="P69" s="2856"/>
      <c r="Q69" s="2850"/>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6"/>
      <c r="Q70" s="2850"/>
      <c r="R70" s="2361"/>
      <c r="S70" s="2361"/>
      <c r="T70" s="2361"/>
      <c r="U70" s="2361"/>
      <c r="V70" s="2361"/>
      <c r="W70" s="2361"/>
      <c r="X70" s="2361"/>
      <c r="Y70" s="2361"/>
      <c r="Z70" s="2361"/>
      <c r="AA70" s="2361"/>
      <c r="AB70" s="2361"/>
      <c r="AC70" s="2361"/>
    </row>
    <row r="71" spans="1:29" ht="15.75" thickTop="1">
      <c r="A71" s="876"/>
      <c r="B71" s="880" t="s">
        <v>430</v>
      </c>
      <c r="C71" s="896"/>
      <c r="D71" s="896"/>
      <c r="E71" s="896"/>
      <c r="F71" s="896"/>
      <c r="G71" s="896"/>
      <c r="H71" s="925"/>
      <c r="I71" s="925"/>
      <c r="J71" s="925"/>
      <c r="K71" s="926"/>
      <c r="L71" s="927"/>
      <c r="M71" s="928"/>
      <c r="N71" s="2369"/>
      <c r="O71" s="2369"/>
      <c r="P71" s="2856"/>
      <c r="Q71" s="2850"/>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6"/>
      <c r="Q72" s="2850"/>
      <c r="R72" s="2361"/>
      <c r="S72" s="2361"/>
      <c r="T72" s="2361"/>
      <c r="U72" s="2361"/>
      <c r="V72" s="2361"/>
      <c r="W72" s="2361"/>
      <c r="X72" s="2361"/>
      <c r="Y72" s="2361"/>
      <c r="Z72" s="2361"/>
      <c r="AA72" s="2361"/>
      <c r="AB72" s="2361"/>
      <c r="AC72" s="2361"/>
    </row>
    <row r="73" spans="1:29" s="407" customFormat="1" ht="15.75" thickTop="1">
      <c r="A73" s="921"/>
      <c r="B73" s="880">
        <f>B23</f>
        <v>111</v>
      </c>
      <c r="C73" s="891"/>
      <c r="D73" s="891"/>
      <c r="E73" s="891"/>
      <c r="F73" s="891"/>
      <c r="G73" s="896"/>
      <c r="H73" s="896"/>
      <c r="I73" s="896"/>
      <c r="J73" s="896"/>
      <c r="K73" s="896"/>
      <c r="L73" s="922"/>
      <c r="M73" s="923"/>
      <c r="N73" s="2368"/>
      <c r="O73" s="2368"/>
      <c r="P73" s="2856"/>
      <c r="Q73" s="2850"/>
      <c r="R73" s="2854"/>
      <c r="S73" s="2854"/>
      <c r="T73" s="2854"/>
      <c r="U73" s="2854"/>
      <c r="V73" s="2854"/>
      <c r="W73" s="2854"/>
      <c r="X73" s="2854"/>
      <c r="Y73" s="2854"/>
      <c r="Z73" s="2854"/>
      <c r="AA73" s="2854"/>
      <c r="AB73" s="2854"/>
      <c r="AC73" s="2854"/>
    </row>
    <row r="74" spans="1:29" s="407" customFormat="1" ht="15.75" thickBot="1">
      <c r="A74" s="921"/>
      <c r="B74" s="885"/>
      <c r="C74" s="902"/>
      <c r="D74" s="878"/>
      <c r="E74" s="878"/>
      <c r="F74" s="878"/>
      <c r="G74" s="878"/>
      <c r="H74" s="878"/>
      <c r="I74" s="878"/>
      <c r="J74" s="878"/>
      <c r="K74" s="878"/>
      <c r="L74" s="878"/>
      <c r="M74" s="879"/>
      <c r="N74" s="2370"/>
      <c r="O74" s="2370"/>
      <c r="P74" s="2856"/>
      <c r="Q74" s="2850"/>
      <c r="R74" s="2854"/>
      <c r="S74" s="2854"/>
      <c r="T74" s="2854"/>
      <c r="U74" s="2854"/>
      <c r="V74" s="2854"/>
      <c r="W74" s="2854"/>
      <c r="X74" s="2854"/>
      <c r="Y74" s="2854"/>
      <c r="Z74" s="2854"/>
      <c r="AA74" s="2854"/>
      <c r="AB74" s="2854"/>
      <c r="AC74" s="2854"/>
    </row>
    <row r="75" spans="1:29" s="407" customFormat="1" ht="15.75" thickTop="1">
      <c r="A75" s="921"/>
      <c r="B75" s="880">
        <f>B24</f>
        <v>111</v>
      </c>
      <c r="C75" s="891"/>
      <c r="D75" s="891"/>
      <c r="E75" s="891"/>
      <c r="F75" s="891"/>
      <c r="G75" s="896"/>
      <c r="H75" s="896"/>
      <c r="I75" s="896"/>
      <c r="J75" s="896"/>
      <c r="K75" s="896"/>
      <c r="L75" s="896"/>
      <c r="M75" s="923"/>
      <c r="N75" s="2368"/>
      <c r="O75" s="2368"/>
      <c r="P75" s="2856"/>
      <c r="Q75" s="2850"/>
      <c r="R75" s="2854"/>
      <c r="S75" s="2854"/>
      <c r="T75" s="2854"/>
      <c r="U75" s="2854"/>
      <c r="V75" s="2854"/>
      <c r="W75" s="2854"/>
      <c r="X75" s="2854"/>
      <c r="Y75" s="2854"/>
      <c r="Z75" s="2854"/>
      <c r="AA75" s="2854"/>
      <c r="AB75" s="2854"/>
      <c r="AC75" s="2854"/>
    </row>
    <row r="76" spans="1:29" s="407" customFormat="1" ht="15.75" thickBot="1">
      <c r="A76" s="921"/>
      <c r="B76" s="885"/>
      <c r="C76" s="902"/>
      <c r="D76" s="878"/>
      <c r="E76" s="878"/>
      <c r="F76" s="878"/>
      <c r="G76" s="878"/>
      <c r="H76" s="878"/>
      <c r="I76" s="878"/>
      <c r="J76" s="878"/>
      <c r="K76" s="878"/>
      <c r="L76" s="878"/>
      <c r="M76" s="879"/>
      <c r="N76" s="2370"/>
      <c r="O76" s="2370"/>
      <c r="P76" s="2856"/>
      <c r="Q76" s="2850"/>
      <c r="R76" s="2854"/>
      <c r="S76" s="2854"/>
      <c r="T76" s="2854"/>
      <c r="U76" s="2854"/>
      <c r="V76" s="2854"/>
      <c r="W76" s="2854"/>
      <c r="X76" s="2854"/>
      <c r="Y76" s="2854"/>
      <c r="Z76" s="2854"/>
      <c r="AA76" s="2854"/>
      <c r="AB76" s="2854"/>
      <c r="AC76" s="2854"/>
    </row>
    <row r="77" spans="1:29" s="813" customFormat="1" ht="15.75" thickTop="1">
      <c r="A77" s="895"/>
      <c r="B77" s="880">
        <f>B25</f>
        <v>111</v>
      </c>
      <c r="C77" s="896"/>
      <c r="D77" s="896"/>
      <c r="E77" s="896"/>
      <c r="F77" s="896"/>
      <c r="G77" s="896"/>
      <c r="H77" s="897"/>
      <c r="I77" s="897"/>
      <c r="J77" s="897"/>
      <c r="K77" s="897"/>
      <c r="L77" s="898"/>
      <c r="M77" s="899"/>
      <c r="N77" s="2371"/>
      <c r="O77" s="2371"/>
      <c r="P77" s="2857"/>
      <c r="Q77" s="2858"/>
      <c r="R77" s="2859"/>
      <c r="S77" s="2859"/>
      <c r="T77" s="2859"/>
      <c r="U77" s="2859"/>
      <c r="V77" s="2859"/>
      <c r="W77" s="2859"/>
      <c r="X77" s="2859"/>
      <c r="Y77" s="2859"/>
      <c r="Z77" s="2859"/>
      <c r="AA77" s="2859"/>
      <c r="AB77" s="2859"/>
      <c r="AC77" s="2859"/>
    </row>
    <row r="78" spans="1:29" s="813" customFormat="1" ht="15.75" thickBot="1">
      <c r="A78" s="895"/>
      <c r="B78" s="885"/>
      <c r="C78" s="902"/>
      <c r="D78" s="902"/>
      <c r="E78" s="902"/>
      <c r="F78" s="902"/>
      <c r="G78" s="878"/>
      <c r="H78" s="878"/>
      <c r="I78" s="878"/>
      <c r="J78" s="878"/>
      <c r="K78" s="878"/>
      <c r="L78" s="878"/>
      <c r="M78" s="879"/>
      <c r="N78" s="2371"/>
      <c r="O78" s="2371"/>
      <c r="P78" s="2857"/>
      <c r="Q78" s="2858"/>
      <c r="R78" s="2859"/>
      <c r="S78" s="2859"/>
      <c r="T78" s="2859"/>
      <c r="U78" s="2859"/>
      <c r="V78" s="2859"/>
      <c r="W78" s="2859"/>
      <c r="X78" s="2859"/>
      <c r="Y78" s="2859"/>
      <c r="Z78" s="2859"/>
      <c r="AA78" s="2859"/>
      <c r="AB78" s="2859"/>
      <c r="AC78" s="2859"/>
    </row>
    <row r="79" spans="1:29" ht="27.75" thickTop="1">
      <c r="A79" s="869" t="s">
        <v>405</v>
      </c>
      <c r="B79" s="870" t="s">
        <v>464</v>
      </c>
      <c r="C79" s="871">
        <f>C26</f>
        <v>0</v>
      </c>
      <c r="D79" s="872"/>
      <c r="E79" s="872"/>
      <c r="F79" s="872"/>
      <c r="G79" s="872"/>
      <c r="H79" s="872"/>
      <c r="I79" s="872"/>
      <c r="J79" s="872"/>
      <c r="K79" s="873"/>
      <c r="L79" s="874"/>
      <c r="M79" s="875"/>
      <c r="N79" s="2369"/>
      <c r="O79" s="2369"/>
      <c r="P79" s="2856"/>
      <c r="Q79" s="2850"/>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6"/>
      <c r="Q80" s="2850"/>
      <c r="R80" s="2361"/>
      <c r="S80" s="2361"/>
      <c r="T80" s="2361"/>
      <c r="U80" s="2361"/>
      <c r="V80" s="2361"/>
      <c r="W80" s="2361"/>
      <c r="X80" s="2361"/>
      <c r="Y80" s="2361"/>
      <c r="Z80" s="2361"/>
      <c r="AA80" s="2361"/>
      <c r="AB80" s="2361"/>
      <c r="AC80" s="2361"/>
    </row>
    <row r="81" spans="1:29" ht="15.75" thickTop="1">
      <c r="A81" s="876"/>
      <c r="B81" s="880" t="s">
        <v>465</v>
      </c>
      <c r="C81" s="1002"/>
      <c r="D81" s="1002"/>
      <c r="E81" s="1002"/>
      <c r="F81" s="1002"/>
      <c r="G81" s="1002"/>
      <c r="H81" s="1002"/>
      <c r="I81" s="1002"/>
      <c r="J81" s="1002"/>
      <c r="K81" s="1003"/>
      <c r="L81" s="1004"/>
      <c r="M81" s="1005"/>
      <c r="N81" s="2368"/>
      <c r="O81" s="2368"/>
      <c r="P81" s="2856"/>
      <c r="Q81" s="2850"/>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7"/>
      <c r="Q82" s="2858"/>
      <c r="R82" s="2859"/>
      <c r="S82" s="2859"/>
      <c r="T82" s="2859"/>
      <c r="U82" s="2859"/>
      <c r="V82" s="2859"/>
      <c r="W82" s="2859"/>
      <c r="X82" s="2859"/>
      <c r="Y82" s="2859"/>
      <c r="Z82" s="2859"/>
      <c r="AA82" s="2859"/>
      <c r="AB82" s="2859"/>
      <c r="AC82" s="2859"/>
    </row>
    <row r="83" spans="1:29" ht="15" thickTop="1">
      <c r="A83" s="941"/>
      <c r="B83" s="880" t="s">
        <v>431</v>
      </c>
      <c r="C83" s="896"/>
      <c r="D83" s="896"/>
      <c r="E83" s="925"/>
      <c r="F83" s="925"/>
      <c r="G83" s="925"/>
      <c r="H83" s="925"/>
      <c r="I83" s="925"/>
      <c r="J83" s="925"/>
      <c r="K83" s="926"/>
      <c r="L83" s="927"/>
      <c r="M83" s="928"/>
      <c r="N83" s="2369"/>
      <c r="O83" s="2369"/>
      <c r="P83" s="2856"/>
      <c r="Q83" s="2850"/>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6"/>
      <c r="Q84" s="2850"/>
      <c r="R84" s="2361"/>
      <c r="S84" s="2361"/>
      <c r="T84" s="2361"/>
      <c r="U84" s="2361"/>
      <c r="V84" s="2361"/>
      <c r="W84" s="2361"/>
      <c r="X84" s="2361"/>
      <c r="Y84" s="2361"/>
      <c r="Z84" s="2361"/>
      <c r="AA84" s="2361"/>
      <c r="AB84" s="2361"/>
      <c r="AC84" s="2361"/>
    </row>
    <row r="85" spans="1:29" ht="15" thickTop="1">
      <c r="A85" s="941"/>
      <c r="B85" s="880" t="s">
        <v>466</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6"/>
      <c r="Q85" s="2850"/>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4"/>
      <c r="J86" s="964"/>
      <c r="K86" s="965"/>
      <c r="L86" s="966"/>
      <c r="M86" s="967"/>
      <c r="N86" s="2369"/>
      <c r="O86" s="2369"/>
      <c r="P86" s="2856"/>
      <c r="Q86" s="2850"/>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6"/>
      <c r="Q87" s="2850"/>
      <c r="R87" s="2361"/>
      <c r="S87" s="2361"/>
      <c r="T87" s="2361"/>
      <c r="U87" s="2361"/>
      <c r="V87" s="2361"/>
      <c r="W87" s="2361"/>
      <c r="X87" s="2361"/>
      <c r="Y87" s="2361"/>
      <c r="Z87" s="2361"/>
      <c r="AA87" s="2361"/>
      <c r="AB87" s="2361"/>
      <c r="AC87" s="2361"/>
    </row>
    <row r="88" spans="1:29" ht="15" thickTop="1">
      <c r="A88" s="941"/>
      <c r="B88" s="888" t="s">
        <v>467</v>
      </c>
      <c r="C88" s="872"/>
      <c r="D88" s="872"/>
      <c r="E88" s="872"/>
      <c r="F88" s="872"/>
      <c r="G88" s="872"/>
      <c r="H88" s="872"/>
      <c r="I88" s="872"/>
      <c r="J88" s="872"/>
      <c r="K88" s="873"/>
      <c r="L88" s="874"/>
      <c r="M88" s="875"/>
      <c r="N88" s="2369"/>
      <c r="O88" s="2369"/>
      <c r="P88" s="2856"/>
      <c r="Q88" s="2850"/>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6"/>
      <c r="Q89" s="2850"/>
      <c r="R89" s="2361"/>
      <c r="S89" s="2361"/>
      <c r="T89" s="2361"/>
      <c r="U89" s="2361"/>
      <c r="V89" s="2361"/>
      <c r="W89" s="2361"/>
      <c r="X89" s="2361"/>
      <c r="Y89" s="2361"/>
      <c r="Z89" s="2361"/>
      <c r="AA89" s="2361"/>
      <c r="AB89" s="2361"/>
      <c r="AC89" s="2361"/>
    </row>
    <row r="90" spans="1:29" s="813" customFormat="1" ht="15" thickTop="1">
      <c r="A90" s="935"/>
      <c r="B90" s="880" t="s">
        <v>468</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3" t="str">
        <f>M91&amp;"(含)"&amp;"-"&amp;P91</f>
        <v>(含)-</v>
      </c>
      <c r="N90" s="2371"/>
      <c r="O90" s="2371"/>
      <c r="P90" s="2857"/>
      <c r="Q90" s="2858"/>
      <c r="R90" s="2859"/>
      <c r="S90" s="2859"/>
      <c r="T90" s="2859"/>
      <c r="U90" s="2859"/>
      <c r="V90" s="2859"/>
      <c r="W90" s="2859"/>
      <c r="X90" s="2859"/>
      <c r="Y90" s="2859"/>
      <c r="Z90" s="2859"/>
      <c r="AA90" s="2859"/>
      <c r="AB90" s="2859"/>
      <c r="AC90" s="2859"/>
    </row>
    <row r="91" spans="1:29" s="813" customFormat="1">
      <c r="A91" s="935"/>
      <c r="B91" s="888"/>
      <c r="C91" s="937"/>
      <c r="D91" s="937"/>
      <c r="E91" s="937"/>
      <c r="F91" s="937"/>
      <c r="G91" s="937"/>
      <c r="H91" s="937"/>
      <c r="I91" s="937"/>
      <c r="J91" s="938"/>
      <c r="K91" s="938"/>
      <c r="L91" s="939"/>
      <c r="M91" s="940"/>
      <c r="N91" s="2371"/>
      <c r="O91" s="2371"/>
      <c r="P91" s="2857"/>
      <c r="Q91" s="2858"/>
      <c r="R91" s="2859"/>
      <c r="S91" s="2859"/>
      <c r="T91" s="2859"/>
      <c r="U91" s="2859"/>
      <c r="V91" s="2859"/>
      <c r="W91" s="2859"/>
      <c r="X91" s="2859"/>
      <c r="Y91" s="2859"/>
      <c r="Z91" s="2859"/>
      <c r="AA91" s="2859"/>
      <c r="AB91" s="2859"/>
      <c r="AC91" s="2859"/>
    </row>
    <row r="92" spans="1:29" s="813" customFormat="1" ht="15.75" thickBot="1">
      <c r="A92" s="895"/>
      <c r="B92" s="885"/>
      <c r="C92" s="902"/>
      <c r="D92" s="878"/>
      <c r="E92" s="878"/>
      <c r="F92" s="878"/>
      <c r="G92" s="878"/>
      <c r="H92" s="878"/>
      <c r="I92" s="878"/>
      <c r="J92" s="878"/>
      <c r="K92" s="878"/>
      <c r="L92" s="878"/>
      <c r="M92" s="879"/>
      <c r="N92" s="2371"/>
      <c r="O92" s="2371"/>
      <c r="P92" s="2857"/>
      <c r="Q92" s="2858"/>
      <c r="R92" s="2859"/>
      <c r="S92" s="2859"/>
      <c r="T92" s="2859"/>
      <c r="U92" s="2859"/>
      <c r="V92" s="2859"/>
      <c r="W92" s="2859"/>
      <c r="X92" s="2859"/>
      <c r="Y92" s="2859"/>
      <c r="Z92" s="2859"/>
      <c r="AA92" s="2859"/>
      <c r="AB92" s="2859"/>
      <c r="AC92" s="2859"/>
    </row>
    <row r="93" spans="1:29" ht="15" thickTop="1">
      <c r="A93" s="941"/>
      <c r="B93" s="880" t="s">
        <v>469</v>
      </c>
      <c r="C93" s="896"/>
      <c r="D93" s="896"/>
      <c r="E93" s="925"/>
      <c r="F93" s="925"/>
      <c r="G93" s="925"/>
      <c r="H93" s="925"/>
      <c r="I93" s="925"/>
      <c r="J93" s="925"/>
      <c r="K93" s="926"/>
      <c r="L93" s="927"/>
      <c r="M93" s="928"/>
      <c r="N93" s="2369"/>
      <c r="O93" s="2369"/>
      <c r="P93" s="2856"/>
      <c r="Q93" s="2850"/>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6"/>
      <c r="Q94" s="2850"/>
      <c r="R94" s="2361"/>
      <c r="S94" s="2361"/>
      <c r="T94" s="2361"/>
      <c r="U94" s="2361"/>
      <c r="V94" s="2361"/>
      <c r="W94" s="2361"/>
      <c r="X94" s="2361"/>
      <c r="Y94" s="2361"/>
      <c r="Z94" s="2361"/>
      <c r="AA94" s="2361"/>
      <c r="AB94" s="2361"/>
      <c r="AC94" s="2361"/>
    </row>
    <row r="95" spans="1:29" ht="15" thickTop="1">
      <c r="A95" s="941"/>
      <c r="B95" s="880" t="s">
        <v>470</v>
      </c>
      <c r="C95" s="872"/>
      <c r="D95" s="872"/>
      <c r="E95" s="872"/>
      <c r="F95" s="872"/>
      <c r="G95" s="872"/>
      <c r="H95" s="872"/>
      <c r="I95" s="872"/>
      <c r="J95" s="872"/>
      <c r="K95" s="873"/>
      <c r="L95" s="874"/>
      <c r="M95" s="875"/>
      <c r="N95" s="2369"/>
      <c r="O95" s="2369"/>
      <c r="P95" s="2856"/>
      <c r="Q95" s="2850"/>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6"/>
      <c r="Q96" s="2850"/>
      <c r="R96" s="2361"/>
      <c r="S96" s="2361"/>
      <c r="T96" s="2361"/>
      <c r="U96" s="2361"/>
      <c r="V96" s="2361"/>
      <c r="W96" s="2361"/>
      <c r="X96" s="2361"/>
      <c r="Y96" s="2361"/>
      <c r="Z96" s="2361"/>
      <c r="AA96" s="2361"/>
      <c r="AB96" s="2361"/>
      <c r="AC96" s="2361"/>
    </row>
    <row r="97" spans="1:29" ht="15" thickTop="1">
      <c r="A97" s="941"/>
      <c r="B97" s="977">
        <f>B34</f>
        <v>111</v>
      </c>
      <c r="C97" s="891"/>
      <c r="D97" s="891"/>
      <c r="E97" s="891"/>
      <c r="F97" s="891"/>
      <c r="G97" s="896"/>
      <c r="H97" s="897"/>
      <c r="I97" s="897"/>
      <c r="J97" s="897"/>
      <c r="K97" s="897"/>
      <c r="L97" s="898"/>
      <c r="M97" s="899"/>
      <c r="N97" s="2370"/>
      <c r="O97" s="2370"/>
      <c r="P97" s="2863"/>
      <c r="Q97" s="2864"/>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6"/>
      <c r="Q98" s="2850"/>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7"/>
      <c r="Q99" s="2858"/>
      <c r="R99" s="2859"/>
      <c r="S99" s="2859"/>
      <c r="T99" s="2859"/>
      <c r="U99" s="2859"/>
      <c r="V99" s="2859"/>
      <c r="W99" s="2859"/>
      <c r="X99" s="2859"/>
      <c r="Y99" s="2859"/>
      <c r="Z99" s="2859"/>
      <c r="AA99" s="2859"/>
      <c r="AB99" s="2859"/>
      <c r="AC99" s="2859"/>
    </row>
    <row r="100" spans="1:29" s="813" customFormat="1" ht="15.75" thickBot="1">
      <c r="A100" s="895"/>
      <c r="B100" s="877"/>
      <c r="C100" s="902"/>
      <c r="D100" s="878"/>
      <c r="E100" s="878"/>
      <c r="F100" s="878"/>
      <c r="G100" s="902"/>
      <c r="H100" s="904"/>
      <c r="I100" s="904"/>
      <c r="J100" s="904"/>
      <c r="K100" s="904"/>
      <c r="L100" s="904"/>
      <c r="M100" s="905"/>
      <c r="N100" s="2371"/>
      <c r="O100" s="2371"/>
      <c r="P100" s="2857"/>
      <c r="Q100" s="2858"/>
      <c r="R100" s="2859"/>
      <c r="S100" s="2859"/>
      <c r="T100" s="2859"/>
      <c r="U100" s="2859"/>
      <c r="V100" s="2859"/>
      <c r="W100" s="2859"/>
      <c r="X100" s="2859"/>
      <c r="Y100" s="2859"/>
      <c r="Z100" s="2859"/>
      <c r="AA100" s="2859"/>
      <c r="AB100" s="2859"/>
      <c r="AC100" s="2859"/>
    </row>
    <row r="101" spans="1:29" ht="15" thickTop="1">
      <c r="A101" s="941"/>
      <c r="B101" s="880">
        <f>B36</f>
        <v>111</v>
      </c>
      <c r="C101" s="896"/>
      <c r="D101" s="896"/>
      <c r="E101" s="896"/>
      <c r="F101" s="896"/>
      <c r="G101" s="896"/>
      <c r="H101" s="897"/>
      <c r="I101" s="897"/>
      <c r="J101" s="897"/>
      <c r="K101" s="897"/>
      <c r="L101" s="898"/>
      <c r="M101" s="899"/>
      <c r="N101" s="2369"/>
      <c r="O101" s="2369"/>
      <c r="P101" s="2856"/>
      <c r="Q101" s="2850"/>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6"/>
      <c r="Q102" s="2850"/>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3" customFormat="1" ht="28.5" customHeight="1" thickBot="1">
      <c r="A1" s="3122" t="s">
        <v>385</v>
      </c>
      <c r="B1" s="3134"/>
      <c r="C1" s="3124" t="s">
        <v>441</v>
      </c>
      <c r="D1" s="3105"/>
      <c r="E1" s="3135"/>
      <c r="F1" s="3107"/>
      <c r="G1" s="3136" t="s">
        <v>442</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0" customFormat="1" ht="28.5" customHeight="1" thickTop="1">
      <c r="A2" s="3121" t="s">
        <v>443</v>
      </c>
      <c r="B2" s="2845" t="e">
        <f ca="1">IF(C2="——",ROUND(C37*D3/10000,0),ROUND(C37*D3/10000,0)-D2)</f>
        <v>#DIV/0!</v>
      </c>
      <c r="C2" s="3099"/>
      <c r="D2" s="2341" t="e">
        <f ca="1">SUMIF(INDIRECT("'"&amp;F2&amp;"'"&amp;"!A:A"),"承租人权益价值",INDIRECT("'"&amp;F2&amp;"'"&amp;"!c:c"))</f>
        <v>#REF!</v>
      </c>
      <c r="E2" s="3100" t="s">
        <v>865</v>
      </c>
      <c r="F2" s="3101"/>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444</v>
      </c>
      <c r="B3" s="951" t="e">
        <f ca="1">IF(C2="——",C37,ROUND(B2*10000/D3,0))</f>
        <v>#DIV/0!</v>
      </c>
      <c r="C3" s="742" t="s">
        <v>445</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446</v>
      </c>
      <c r="B4" s="744"/>
      <c r="C4" s="3689" t="s">
        <v>447</v>
      </c>
      <c r="D4" s="3690"/>
      <c r="E4" s="3691" t="s">
        <v>448</v>
      </c>
      <c r="F4" s="3692"/>
      <c r="G4" s="3689" t="s">
        <v>449</v>
      </c>
      <c r="H4" s="3690"/>
      <c r="I4" s="3689" t="s">
        <v>450</v>
      </c>
      <c r="J4" s="3690"/>
      <c r="K4" s="952" t="s">
        <v>451</v>
      </c>
      <c r="L4" s="2347"/>
      <c r="M4" s="2348"/>
      <c r="N4" s="2348"/>
      <c r="O4" s="2348"/>
      <c r="P4" s="3693" t="s">
        <v>452</v>
      </c>
      <c r="Q4" s="3694"/>
      <c r="R4" s="3676" t="s">
        <v>448</v>
      </c>
      <c r="S4" s="3677"/>
      <c r="T4" s="3676" t="s">
        <v>449</v>
      </c>
      <c r="U4" s="3677"/>
      <c r="V4" s="3701" t="s">
        <v>450</v>
      </c>
      <c r="W4" s="3701"/>
      <c r="X4" s="1316"/>
      <c r="Y4" s="3676" t="s">
        <v>452</v>
      </c>
      <c r="Z4" s="3677"/>
      <c r="AA4" s="3671" t="s">
        <v>448</v>
      </c>
      <c r="AB4" s="3672" t="s">
        <v>449</v>
      </c>
      <c r="AC4" s="3671" t="s">
        <v>450</v>
      </c>
    </row>
    <row r="5" spans="1:29" ht="15">
      <c r="A5" s="746"/>
      <c r="B5" s="747"/>
      <c r="C5" s="3615" t="s">
        <v>1121</v>
      </c>
      <c r="D5" s="3616"/>
      <c r="E5" s="3613" t="s">
        <v>1122</v>
      </c>
      <c r="F5" s="3614"/>
      <c r="G5" s="3615" t="s">
        <v>59</v>
      </c>
      <c r="H5" s="3616"/>
      <c r="I5" s="3615" t="s">
        <v>1123</v>
      </c>
      <c r="J5" s="3616"/>
      <c r="K5" s="952"/>
      <c r="L5" s="2347"/>
      <c r="M5" s="2348"/>
      <c r="N5" s="2348"/>
      <c r="O5" s="2348"/>
      <c r="P5" s="3695"/>
      <c r="Q5" s="3696"/>
      <c r="R5" s="3678"/>
      <c r="S5" s="3679"/>
      <c r="T5" s="3678"/>
      <c r="U5" s="3679"/>
      <c r="V5" s="3701"/>
      <c r="W5" s="3701"/>
      <c r="X5" s="1316"/>
      <c r="Y5" s="3678"/>
      <c r="Z5" s="3679"/>
      <c r="AA5" s="3672"/>
      <c r="AB5" s="3672"/>
      <c r="AC5" s="3672"/>
    </row>
    <row r="6" spans="1:29" ht="15.75" thickBot="1">
      <c r="A6" s="748"/>
      <c r="B6" s="749"/>
      <c r="C6" s="3617" t="s">
        <v>1124</v>
      </c>
      <c r="D6" s="3618"/>
      <c r="E6" s="3619" t="s">
        <v>1124</v>
      </c>
      <c r="F6" s="3620"/>
      <c r="G6" s="3617" t="s">
        <v>1124</v>
      </c>
      <c r="H6" s="3618"/>
      <c r="I6" s="3617" t="s">
        <v>1124</v>
      </c>
      <c r="J6" s="3618"/>
      <c r="K6" s="952" t="s">
        <v>394</v>
      </c>
      <c r="L6" s="2347"/>
      <c r="M6" s="2348"/>
      <c r="N6" s="2348"/>
      <c r="O6" s="2348"/>
      <c r="P6" s="3697"/>
      <c r="Q6" s="3698"/>
      <c r="R6" s="3678"/>
      <c r="S6" s="3679"/>
      <c r="T6" s="3699"/>
      <c r="U6" s="3700"/>
      <c r="V6" s="3701"/>
      <c r="W6" s="3701"/>
      <c r="X6" s="1316"/>
      <c r="Y6" s="3699"/>
      <c r="Z6" s="3700"/>
      <c r="AA6" s="3673"/>
      <c r="AB6" s="3673"/>
      <c r="AC6" s="3673"/>
    </row>
    <row r="7" spans="1:29" s="407" customFormat="1" ht="15.75" thickBot="1">
      <c r="A7" s="750" t="s">
        <v>395</v>
      </c>
      <c r="B7" s="751"/>
      <c r="C7" s="752">
        <f>'数据-取费表'!B2</f>
        <v>43003</v>
      </c>
      <c r="D7" s="753">
        <v>100</v>
      </c>
      <c r="E7" s="1015"/>
      <c r="F7" s="755">
        <f>SUMIF(46:46,YEAR(E7)&amp;"-"&amp;MONTH(E7),47:47)</f>
        <v>0</v>
      </c>
      <c r="G7" s="1016"/>
      <c r="H7" s="753">
        <f>SUMIF(46:46,YEAR(G7)&amp;"-"&amp;MONTH(G7),47:47)</f>
        <v>0</v>
      </c>
      <c r="I7" s="1015"/>
      <c r="J7" s="753">
        <f>SUMIF(46:46,YEAR(I7)&amp;"-"&amp;MONTH(I7),47:47)</f>
        <v>0</v>
      </c>
      <c r="K7" s="953"/>
      <c r="L7" s="2349"/>
      <c r="M7" s="2350"/>
      <c r="N7" s="2350"/>
      <c r="O7" s="2350"/>
      <c r="P7" s="3674" t="s">
        <v>396</v>
      </c>
      <c r="Q7" s="3702"/>
      <c r="R7" s="1317" t="s">
        <v>62</v>
      </c>
      <c r="S7" s="1318">
        <f t="shared" ref="S7:S14" si="0">F7</f>
        <v>0</v>
      </c>
      <c r="T7" s="1317" t="s">
        <v>62</v>
      </c>
      <c r="U7" s="1318">
        <f t="shared" ref="U7:U14" si="1">H7</f>
        <v>0</v>
      </c>
      <c r="V7" s="1317" t="s">
        <v>62</v>
      </c>
      <c r="W7" s="1318">
        <f t="shared" ref="W7:W14" si="2">J7</f>
        <v>0</v>
      </c>
      <c r="X7" s="1319"/>
      <c r="Y7" s="3674" t="s">
        <v>396</v>
      </c>
      <c r="Z7" s="3675"/>
      <c r="AA7" s="1320" t="e">
        <f>D7/F7</f>
        <v>#DIV/0!</v>
      </c>
      <c r="AB7" s="1320" t="e">
        <f>D7/H7</f>
        <v>#DIV/0!</v>
      </c>
      <c r="AC7" s="1320"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34" si="3">D8/F8</f>
        <v>#DIV/0!</v>
      </c>
      <c r="AB8" s="1320" t="e">
        <f t="shared" ref="AB8:AB34" si="4">D8/H8</f>
        <v>#DIV/0!</v>
      </c>
      <c r="AC8" s="1320" t="e">
        <f t="shared" ref="AC8:AC34" si="5">D8/J8</f>
        <v>#DIV/0!</v>
      </c>
    </row>
    <row r="9" spans="1:29" s="407"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88" t="s">
        <v>399</v>
      </c>
      <c r="Q9" s="296" t="str">
        <f t="shared" ref="Q9:Q14" si="6">B9</f>
        <v>用途</v>
      </c>
      <c r="R9" s="1317" t="s">
        <v>62</v>
      </c>
      <c r="S9" s="1318">
        <f t="shared" si="0"/>
        <v>100</v>
      </c>
      <c r="T9" s="1317" t="s">
        <v>62</v>
      </c>
      <c r="U9" s="1318">
        <f t="shared" si="1"/>
        <v>100</v>
      </c>
      <c r="V9" s="1317" t="s">
        <v>62</v>
      </c>
      <c r="W9" s="1318">
        <f t="shared" si="2"/>
        <v>100</v>
      </c>
      <c r="X9" s="1319"/>
      <c r="Y9" s="3477"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88"/>
      <c r="Q10" s="296" t="str">
        <f t="shared" si="6"/>
        <v>土地使用年限（年）</v>
      </c>
      <c r="R10" s="1317" t="s">
        <v>62</v>
      </c>
      <c r="S10" s="1318">
        <f t="shared" si="0"/>
        <v>100</v>
      </c>
      <c r="T10" s="1317" t="s">
        <v>62</v>
      </c>
      <c r="U10" s="1318">
        <f t="shared" si="1"/>
        <v>100</v>
      </c>
      <c r="V10" s="1317" t="s">
        <v>62</v>
      </c>
      <c r="W10" s="1318">
        <f t="shared" si="2"/>
        <v>100</v>
      </c>
      <c r="X10" s="1319"/>
      <c r="Y10" s="3477"/>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5"/>
      <c r="L11" s="2355"/>
      <c r="M11" s="2348"/>
      <c r="N11" s="2348"/>
      <c r="O11" s="2356"/>
      <c r="P11" s="3688"/>
      <c r="Q11" s="296">
        <f t="shared" si="6"/>
        <v>111</v>
      </c>
      <c r="R11" s="1317" t="s">
        <v>62</v>
      </c>
      <c r="S11" s="1318">
        <f t="shared" si="0"/>
        <v>100</v>
      </c>
      <c r="T11" s="1317" t="s">
        <v>62</v>
      </c>
      <c r="U11" s="1318">
        <f t="shared" si="1"/>
        <v>100</v>
      </c>
      <c r="V11" s="1317" t="s">
        <v>62</v>
      </c>
      <c r="W11" s="1318">
        <f t="shared" si="2"/>
        <v>100</v>
      </c>
      <c r="X11" s="1319"/>
      <c r="Y11" s="3477"/>
      <c r="Z11" s="344">
        <f t="shared" si="7"/>
        <v>111</v>
      </c>
      <c r="AA11" s="1320">
        <f t="shared" si="3"/>
        <v>1</v>
      </c>
      <c r="AB11" s="1320">
        <f t="shared" si="4"/>
        <v>1</v>
      </c>
      <c r="AC11" s="1320">
        <f t="shared" si="5"/>
        <v>1</v>
      </c>
    </row>
    <row r="12" spans="1:29" s="407"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5"/>
      <c r="L12" s="2349"/>
      <c r="M12" s="2350"/>
      <c r="N12" s="2350"/>
      <c r="O12" s="2351"/>
      <c r="P12" s="3688"/>
      <c r="Q12" s="296">
        <f t="shared" si="6"/>
        <v>111</v>
      </c>
      <c r="R12" s="1317" t="s">
        <v>62</v>
      </c>
      <c r="S12" s="1318">
        <f t="shared" si="0"/>
        <v>100</v>
      </c>
      <c r="T12" s="1317" t="s">
        <v>62</v>
      </c>
      <c r="U12" s="1318">
        <f t="shared" si="1"/>
        <v>100</v>
      </c>
      <c r="V12" s="1317" t="s">
        <v>62</v>
      </c>
      <c r="W12" s="1318">
        <f t="shared" si="2"/>
        <v>100</v>
      </c>
      <c r="X12" s="1319"/>
      <c r="Y12" s="3477"/>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5"/>
      <c r="L13" s="2357"/>
      <c r="M13" s="2348"/>
      <c r="N13" s="2348"/>
      <c r="O13" s="2356"/>
      <c r="P13" s="3688"/>
      <c r="Q13" s="296">
        <f t="shared" si="6"/>
        <v>111</v>
      </c>
      <c r="R13" s="1317" t="s">
        <v>62</v>
      </c>
      <c r="S13" s="1318">
        <f t="shared" si="0"/>
        <v>100</v>
      </c>
      <c r="T13" s="1317" t="s">
        <v>62</v>
      </c>
      <c r="U13" s="1318">
        <f t="shared" si="1"/>
        <v>100</v>
      </c>
      <c r="V13" s="1317" t="s">
        <v>62</v>
      </c>
      <c r="W13" s="1318">
        <f t="shared" si="2"/>
        <v>100</v>
      </c>
      <c r="X13" s="1319"/>
      <c r="Y13" s="3477"/>
      <c r="Z13" s="344">
        <f t="shared" si="7"/>
        <v>111</v>
      </c>
      <c r="AA13" s="1320">
        <f t="shared" si="3"/>
        <v>1</v>
      </c>
      <c r="AB13" s="1320">
        <f t="shared" si="4"/>
        <v>1</v>
      </c>
      <c r="AC13" s="1320">
        <f t="shared" si="5"/>
        <v>1</v>
      </c>
    </row>
    <row r="14" spans="1:29" ht="94.5">
      <c r="A14" s="782" t="s">
        <v>403</v>
      </c>
      <c r="B14" s="359" t="s">
        <v>453</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703" t="s">
        <v>404</v>
      </c>
      <c r="Q14" s="1321" t="str">
        <f t="shared" si="6"/>
        <v>交通便捷度</v>
      </c>
      <c r="R14" s="1322" t="s">
        <v>62</v>
      </c>
      <c r="S14" s="1323">
        <f t="shared" si="0"/>
        <v>100</v>
      </c>
      <c r="T14" s="1322" t="s">
        <v>62</v>
      </c>
      <c r="U14" s="1323">
        <f t="shared" si="1"/>
        <v>100</v>
      </c>
      <c r="V14" s="1322" t="s">
        <v>62</v>
      </c>
      <c r="W14" s="1323">
        <f t="shared" si="2"/>
        <v>100</v>
      </c>
      <c r="X14" s="1316"/>
      <c r="Y14" s="3703"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7"/>
      <c r="M15" s="2348"/>
      <c r="N15" s="2348"/>
      <c r="O15" s="2356"/>
      <c r="P15" s="3704"/>
      <c r="Q15" s="1321"/>
      <c r="R15" s="1322"/>
      <c r="S15" s="1323"/>
      <c r="T15" s="1322"/>
      <c r="U15" s="1323"/>
      <c r="V15" s="1322"/>
      <c r="W15" s="1323"/>
      <c r="X15" s="1316"/>
      <c r="Y15" s="3704"/>
      <c r="Z15" s="1324"/>
      <c r="AA15" s="1325">
        <v>1</v>
      </c>
      <c r="AB15" s="1325">
        <v>1</v>
      </c>
      <c r="AC15" s="1325">
        <v>1</v>
      </c>
    </row>
    <row r="16" spans="1:29" ht="40.5">
      <c r="A16" s="770"/>
      <c r="B16" s="1354" t="s">
        <v>2663</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704"/>
      <c r="Q16" s="1321" t="str">
        <f>B16</f>
        <v>公共配套设施</v>
      </c>
      <c r="R16" s="1322" t="s">
        <v>62</v>
      </c>
      <c r="S16" s="1323">
        <f>F16</f>
        <v>100</v>
      </c>
      <c r="T16" s="1322" t="s">
        <v>62</v>
      </c>
      <c r="U16" s="1323">
        <f>H16</f>
        <v>100</v>
      </c>
      <c r="V16" s="1322" t="s">
        <v>62</v>
      </c>
      <c r="W16" s="1323">
        <f>J16</f>
        <v>100</v>
      </c>
      <c r="X16" s="1316"/>
      <c r="Y16" s="3704"/>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7"/>
      <c r="M17" s="2348"/>
      <c r="N17" s="2348"/>
      <c r="O17" s="2356"/>
      <c r="P17" s="3704"/>
      <c r="Q17" s="1321"/>
      <c r="R17" s="1322"/>
      <c r="S17" s="1323"/>
      <c r="T17" s="1322"/>
      <c r="U17" s="1323"/>
      <c r="V17" s="1322"/>
      <c r="W17" s="1323"/>
      <c r="X17" s="1316"/>
      <c r="Y17" s="3704"/>
      <c r="Z17" s="1324"/>
      <c r="AA17" s="1325">
        <v>1</v>
      </c>
      <c r="AB17" s="1325">
        <v>1</v>
      </c>
      <c r="AC17" s="1325">
        <v>1</v>
      </c>
    </row>
    <row r="18" spans="1:29" ht="40.5">
      <c r="A18" s="770"/>
      <c r="B18" s="1410" t="s">
        <v>2665</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704"/>
      <c r="Q18" s="2747" t="str">
        <f>B18</f>
        <v>基础设施水平</v>
      </c>
      <c r="R18" s="1322" t="s">
        <v>62</v>
      </c>
      <c r="S18" s="1323">
        <f>F18</f>
        <v>100</v>
      </c>
      <c r="T18" s="1322" t="s">
        <v>62</v>
      </c>
      <c r="U18" s="1323">
        <f>H18</f>
        <v>100</v>
      </c>
      <c r="V18" s="1322" t="s">
        <v>62</v>
      </c>
      <c r="W18" s="1323">
        <f>J18</f>
        <v>100</v>
      </c>
      <c r="X18" s="2749"/>
      <c r="Y18" s="3704"/>
      <c r="Z18" s="2748" t="str">
        <f>Q18</f>
        <v>基础设施水平</v>
      </c>
      <c r="AA18" s="1325">
        <f t="shared" ref="AA18" si="8">D18/F18</f>
        <v>1</v>
      </c>
      <c r="AB18" s="1325">
        <f t="shared" ref="AB18" si="9">D18/H18</f>
        <v>1</v>
      </c>
      <c r="AC18" s="1325">
        <f t="shared" ref="AC18" si="10">D18/J18</f>
        <v>1</v>
      </c>
    </row>
    <row r="19" spans="1:29" ht="15">
      <c r="A19" s="770"/>
      <c r="B19" s="2767"/>
      <c r="C19" s="102"/>
      <c r="D19" s="792"/>
      <c r="E19" s="102"/>
      <c r="F19" s="795"/>
      <c r="G19" s="102"/>
      <c r="H19" s="790"/>
      <c r="I19" s="97"/>
      <c r="J19" s="790"/>
      <c r="K19" s="2765"/>
      <c r="L19" s="2357"/>
      <c r="M19" s="2348"/>
      <c r="N19" s="2348"/>
      <c r="O19" s="2356"/>
      <c r="P19" s="3704"/>
      <c r="Q19" s="2747"/>
      <c r="R19" s="1322"/>
      <c r="S19" s="1323"/>
      <c r="T19" s="1322"/>
      <c r="U19" s="1323"/>
      <c r="V19" s="1322"/>
      <c r="W19" s="1323"/>
      <c r="X19" s="2749"/>
      <c r="Y19" s="3704"/>
      <c r="Z19" s="2748"/>
      <c r="AA19" s="1325">
        <v>1</v>
      </c>
      <c r="AB19" s="1325">
        <v>1</v>
      </c>
      <c r="AC19" s="1325">
        <v>1</v>
      </c>
    </row>
    <row r="20" spans="1:29" ht="54">
      <c r="A20" s="770"/>
      <c r="B20" s="793" t="s">
        <v>454</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704"/>
      <c r="Q20" s="1321" t="str">
        <f>B20</f>
        <v>自然及人文环境</v>
      </c>
      <c r="R20" s="1322" t="s">
        <v>62</v>
      </c>
      <c r="S20" s="1323">
        <f>F20</f>
        <v>100</v>
      </c>
      <c r="T20" s="1322" t="s">
        <v>62</v>
      </c>
      <c r="U20" s="1323">
        <f>H20</f>
        <v>100</v>
      </c>
      <c r="V20" s="1322" t="s">
        <v>62</v>
      </c>
      <c r="W20" s="1323">
        <f>J20</f>
        <v>100</v>
      </c>
      <c r="X20" s="1316"/>
      <c r="Y20" s="3704"/>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7"/>
      <c r="M21" s="2348"/>
      <c r="N21" s="2348"/>
      <c r="O21" s="2356"/>
      <c r="P21" s="3704"/>
      <c r="Q21" s="1321"/>
      <c r="R21" s="1322"/>
      <c r="S21" s="1323"/>
      <c r="T21" s="1322"/>
      <c r="U21" s="1323"/>
      <c r="V21" s="1322"/>
      <c r="W21" s="1323"/>
      <c r="X21" s="1316"/>
      <c r="Y21" s="3704"/>
      <c r="Z21" s="1324"/>
      <c r="AA21" s="1325">
        <v>1</v>
      </c>
      <c r="AB21" s="1325">
        <v>1</v>
      </c>
      <c r="AC21" s="1325">
        <v>1</v>
      </c>
    </row>
    <row r="22" spans="1:29" ht="15">
      <c r="A22" s="770"/>
      <c r="B22" s="793" t="s">
        <v>455</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704"/>
      <c r="Q22" s="1321" t="str">
        <f>B22</f>
        <v>楼层</v>
      </c>
      <c r="R22" s="1322" t="s">
        <v>62</v>
      </c>
      <c r="S22" s="1323">
        <f>F22</f>
        <v>100</v>
      </c>
      <c r="T22" s="1322" t="s">
        <v>62</v>
      </c>
      <c r="U22" s="1323">
        <f>H22</f>
        <v>100</v>
      </c>
      <c r="V22" s="1322" t="s">
        <v>62</v>
      </c>
      <c r="W22" s="1323">
        <f>J22</f>
        <v>100</v>
      </c>
      <c r="X22" s="1316"/>
      <c r="Y22" s="3704"/>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704"/>
      <c r="Q23" s="1321">
        <f>B23</f>
        <v>111</v>
      </c>
      <c r="R23" s="1322" t="s">
        <v>62</v>
      </c>
      <c r="S23" s="1323">
        <f>F23</f>
        <v>100</v>
      </c>
      <c r="T23" s="1322" t="s">
        <v>62</v>
      </c>
      <c r="U23" s="1323">
        <f>H23</f>
        <v>100</v>
      </c>
      <c r="V23" s="1322" t="s">
        <v>62</v>
      </c>
      <c r="W23" s="1323">
        <f>J23</f>
        <v>100</v>
      </c>
      <c r="X23" s="1316"/>
      <c r="Y23" s="3704"/>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704"/>
      <c r="Q24" s="1321">
        <f t="shared" ref="Q24:Q34" si="11">B24</f>
        <v>111</v>
      </c>
      <c r="R24" s="1322" t="s">
        <v>62</v>
      </c>
      <c r="S24" s="1323">
        <f>F24</f>
        <v>100</v>
      </c>
      <c r="T24" s="1322" t="s">
        <v>62</v>
      </c>
      <c r="U24" s="1323">
        <f>H24</f>
        <v>100</v>
      </c>
      <c r="V24" s="1322" t="s">
        <v>62</v>
      </c>
      <c r="W24" s="1323">
        <f>J24</f>
        <v>100</v>
      </c>
      <c r="X24" s="1316"/>
      <c r="Y24" s="3704"/>
      <c r="Z24" s="1324">
        <f>Q24</f>
        <v>111</v>
      </c>
      <c r="AA24" s="1325">
        <f t="shared" si="3"/>
        <v>1</v>
      </c>
      <c r="AB24" s="1325">
        <f t="shared" si="4"/>
        <v>1</v>
      </c>
      <c r="AC24" s="1325">
        <f t="shared" si="5"/>
        <v>1</v>
      </c>
    </row>
    <row r="25" spans="1:29" s="407"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5"/>
      <c r="L25" s="2349"/>
      <c r="M25" s="2350"/>
      <c r="N25" s="2350"/>
      <c r="O25" s="2351"/>
      <c r="P25" s="3704"/>
      <c r="Q25" s="296">
        <f t="shared" si="11"/>
        <v>111</v>
      </c>
      <c r="R25" s="1317" t="s">
        <v>62</v>
      </c>
      <c r="S25" s="1318">
        <f>F25</f>
        <v>100</v>
      </c>
      <c r="T25" s="1317" t="s">
        <v>62</v>
      </c>
      <c r="U25" s="1318">
        <f>H25</f>
        <v>100</v>
      </c>
      <c r="V25" s="1317" t="s">
        <v>62</v>
      </c>
      <c r="W25" s="1318">
        <f>J25</f>
        <v>100</v>
      </c>
      <c r="X25" s="1319"/>
      <c r="Y25" s="3704"/>
      <c r="Z25" s="344">
        <f>Q25</f>
        <v>111</v>
      </c>
      <c r="AA25" s="1325">
        <f>D25/F25</f>
        <v>1</v>
      </c>
      <c r="AB25" s="1325">
        <f>D25/H25</f>
        <v>1</v>
      </c>
      <c r="AC25" s="1325">
        <f>D25/J25</f>
        <v>1</v>
      </c>
    </row>
    <row r="26" spans="1:29" ht="28.5">
      <c r="A26" s="808" t="s">
        <v>405</v>
      </c>
      <c r="B26" s="361" t="s">
        <v>458</v>
      </c>
      <c r="C26" s="197"/>
      <c r="D26" s="809">
        <v>100</v>
      </c>
      <c r="E26" s="197"/>
      <c r="F26" s="1008">
        <f>SUMIF(77:77,E26,78:78)-SUMIF(77:77,C26,78:78)+100</f>
        <v>100</v>
      </c>
      <c r="G26" s="197"/>
      <c r="H26" s="809">
        <f>SUMIF(77:77,G26,78:78)-SUMIF(77:77,C26,78:78)+100</f>
        <v>100</v>
      </c>
      <c r="I26" s="197"/>
      <c r="J26" s="809">
        <f>SUMIF(77:77,I26,78:78)-SUMIF(77:77,C26,78:78)+100</f>
        <v>100</v>
      </c>
      <c r="K26" s="954"/>
      <c r="L26" s="2357"/>
      <c r="M26" s="2348"/>
      <c r="N26" s="2348"/>
      <c r="O26" s="2356"/>
      <c r="P26" s="3705" t="s">
        <v>471</v>
      </c>
      <c r="Q26" s="1321" t="str">
        <f t="shared" si="11"/>
        <v>公共部分装修</v>
      </c>
      <c r="R26" s="1322" t="s">
        <v>62</v>
      </c>
      <c r="S26" s="1323">
        <f t="shared" ref="S26:S34" si="12">F26</f>
        <v>100</v>
      </c>
      <c r="T26" s="1322" t="s">
        <v>62</v>
      </c>
      <c r="U26" s="1323">
        <f t="shared" ref="U26:U34" si="13">H26</f>
        <v>100</v>
      </c>
      <c r="V26" s="1322" t="s">
        <v>62</v>
      </c>
      <c r="W26" s="1323">
        <f t="shared" ref="W26:W34" si="14">J26</f>
        <v>100</v>
      </c>
      <c r="X26" s="1316"/>
      <c r="Y26" s="3706" t="s">
        <v>471</v>
      </c>
      <c r="Z26" s="1324" t="str">
        <f t="shared" ref="Z26:Z34" si="15">Q26</f>
        <v>公共部分装修</v>
      </c>
      <c r="AA26" s="1325">
        <f t="shared" si="3"/>
        <v>1</v>
      </c>
      <c r="AB26" s="1325">
        <f t="shared" si="4"/>
        <v>1</v>
      </c>
      <c r="AC26" s="1325">
        <f t="shared" si="5"/>
        <v>1</v>
      </c>
    </row>
    <row r="27" spans="1:29" s="813" customFormat="1" ht="15">
      <c r="A27" s="810"/>
      <c r="B27" s="764" t="s">
        <v>459</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706"/>
      <c r="Q27" s="1326" t="str">
        <f t="shared" si="11"/>
        <v>成新率</v>
      </c>
      <c r="R27" s="1327" t="s">
        <v>62</v>
      </c>
      <c r="S27" s="1328" t="e">
        <f t="shared" si="12"/>
        <v>#N/A</v>
      </c>
      <c r="T27" s="1327" t="s">
        <v>62</v>
      </c>
      <c r="U27" s="1328" t="e">
        <f t="shared" si="13"/>
        <v>#N/A</v>
      </c>
      <c r="V27" s="1327" t="s">
        <v>62</v>
      </c>
      <c r="W27" s="1328" t="e">
        <f t="shared" si="14"/>
        <v>#N/A</v>
      </c>
      <c r="X27" s="1329"/>
      <c r="Y27" s="3706"/>
      <c r="Z27" s="1330" t="str">
        <f t="shared" si="15"/>
        <v>成新率</v>
      </c>
      <c r="AA27" s="1325" t="e">
        <f t="shared" si="3"/>
        <v>#N/A</v>
      </c>
      <c r="AB27" s="1325" t="e">
        <f t="shared" si="4"/>
        <v>#N/A</v>
      </c>
      <c r="AC27" s="1325" t="e">
        <f t="shared" si="5"/>
        <v>#N/A</v>
      </c>
    </row>
    <row r="28" spans="1:29" ht="15">
      <c r="A28" s="814"/>
      <c r="B28" s="764" t="s">
        <v>460</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706"/>
      <c r="Q28" s="1321" t="str">
        <f t="shared" si="11"/>
        <v>物业等级</v>
      </c>
      <c r="R28" s="1322" t="s">
        <v>62</v>
      </c>
      <c r="S28" s="1323">
        <f t="shared" si="12"/>
        <v>100</v>
      </c>
      <c r="T28" s="1322" t="s">
        <v>62</v>
      </c>
      <c r="U28" s="1323">
        <f t="shared" si="13"/>
        <v>100</v>
      </c>
      <c r="V28" s="1322" t="s">
        <v>62</v>
      </c>
      <c r="W28" s="1323">
        <f t="shared" si="14"/>
        <v>100</v>
      </c>
      <c r="X28" s="1316"/>
      <c r="Y28" s="3706"/>
      <c r="Z28" s="1324" t="str">
        <f t="shared" si="15"/>
        <v>物业等级</v>
      </c>
      <c r="AA28" s="1325">
        <f t="shared" si="3"/>
        <v>1</v>
      </c>
      <c r="AB28" s="1325">
        <f t="shared" si="4"/>
        <v>1</v>
      </c>
      <c r="AC28" s="1325">
        <f t="shared" si="5"/>
        <v>1</v>
      </c>
    </row>
    <row r="29" spans="1:29" ht="15">
      <c r="A29" s="814"/>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4"/>
      <c r="L29" s="2357"/>
      <c r="M29" s="2348"/>
      <c r="N29" s="2348"/>
      <c r="O29" s="2356"/>
      <c r="P29" s="3706"/>
      <c r="Q29" s="1321" t="str">
        <f t="shared" si="11"/>
        <v>有无电梯</v>
      </c>
      <c r="R29" s="1322" t="s">
        <v>62</v>
      </c>
      <c r="S29" s="1323">
        <f t="shared" si="12"/>
        <v>100</v>
      </c>
      <c r="T29" s="1322" t="s">
        <v>62</v>
      </c>
      <c r="U29" s="1323">
        <f t="shared" si="13"/>
        <v>100</v>
      </c>
      <c r="V29" s="1322" t="s">
        <v>62</v>
      </c>
      <c r="W29" s="1323">
        <f t="shared" si="14"/>
        <v>100</v>
      </c>
      <c r="X29" s="1316"/>
      <c r="Y29" s="3706"/>
      <c r="Z29" s="1324" t="str">
        <f t="shared" si="15"/>
        <v>有无电梯</v>
      </c>
      <c r="AA29" s="1325">
        <f t="shared" si="3"/>
        <v>1</v>
      </c>
      <c r="AB29" s="1325">
        <f t="shared" si="4"/>
        <v>1</v>
      </c>
      <c r="AC29" s="1325">
        <f t="shared" si="5"/>
        <v>1</v>
      </c>
    </row>
    <row r="30" spans="1:29" ht="15">
      <c r="A30" s="814"/>
      <c r="B30" s="764" t="s">
        <v>473</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706"/>
      <c r="Q30" s="1321" t="str">
        <f t="shared" si="11"/>
        <v>建筑面积</v>
      </c>
      <c r="R30" s="1322" t="s">
        <v>62</v>
      </c>
      <c r="S30" s="1323" t="e">
        <f t="shared" si="12"/>
        <v>#N/A</v>
      </c>
      <c r="T30" s="1322" t="s">
        <v>62</v>
      </c>
      <c r="U30" s="1323" t="e">
        <f t="shared" si="13"/>
        <v>#N/A</v>
      </c>
      <c r="V30" s="1322" t="s">
        <v>62</v>
      </c>
      <c r="W30" s="1323" t="e">
        <f t="shared" si="14"/>
        <v>#N/A</v>
      </c>
      <c r="X30" s="1316"/>
      <c r="Y30" s="3706"/>
      <c r="Z30" s="1324" t="str">
        <f t="shared" si="15"/>
        <v>建筑面积</v>
      </c>
      <c r="AA30" s="1325" t="e">
        <f t="shared" si="3"/>
        <v>#N/A</v>
      </c>
      <c r="AB30" s="1325" t="e">
        <f t="shared" si="4"/>
        <v>#N/A</v>
      </c>
      <c r="AC30" s="1325" t="e">
        <f t="shared" si="5"/>
        <v>#N/A</v>
      </c>
    </row>
    <row r="31" spans="1:29" s="407" customFormat="1" ht="15">
      <c r="A31" s="815"/>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4"/>
      <c r="L31" s="2349"/>
      <c r="M31" s="2350"/>
      <c r="N31" s="2350"/>
      <c r="O31" s="2351"/>
      <c r="P31" s="3706"/>
      <c r="Q31" s="296" t="str">
        <f t="shared" si="11"/>
        <v>是否封闭</v>
      </c>
      <c r="R31" s="1317" t="s">
        <v>62</v>
      </c>
      <c r="S31" s="1318">
        <f t="shared" si="12"/>
        <v>100</v>
      </c>
      <c r="T31" s="1317" t="s">
        <v>62</v>
      </c>
      <c r="U31" s="1318">
        <f t="shared" si="13"/>
        <v>100</v>
      </c>
      <c r="V31" s="1317" t="s">
        <v>62</v>
      </c>
      <c r="W31" s="1318">
        <f t="shared" si="14"/>
        <v>100</v>
      </c>
      <c r="X31" s="1319"/>
      <c r="Y31" s="3706"/>
      <c r="Z31" s="344" t="str">
        <f t="shared" si="15"/>
        <v>是否封闭</v>
      </c>
      <c r="AA31" s="1320">
        <f t="shared" si="3"/>
        <v>1</v>
      </c>
      <c r="AB31" s="1320">
        <f t="shared" si="4"/>
        <v>1</v>
      </c>
      <c r="AC31" s="1320">
        <f t="shared" si="5"/>
        <v>1</v>
      </c>
    </row>
    <row r="32" spans="1:29" ht="15">
      <c r="A32" s="814"/>
      <c r="B32" s="1029">
        <v>111</v>
      </c>
      <c r="C32" s="1022"/>
      <c r="D32" s="777">
        <v>100</v>
      </c>
      <c r="E32" s="1356"/>
      <c r="F32" s="803">
        <f>SUMIF(91:91,E32,92:92)-SUMIF(91:91,C32,92:92)+100</f>
        <v>100</v>
      </c>
      <c r="G32" s="1356"/>
      <c r="H32" s="777">
        <f>SUMIF(91:91,G32,92:92)-SUMIF(91:91,C32,92:92)+100</f>
        <v>100</v>
      </c>
      <c r="I32" s="1356"/>
      <c r="J32" s="777">
        <f>SUMIF(91:91,I32,92:92)-SUMIF(91:91,C32,92:92)+100</f>
        <v>100</v>
      </c>
      <c r="K32" s="955"/>
      <c r="L32" s="2357"/>
      <c r="M32" s="2348"/>
      <c r="N32" s="2348"/>
      <c r="O32" s="2356"/>
      <c r="P32" s="3706" t="s">
        <v>406</v>
      </c>
      <c r="Q32" s="1321">
        <f t="shared" si="11"/>
        <v>111</v>
      </c>
      <c r="R32" s="1322" t="s">
        <v>62</v>
      </c>
      <c r="S32" s="1323">
        <f t="shared" si="12"/>
        <v>100</v>
      </c>
      <c r="T32" s="1322" t="s">
        <v>62</v>
      </c>
      <c r="U32" s="1323">
        <f t="shared" si="13"/>
        <v>100</v>
      </c>
      <c r="V32" s="1322" t="s">
        <v>62</v>
      </c>
      <c r="W32" s="1323">
        <f t="shared" si="14"/>
        <v>100</v>
      </c>
      <c r="X32" s="1316"/>
      <c r="Y32" s="3706" t="s">
        <v>406</v>
      </c>
      <c r="Z32" s="1324">
        <f t="shared" si="15"/>
        <v>111</v>
      </c>
      <c r="AA32" s="1325">
        <f t="shared" si="3"/>
        <v>1</v>
      </c>
      <c r="AB32" s="1325">
        <f t="shared" si="4"/>
        <v>1</v>
      </c>
      <c r="AC32" s="1325">
        <f t="shared" si="5"/>
        <v>1</v>
      </c>
    </row>
    <row r="33" spans="1:29" ht="15">
      <c r="A33" s="814"/>
      <c r="B33" s="1029">
        <v>111</v>
      </c>
      <c r="C33" s="1022"/>
      <c r="D33" s="777">
        <v>100</v>
      </c>
      <c r="E33" s="1356"/>
      <c r="F33" s="803">
        <f>SUMIF(93:93,E33,94:94)-SUMIF(93:93,C33,94:94)+100</f>
        <v>100</v>
      </c>
      <c r="G33" s="1356"/>
      <c r="H33" s="777">
        <f>SUMIF(93:93,G33,94:94)-SUMIF(93:93,C33,94:94)+100</f>
        <v>100</v>
      </c>
      <c r="I33" s="1356"/>
      <c r="J33" s="777">
        <f>SUMIF(93:93,I33,94:94)-SUMIF(93:93,C33,94:94)+100</f>
        <v>100</v>
      </c>
      <c r="K33" s="955"/>
      <c r="L33" s="2357"/>
      <c r="M33" s="2348"/>
      <c r="N33" s="2348"/>
      <c r="O33" s="2356"/>
      <c r="P33" s="3706"/>
      <c r="Q33" s="1321">
        <f t="shared" si="11"/>
        <v>111</v>
      </c>
      <c r="R33" s="1322" t="s">
        <v>62</v>
      </c>
      <c r="S33" s="1323">
        <f t="shared" si="12"/>
        <v>100</v>
      </c>
      <c r="T33" s="1322" t="s">
        <v>62</v>
      </c>
      <c r="U33" s="1323">
        <f t="shared" si="13"/>
        <v>100</v>
      </c>
      <c r="V33" s="1322" t="s">
        <v>62</v>
      </c>
      <c r="W33" s="1323">
        <f t="shared" si="14"/>
        <v>100</v>
      </c>
      <c r="X33" s="1316"/>
      <c r="Y33" s="3706"/>
      <c r="Z33" s="1324">
        <f t="shared" si="15"/>
        <v>111</v>
      </c>
      <c r="AA33" s="1325">
        <f t="shared" si="3"/>
        <v>1</v>
      </c>
      <c r="AB33" s="1325">
        <f t="shared" si="4"/>
        <v>1</v>
      </c>
      <c r="AC33" s="1325">
        <f t="shared" si="5"/>
        <v>1</v>
      </c>
    </row>
    <row r="34" spans="1:29" ht="15.75" thickBot="1">
      <c r="A34" s="820"/>
      <c r="B34" s="1030">
        <v>111</v>
      </c>
      <c r="C34" s="94"/>
      <c r="D34" s="780">
        <v>100</v>
      </c>
      <c r="E34" s="1412"/>
      <c r="F34" s="781">
        <f>SUMIF(95:95,E34,96:96)-SUMIF(95:95,C34,96:96)+100</f>
        <v>100</v>
      </c>
      <c r="G34" s="1412"/>
      <c r="H34" s="780">
        <f>SUMIF(95:95,G34,96:96)-SUMIF(95:95,C34,96:96)+100</f>
        <v>100</v>
      </c>
      <c r="I34" s="1412"/>
      <c r="J34" s="780">
        <f>SUMIF(95:95,I34,96:96)-SUMIF(95:95,C34,96:96)+100</f>
        <v>100</v>
      </c>
      <c r="K34" s="955"/>
      <c r="L34" s="2357"/>
      <c r="M34" s="2348"/>
      <c r="N34" s="2348"/>
      <c r="O34" s="2356"/>
      <c r="P34" s="3706"/>
      <c r="Q34" s="1321">
        <f t="shared" si="11"/>
        <v>111</v>
      </c>
      <c r="R34" s="1322" t="s">
        <v>62</v>
      </c>
      <c r="S34" s="1323">
        <f t="shared" si="12"/>
        <v>100</v>
      </c>
      <c r="T34" s="1322" t="s">
        <v>62</v>
      </c>
      <c r="U34" s="1323">
        <f t="shared" si="13"/>
        <v>100</v>
      </c>
      <c r="V34" s="1322" t="s">
        <v>62</v>
      </c>
      <c r="W34" s="1323">
        <f t="shared" si="14"/>
        <v>100</v>
      </c>
      <c r="X34" s="1316"/>
      <c r="Y34" s="3706"/>
      <c r="Z34" s="1324">
        <f t="shared" si="15"/>
        <v>111</v>
      </c>
      <c r="AA34" s="1325">
        <f t="shared" si="3"/>
        <v>1</v>
      </c>
      <c r="AB34" s="1325">
        <f t="shared" si="4"/>
        <v>1</v>
      </c>
      <c r="AC34" s="1325">
        <f t="shared" si="5"/>
        <v>1</v>
      </c>
    </row>
    <row r="35" spans="1:29" ht="15">
      <c r="A35" s="821" t="s">
        <v>407</v>
      </c>
      <c r="B35" s="822"/>
      <c r="C35" s="2834" t="s">
        <v>23</v>
      </c>
      <c r="D35" s="2835"/>
      <c r="E35" s="2836"/>
      <c r="F35" s="2837"/>
      <c r="G35" s="2838"/>
      <c r="H35" s="2839"/>
      <c r="I35" s="2836"/>
      <c r="J35" s="2839"/>
      <c r="K35" s="1398"/>
      <c r="L35" s="2360"/>
      <c r="M35" s="2361"/>
      <c r="N35" s="2348"/>
      <c r="O35" s="2361"/>
      <c r="P35" s="3688" t="str">
        <f>A35</f>
        <v>成交单价（元/平方米）</v>
      </c>
      <c r="Q35" s="3688"/>
      <c r="R35" s="3707">
        <f>E35</f>
        <v>0</v>
      </c>
      <c r="S35" s="3707"/>
      <c r="T35" s="3707">
        <f>G35</f>
        <v>0</v>
      </c>
      <c r="U35" s="3707"/>
      <c r="V35" s="3707">
        <f>I35</f>
        <v>0</v>
      </c>
      <c r="W35" s="3707"/>
      <c r="X35" s="1305"/>
      <c r="Y35" s="1331"/>
      <c r="Z35" s="1305"/>
      <c r="AA35" s="1305"/>
      <c r="AB35" s="1305"/>
      <c r="AC35" s="1305"/>
    </row>
    <row r="36" spans="1:29" ht="15.75" thickBot="1">
      <c r="A36" s="828" t="s">
        <v>408</v>
      </c>
      <c r="B36" s="829"/>
      <c r="C36" s="2840" t="e">
        <f>R37</f>
        <v>#DIV/0!</v>
      </c>
      <c r="D36" s="2841"/>
      <c r="E36" s="2842" t="e">
        <f>R36</f>
        <v>#DIV/0!</v>
      </c>
      <c r="F36" s="2842"/>
      <c r="G36" s="2840" t="e">
        <f>T36</f>
        <v>#DIV/0!</v>
      </c>
      <c r="H36" s="2841"/>
      <c r="I36" s="2842" t="e">
        <f>V36</f>
        <v>#DIV/0!</v>
      </c>
      <c r="J36" s="2841"/>
      <c r="K36" s="1399"/>
      <c r="L36" s="2360"/>
      <c r="M36" s="2361"/>
      <c r="N36" s="2348"/>
      <c r="O36" s="2361"/>
      <c r="P36" s="3688" t="str">
        <f>A36</f>
        <v>比较价值（元/平方米）</v>
      </c>
      <c r="Q36" s="3688"/>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1305"/>
      <c r="Y36" s="1305"/>
      <c r="Z36" s="1305"/>
      <c r="AA36" s="1305"/>
      <c r="AB36" s="1305"/>
      <c r="AC36" s="1305"/>
    </row>
    <row r="37" spans="1:29" ht="15.75" thickBot="1">
      <c r="A37" s="115" t="s">
        <v>3016</v>
      </c>
      <c r="B37" s="835"/>
      <c r="C37" s="2844" t="e">
        <f>R37</f>
        <v>#DIV/0!</v>
      </c>
      <c r="D37" s="2844"/>
      <c r="E37" s="2844"/>
      <c r="F37" s="2844"/>
      <c r="G37" s="2844"/>
      <c r="H37" s="2844"/>
      <c r="I37" s="2844"/>
      <c r="J37" s="2844"/>
      <c r="K37" s="1400"/>
      <c r="L37" s="2360"/>
      <c r="M37" s="2361"/>
      <c r="N37" s="2361"/>
      <c r="O37" s="2361"/>
      <c r="P37" s="3708" t="str">
        <f>A37</f>
        <v>估价对象XX用房的比较价值（楼面单价，元/平方米）</v>
      </c>
      <c r="Q37" s="3709"/>
      <c r="R37" s="3710" t="e">
        <f>IF(F1="售价",ROUND(AVERAGE(R36:V36),0),ROUND(AVERAGE(R36:V36),1))</f>
        <v>#DIV/0!</v>
      </c>
      <c r="S37" s="3710"/>
      <c r="T37" s="3710"/>
      <c r="U37" s="3710"/>
      <c r="V37" s="3710"/>
      <c r="W37" s="3710"/>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409</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410</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411</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412</v>
      </c>
      <c r="B45" s="1305"/>
      <c r="C45" s="1310"/>
      <c r="D45" s="1310"/>
      <c r="E45" s="1310"/>
      <c r="F45" s="1311"/>
      <c r="G45" s="1311"/>
      <c r="H45" s="1310"/>
      <c r="I45" s="1310"/>
      <c r="J45" s="1310"/>
      <c r="K45" s="1312"/>
      <c r="L45" s="1313"/>
      <c r="M45" s="1310"/>
      <c r="N45" s="1310"/>
      <c r="O45" s="1310"/>
      <c r="P45" s="845"/>
      <c r="Q45" s="846"/>
    </row>
    <row r="46" spans="1:29" s="850" customFormat="1" ht="15">
      <c r="A46" s="847" t="s">
        <v>395</v>
      </c>
      <c r="B46" s="848"/>
      <c r="C46" s="3043" t="str">
        <f>YEAR(C7)&amp;"-"&amp;MONTH(C7)</f>
        <v>2017-9</v>
      </c>
      <c r="D46" s="3044">
        <f>EDATE(C46,-1)</f>
        <v>42948</v>
      </c>
      <c r="E46" s="3044">
        <f t="shared" ref="E46:O46" si="16">EDATE(D46,-1)</f>
        <v>42917</v>
      </c>
      <c r="F46" s="3044">
        <f t="shared" si="16"/>
        <v>42887</v>
      </c>
      <c r="G46" s="3044">
        <f t="shared" si="16"/>
        <v>42856</v>
      </c>
      <c r="H46" s="3044">
        <f t="shared" si="16"/>
        <v>42826</v>
      </c>
      <c r="I46" s="3044">
        <f t="shared" si="16"/>
        <v>42795</v>
      </c>
      <c r="J46" s="3044">
        <f t="shared" si="16"/>
        <v>42767</v>
      </c>
      <c r="K46" s="3044">
        <f t="shared" si="16"/>
        <v>42736</v>
      </c>
      <c r="L46" s="3044">
        <f t="shared" si="16"/>
        <v>42705</v>
      </c>
      <c r="M46" s="3044">
        <f t="shared" si="16"/>
        <v>42675</v>
      </c>
      <c r="N46" s="3044">
        <f t="shared" si="16"/>
        <v>42644</v>
      </c>
      <c r="O46" s="3044">
        <f t="shared" si="16"/>
        <v>42614</v>
      </c>
      <c r="P46" s="849"/>
    </row>
    <row r="47" spans="1:29" s="407" customFormat="1" ht="15">
      <c r="A47" s="851"/>
      <c r="B47" s="852"/>
      <c r="C47" s="3041">
        <v>100</v>
      </c>
      <c r="D47" s="854"/>
      <c r="E47" s="854"/>
      <c r="F47" s="854"/>
      <c r="G47" s="854"/>
      <c r="H47" s="854"/>
      <c r="I47" s="854"/>
      <c r="J47" s="854"/>
      <c r="K47" s="854"/>
      <c r="L47" s="854"/>
      <c r="M47" s="855"/>
      <c r="N47" s="854"/>
      <c r="O47" s="856"/>
      <c r="P47" s="846"/>
    </row>
    <row r="48" spans="1:29" s="407" customFormat="1" ht="15.75" thickBot="1">
      <c r="A48" s="857" t="s">
        <v>413</v>
      </c>
      <c r="B48" s="858"/>
      <c r="C48" s="859"/>
      <c r="D48" s="860"/>
      <c r="E48" s="860"/>
      <c r="F48" s="860"/>
      <c r="G48" s="860"/>
      <c r="H48" s="860"/>
      <c r="I48" s="860"/>
      <c r="J48" s="860"/>
      <c r="K48" s="860"/>
      <c r="L48" s="860"/>
      <c r="M48" s="861"/>
      <c r="N48" s="860"/>
      <c r="O48" s="862"/>
      <c r="P48" s="846"/>
      <c r="Q48" s="846"/>
    </row>
    <row r="49" spans="1:17" s="407" customFormat="1" ht="15">
      <c r="A49" s="863" t="s">
        <v>397</v>
      </c>
      <c r="B49" s="852"/>
      <c r="C49" s="864" t="s">
        <v>414</v>
      </c>
      <c r="D49" s="140"/>
      <c r="E49" s="140"/>
      <c r="F49" s="140"/>
      <c r="G49" s="140"/>
      <c r="H49" s="140"/>
      <c r="I49" s="140"/>
      <c r="J49" s="140"/>
      <c r="K49" s="140"/>
      <c r="L49" s="141"/>
      <c r="M49" s="1049"/>
      <c r="N49" s="2368"/>
      <c r="O49" s="2368"/>
      <c r="P49" s="868"/>
      <c r="Q49" s="846"/>
    </row>
    <row r="50" spans="1:17" s="407" customFormat="1" ht="15.75" thickBot="1">
      <c r="A50" s="863"/>
      <c r="B50" s="852"/>
      <c r="C50" s="980">
        <v>100</v>
      </c>
      <c r="D50" s="854"/>
      <c r="E50" s="854"/>
      <c r="F50" s="854"/>
      <c r="G50" s="854"/>
      <c r="H50" s="854"/>
      <c r="I50" s="854"/>
      <c r="J50" s="854"/>
      <c r="K50" s="854"/>
      <c r="L50" s="854"/>
      <c r="M50" s="856"/>
      <c r="N50" s="2368"/>
      <c r="O50" s="2368"/>
      <c r="P50" s="846"/>
      <c r="Q50" s="846"/>
    </row>
    <row r="51" spans="1:17">
      <c r="A51" s="869" t="s">
        <v>415</v>
      </c>
      <c r="B51" s="870" t="s">
        <v>416</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401</v>
      </c>
      <c r="C53" s="881" t="s">
        <v>417</v>
      </c>
      <c r="D53" s="881" t="s">
        <v>418</v>
      </c>
      <c r="E53" s="881" t="s">
        <v>419</v>
      </c>
      <c r="F53" s="881" t="s">
        <v>420</v>
      </c>
      <c r="G53" s="881" t="s">
        <v>435</v>
      </c>
      <c r="H53" s="881" t="s">
        <v>436</v>
      </c>
      <c r="I53" s="881" t="s">
        <v>437</v>
      </c>
      <c r="J53" s="881"/>
      <c r="K53" s="882"/>
      <c r="L53" s="883"/>
      <c r="M53" s="884"/>
      <c r="N53" s="2369"/>
      <c r="O53" s="2369"/>
      <c r="P53" s="334"/>
      <c r="Q53" s="846"/>
    </row>
    <row r="54" spans="1:17" ht="15.75" thickBot="1">
      <c r="A54" s="876"/>
      <c r="B54" s="885"/>
      <c r="C54" s="886" t="s">
        <v>135</v>
      </c>
      <c r="D54" s="886" t="s">
        <v>136</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1"/>
      <c r="C56" s="902"/>
      <c r="D56" s="878"/>
      <c r="E56" s="878"/>
      <c r="F56" s="878"/>
      <c r="G56" s="878"/>
      <c r="H56" s="878"/>
      <c r="I56" s="878"/>
      <c r="J56" s="878"/>
      <c r="K56" s="878"/>
      <c r="L56" s="878"/>
      <c r="M56" s="879"/>
      <c r="N56" s="2370"/>
      <c r="O56" s="2370"/>
      <c r="P56" s="334"/>
      <c r="Q56" s="846"/>
    </row>
    <row r="57" spans="1:17" s="813" customFormat="1" ht="15.75" thickTop="1">
      <c r="A57" s="895"/>
      <c r="B57" s="1052">
        <f>B12</f>
        <v>111</v>
      </c>
      <c r="C57" s="126"/>
      <c r="D57" s="126"/>
      <c r="E57" s="126"/>
      <c r="F57" s="126"/>
      <c r="G57" s="139"/>
      <c r="H57" s="1057"/>
      <c r="I57" s="1057"/>
      <c r="J57" s="1057"/>
      <c r="K57" s="1057"/>
      <c r="L57" s="1058"/>
      <c r="M57" s="1059"/>
      <c r="N57" s="2371"/>
      <c r="O57" s="2371"/>
      <c r="P57" s="900"/>
      <c r="Q57" s="901"/>
    </row>
    <row r="58" spans="1:17" s="813" customFormat="1" ht="15.75" thickBot="1">
      <c r="A58" s="895"/>
      <c r="B58" s="1053"/>
      <c r="C58" s="902"/>
      <c r="D58" s="878"/>
      <c r="E58" s="878"/>
      <c r="F58" s="878"/>
      <c r="G58" s="878"/>
      <c r="H58" s="878"/>
      <c r="I58" s="878"/>
      <c r="J58" s="878"/>
      <c r="K58" s="878"/>
      <c r="L58" s="878"/>
      <c r="M58" s="879"/>
      <c r="N58" s="2370"/>
      <c r="O58" s="2370"/>
      <c r="P58" s="900"/>
      <c r="Q58" s="901"/>
    </row>
    <row r="59" spans="1:17" s="813" customFormat="1" ht="15.75" thickTop="1">
      <c r="A59" s="895"/>
      <c r="B59" s="1052">
        <f>B13</f>
        <v>111</v>
      </c>
      <c r="C59" s="126"/>
      <c r="D59" s="126"/>
      <c r="E59" s="126"/>
      <c r="F59" s="126"/>
      <c r="G59" s="139"/>
      <c r="H59" s="1057"/>
      <c r="I59" s="1057"/>
      <c r="J59" s="1057"/>
      <c r="K59" s="1057"/>
      <c r="L59" s="1058"/>
      <c r="M59" s="1059"/>
      <c r="N59" s="2371"/>
      <c r="O59" s="2371"/>
      <c r="P59" s="812"/>
      <c r="Q59" s="903"/>
    </row>
    <row r="60" spans="1:17" s="813" customFormat="1" ht="15.75" thickBot="1">
      <c r="A60" s="895"/>
      <c r="B60" s="1053"/>
      <c r="C60" s="902"/>
      <c r="D60" s="902"/>
      <c r="E60" s="902"/>
      <c r="F60" s="902"/>
      <c r="G60" s="902"/>
      <c r="H60" s="904"/>
      <c r="I60" s="904"/>
      <c r="J60" s="904"/>
      <c r="K60" s="904"/>
      <c r="L60" s="904"/>
      <c r="M60" s="905"/>
      <c r="N60" s="2371"/>
      <c r="O60" s="2371"/>
      <c r="P60" s="900"/>
      <c r="Q60" s="901"/>
    </row>
    <row r="61" spans="1:17" ht="15" thickTop="1">
      <c r="A61" s="869" t="s">
        <v>403</v>
      </c>
      <c r="B61" s="870" t="s">
        <v>427</v>
      </c>
      <c r="C61" s="915" t="s">
        <v>422</v>
      </c>
      <c r="D61" s="915" t="s">
        <v>423</v>
      </c>
      <c r="E61" s="915" t="s">
        <v>424</v>
      </c>
      <c r="F61" s="915" t="s">
        <v>425</v>
      </c>
      <c r="G61" s="915" t="s">
        <v>426</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428</v>
      </c>
      <c r="C63" s="920" t="s">
        <v>422</v>
      </c>
      <c r="D63" s="920" t="s">
        <v>423</v>
      </c>
      <c r="E63" s="920" t="s">
        <v>424</v>
      </c>
      <c r="F63" s="920" t="s">
        <v>425</v>
      </c>
      <c r="G63" s="920" t="s">
        <v>426</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4" t="s">
        <v>2664</v>
      </c>
      <c r="C65" s="213" t="s">
        <v>2654</v>
      </c>
      <c r="D65" s="213" t="s">
        <v>2655</v>
      </c>
      <c r="E65" s="213" t="s">
        <v>2656</v>
      </c>
      <c r="F65" s="213" t="s">
        <v>2657</v>
      </c>
      <c r="G65" s="213" t="s">
        <v>2658</v>
      </c>
      <c r="H65" s="881"/>
      <c r="I65" s="881"/>
      <c r="J65" s="881"/>
      <c r="K65" s="881"/>
      <c r="L65" s="881"/>
      <c r="M65" s="2763"/>
      <c r="N65" s="2370"/>
      <c r="O65" s="2370"/>
      <c r="P65" s="334"/>
      <c r="Q65" s="846"/>
    </row>
    <row r="66" spans="1:17" ht="15.75" thickBot="1">
      <c r="A66" s="876"/>
      <c r="B66" s="888"/>
      <c r="C66" s="886">
        <v>100</v>
      </c>
      <c r="D66" s="886">
        <f>C66-$K18</f>
        <v>100</v>
      </c>
      <c r="E66" s="886">
        <f>D66-$K18</f>
        <v>100</v>
      </c>
      <c r="F66" s="886">
        <f>E66-$K18</f>
        <v>100</v>
      </c>
      <c r="G66" s="886">
        <f>F66-$K18</f>
        <v>100</v>
      </c>
      <c r="H66" s="1001"/>
      <c r="I66" s="1001"/>
      <c r="J66" s="1001"/>
      <c r="K66" s="1001"/>
      <c r="L66" s="1001"/>
      <c r="M66" s="792"/>
      <c r="N66" s="2370"/>
      <c r="O66" s="2370"/>
      <c r="P66" s="334"/>
      <c r="Q66" s="846"/>
    </row>
    <row r="67" spans="1:17" ht="15.75" thickTop="1">
      <c r="A67" s="876"/>
      <c r="B67" s="880" t="s">
        <v>429</v>
      </c>
      <c r="C67" s="920" t="s">
        <v>422</v>
      </c>
      <c r="D67" s="920" t="s">
        <v>423</v>
      </c>
      <c r="E67" s="920" t="s">
        <v>424</v>
      </c>
      <c r="F67" s="920" t="s">
        <v>425</v>
      </c>
      <c r="G67" s="920" t="s">
        <v>426</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430</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2">
        <f>B23</f>
        <v>111</v>
      </c>
      <c r="C71" s="126"/>
      <c r="D71" s="126"/>
      <c r="E71" s="126"/>
      <c r="F71" s="126"/>
      <c r="G71" s="139"/>
      <c r="H71" s="139"/>
      <c r="I71" s="139"/>
      <c r="J71" s="139"/>
      <c r="K71" s="139"/>
      <c r="L71" s="1382"/>
      <c r="M71" s="1383"/>
      <c r="N71" s="2368"/>
      <c r="O71" s="2368"/>
      <c r="P71" s="334"/>
      <c r="Q71" s="846"/>
    </row>
    <row r="72" spans="1:17" s="407" customFormat="1" ht="15.75" thickBot="1">
      <c r="A72" s="921"/>
      <c r="B72" s="1053"/>
      <c r="C72" s="902"/>
      <c r="D72" s="878"/>
      <c r="E72" s="878"/>
      <c r="F72" s="878"/>
      <c r="G72" s="878"/>
      <c r="H72" s="878"/>
      <c r="I72" s="878"/>
      <c r="J72" s="878"/>
      <c r="K72" s="878"/>
      <c r="L72" s="878"/>
      <c r="M72" s="879"/>
      <c r="N72" s="2370"/>
      <c r="O72" s="2370"/>
      <c r="P72" s="334"/>
      <c r="Q72" s="846"/>
    </row>
    <row r="73" spans="1:17" s="407" customFormat="1" ht="15.75" thickTop="1">
      <c r="A73" s="921"/>
      <c r="B73" s="1052">
        <f>B24</f>
        <v>111</v>
      </c>
      <c r="C73" s="126"/>
      <c r="D73" s="126"/>
      <c r="E73" s="126"/>
      <c r="F73" s="126"/>
      <c r="G73" s="139"/>
      <c r="H73" s="139"/>
      <c r="I73" s="139"/>
      <c r="J73" s="139"/>
      <c r="K73" s="139"/>
      <c r="L73" s="139"/>
      <c r="M73" s="1383"/>
      <c r="N73" s="2368"/>
      <c r="O73" s="2368"/>
      <c r="P73" s="334"/>
      <c r="Q73" s="846"/>
    </row>
    <row r="74" spans="1:17" s="407" customFormat="1" ht="15.75" thickBot="1">
      <c r="A74" s="921"/>
      <c r="B74" s="1053"/>
      <c r="C74" s="902"/>
      <c r="D74" s="878"/>
      <c r="E74" s="878"/>
      <c r="F74" s="878"/>
      <c r="G74" s="878"/>
      <c r="H74" s="878"/>
      <c r="I74" s="878"/>
      <c r="J74" s="878"/>
      <c r="K74" s="878"/>
      <c r="L74" s="878"/>
      <c r="M74" s="879"/>
      <c r="N74" s="2370"/>
      <c r="O74" s="2370"/>
      <c r="P74" s="334"/>
      <c r="Q74" s="846"/>
    </row>
    <row r="75" spans="1:17" s="813" customFormat="1" ht="15.75" thickTop="1">
      <c r="A75" s="895"/>
      <c r="B75" s="1052">
        <f>B25</f>
        <v>111</v>
      </c>
      <c r="C75" s="126"/>
      <c r="D75" s="126"/>
      <c r="E75" s="126"/>
      <c r="F75" s="126"/>
      <c r="G75" s="139"/>
      <c r="H75" s="1057"/>
      <c r="I75" s="1057"/>
      <c r="J75" s="1057"/>
      <c r="K75" s="1057"/>
      <c r="L75" s="1058"/>
      <c r="M75" s="1059"/>
      <c r="N75" s="2371"/>
      <c r="O75" s="2371"/>
      <c r="P75" s="900"/>
      <c r="Q75" s="901"/>
    </row>
    <row r="76" spans="1:17" s="813" customFormat="1" ht="15.75" thickBot="1">
      <c r="A76" s="895"/>
      <c r="B76" s="1053"/>
      <c r="C76" s="902"/>
      <c r="D76" s="902"/>
      <c r="E76" s="902"/>
      <c r="F76" s="902"/>
      <c r="G76" s="878"/>
      <c r="H76" s="878"/>
      <c r="I76" s="878"/>
      <c r="J76" s="878"/>
      <c r="K76" s="878"/>
      <c r="L76" s="878"/>
      <c r="M76" s="879"/>
      <c r="N76" s="2371"/>
      <c r="O76" s="2371"/>
      <c r="P76" s="900"/>
      <c r="Q76" s="901"/>
    </row>
    <row r="77" spans="1:17" ht="15" thickTop="1">
      <c r="A77" s="869" t="s">
        <v>405</v>
      </c>
      <c r="B77" s="870" t="s">
        <v>431</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466</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1"/>
      <c r="J80" s="1001"/>
      <c r="K80" s="1009"/>
      <c r="L80" s="1010"/>
      <c r="M80" s="1011"/>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467</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475</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476</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3"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477</v>
      </c>
      <c r="C89" s="139"/>
      <c r="D89" s="139"/>
      <c r="E89" s="139"/>
      <c r="F89" s="139"/>
      <c r="G89" s="139"/>
      <c r="H89" s="139"/>
      <c r="I89" s="139"/>
      <c r="J89" s="139"/>
      <c r="K89" s="139"/>
      <c r="L89" s="139"/>
      <c r="M89" s="1383"/>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2">
        <f>B32</f>
        <v>111</v>
      </c>
      <c r="C91" s="126"/>
      <c r="D91" s="126"/>
      <c r="E91" s="126"/>
      <c r="F91" s="126"/>
      <c r="G91" s="139"/>
      <c r="H91" s="1057"/>
      <c r="I91" s="1057"/>
      <c r="J91" s="1057"/>
      <c r="K91" s="1057"/>
      <c r="L91" s="1058"/>
      <c r="M91" s="1059"/>
      <c r="N91" s="2369"/>
      <c r="O91" s="2369"/>
      <c r="P91" s="334"/>
      <c r="Q91" s="846"/>
    </row>
    <row r="92" spans="1:17" ht="15.75" thickBot="1">
      <c r="A92" s="876"/>
      <c r="B92" s="1053"/>
      <c r="C92" s="902"/>
      <c r="D92" s="878"/>
      <c r="E92" s="878"/>
      <c r="F92" s="878"/>
      <c r="G92" s="902"/>
      <c r="H92" s="904"/>
      <c r="I92" s="904"/>
      <c r="J92" s="904"/>
      <c r="K92" s="904"/>
      <c r="L92" s="904"/>
      <c r="M92" s="905"/>
      <c r="N92" s="2370"/>
      <c r="O92" s="2370"/>
      <c r="P92" s="334"/>
      <c r="Q92" s="846"/>
    </row>
    <row r="93" spans="1:17" ht="15" thickTop="1">
      <c r="A93" s="941"/>
      <c r="B93" s="1052">
        <f>B33</f>
        <v>111</v>
      </c>
      <c r="C93" s="126"/>
      <c r="D93" s="126"/>
      <c r="E93" s="126"/>
      <c r="F93" s="126"/>
      <c r="G93" s="139"/>
      <c r="H93" s="1057"/>
      <c r="I93" s="1057"/>
      <c r="J93" s="1057"/>
      <c r="K93" s="1057"/>
      <c r="L93" s="1058"/>
      <c r="M93" s="1059"/>
      <c r="N93" s="2369"/>
      <c r="O93" s="2369"/>
      <c r="P93" s="334"/>
      <c r="Q93" s="846"/>
    </row>
    <row r="94" spans="1:17" ht="15.75" thickBot="1">
      <c r="A94" s="876"/>
      <c r="B94" s="1053"/>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7"/>
      <c r="I95" s="1057"/>
      <c r="J95" s="1057"/>
      <c r="K95" s="1057"/>
      <c r="L95" s="1058"/>
      <c r="M95" s="1059"/>
      <c r="N95" s="2370"/>
      <c r="O95" s="2370"/>
      <c r="P95" s="978"/>
      <c r="Q95" s="979"/>
    </row>
    <row r="96" spans="1:17" ht="15.75" thickBot="1">
      <c r="A96" s="876"/>
      <c r="B96" s="1053"/>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ColWidth="9"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1" t="e">
        <f>ROUND(IF(D3="",B2*10000/'数据-汇总表'!E3,B2*10000/D3),0)</f>
        <v>#DIV/0!</v>
      </c>
      <c r="C3" s="578" t="s">
        <v>2886</v>
      </c>
      <c r="D3" s="3055"/>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387</v>
      </c>
      <c r="B4" s="744"/>
      <c r="C4" s="3689" t="s">
        <v>388</v>
      </c>
      <c r="D4" s="3690"/>
      <c r="E4" s="3691" t="s">
        <v>389</v>
      </c>
      <c r="F4" s="3692"/>
      <c r="G4" s="3689" t="s">
        <v>390</v>
      </c>
      <c r="H4" s="3690"/>
      <c r="I4" s="3689" t="s">
        <v>391</v>
      </c>
      <c r="J4" s="3690"/>
      <c r="K4" s="952" t="s">
        <v>392</v>
      </c>
      <c r="L4" s="2347"/>
      <c r="M4" s="2348"/>
      <c r="N4" s="2348"/>
      <c r="O4" s="2348"/>
      <c r="P4" s="3693" t="s">
        <v>393</v>
      </c>
      <c r="Q4" s="3694"/>
      <c r="R4" s="3676" t="s">
        <v>389</v>
      </c>
      <c r="S4" s="3677"/>
      <c r="T4" s="3676" t="s">
        <v>390</v>
      </c>
      <c r="U4" s="3677"/>
      <c r="V4" s="3701" t="s">
        <v>391</v>
      </c>
      <c r="W4" s="3701"/>
      <c r="X4" s="1316"/>
      <c r="Y4" s="3676" t="s">
        <v>393</v>
      </c>
      <c r="Z4" s="3677"/>
      <c r="AA4" s="3671" t="s">
        <v>389</v>
      </c>
      <c r="AB4" s="3672" t="s">
        <v>390</v>
      </c>
      <c r="AC4" s="3671" t="s">
        <v>391</v>
      </c>
    </row>
    <row r="5" spans="1:30" ht="15">
      <c r="A5" s="746"/>
      <c r="B5" s="747"/>
      <c r="C5" s="3615" t="s">
        <v>1121</v>
      </c>
      <c r="D5" s="3616"/>
      <c r="E5" s="3613" t="s">
        <v>1122</v>
      </c>
      <c r="F5" s="3614"/>
      <c r="G5" s="3615" t="s">
        <v>1125</v>
      </c>
      <c r="H5" s="3616"/>
      <c r="I5" s="3615" t="s">
        <v>1123</v>
      </c>
      <c r="J5" s="3616"/>
      <c r="K5" s="952"/>
      <c r="L5" s="2347"/>
      <c r="M5" s="2348"/>
      <c r="N5" s="2348"/>
      <c r="O5" s="2348"/>
      <c r="P5" s="3695"/>
      <c r="Q5" s="3696"/>
      <c r="R5" s="3678"/>
      <c r="S5" s="3679"/>
      <c r="T5" s="3678"/>
      <c r="U5" s="3679"/>
      <c r="V5" s="3701"/>
      <c r="W5" s="3701"/>
      <c r="X5" s="1316"/>
      <c r="Y5" s="3678"/>
      <c r="Z5" s="3679"/>
      <c r="AA5" s="3672"/>
      <c r="AB5" s="3672"/>
      <c r="AC5" s="3672"/>
    </row>
    <row r="6" spans="1:30" ht="15.75" thickBot="1">
      <c r="A6" s="748"/>
      <c r="B6" s="749"/>
      <c r="C6" s="3617" t="s">
        <v>1124</v>
      </c>
      <c r="D6" s="3618"/>
      <c r="E6" s="3619" t="s">
        <v>1124</v>
      </c>
      <c r="F6" s="3620"/>
      <c r="G6" s="3617" t="s">
        <v>1124</v>
      </c>
      <c r="H6" s="3618"/>
      <c r="I6" s="3617" t="s">
        <v>1124</v>
      </c>
      <c r="J6" s="3618"/>
      <c r="K6" s="952" t="s">
        <v>394</v>
      </c>
      <c r="L6" s="2347"/>
      <c r="M6" s="2348"/>
      <c r="N6" s="2348"/>
      <c r="O6" s="2348"/>
      <c r="P6" s="3697"/>
      <c r="Q6" s="3698"/>
      <c r="R6" s="3678"/>
      <c r="S6" s="3679"/>
      <c r="T6" s="3699"/>
      <c r="U6" s="3700"/>
      <c r="V6" s="3701"/>
      <c r="W6" s="3701"/>
      <c r="X6" s="1316"/>
      <c r="Y6" s="3699"/>
      <c r="Z6" s="3700"/>
      <c r="AA6" s="3673"/>
      <c r="AB6" s="3673"/>
      <c r="AC6" s="3673"/>
    </row>
    <row r="7" spans="1:30" s="407" customFormat="1" ht="15.75" thickBot="1">
      <c r="A7" s="750" t="s">
        <v>395</v>
      </c>
      <c r="B7" s="751"/>
      <c r="C7" s="752">
        <f>'数据-取费表'!B2</f>
        <v>43003</v>
      </c>
      <c r="D7" s="753">
        <v>100</v>
      </c>
      <c r="E7" s="1015">
        <v>42309</v>
      </c>
      <c r="F7" s="755">
        <f>SUMIF(70:70,YEAR(E7)&amp;"-"&amp;INT((MONTH(E7)+2)/3),71:71)</f>
        <v>0</v>
      </c>
      <c r="G7" s="1016">
        <v>42309</v>
      </c>
      <c r="H7" s="753">
        <f>SUMIF(70:70,YEAR(G7)&amp;"-"&amp;INT((MONTH(G7)+2)/3),71:71)</f>
        <v>0</v>
      </c>
      <c r="I7" s="1016">
        <v>42036</v>
      </c>
      <c r="J7" s="753">
        <f>SUMIF(70:70,YEAR(I7)&amp;"-"&amp;INT((MONTH(I7)+2)/3),71:71)</f>
        <v>0</v>
      </c>
      <c r="K7" s="953"/>
      <c r="L7" s="2349"/>
      <c r="M7" s="2350"/>
      <c r="N7" s="2350"/>
      <c r="O7" s="2350"/>
      <c r="P7" s="3674" t="s">
        <v>396</v>
      </c>
      <c r="Q7" s="3702"/>
      <c r="R7" s="1317" t="s">
        <v>62</v>
      </c>
      <c r="S7" s="1318">
        <f t="shared" ref="S7:S15" si="0">F7</f>
        <v>0</v>
      </c>
      <c r="T7" s="1317" t="s">
        <v>62</v>
      </c>
      <c r="U7" s="1318">
        <f t="shared" ref="U7:U15" si="1">H7</f>
        <v>0</v>
      </c>
      <c r="V7" s="1317" t="s">
        <v>62</v>
      </c>
      <c r="W7" s="1318">
        <f t="shared" ref="W7:W15" si="2">J7</f>
        <v>0</v>
      </c>
      <c r="X7" s="1319"/>
      <c r="Y7" s="3674" t="s">
        <v>396</v>
      </c>
      <c r="Z7" s="3675"/>
      <c r="AA7" s="1320" t="e">
        <f>D7/F7</f>
        <v>#DIV/0!</v>
      </c>
      <c r="AB7" s="1320" t="e">
        <f>D7/H7</f>
        <v>#DIV/0!</v>
      </c>
      <c r="AC7" s="1320" t="e">
        <f>D7/J7</f>
        <v>#DIV/0!</v>
      </c>
    </row>
    <row r="8" spans="1:30" s="407" customFormat="1" ht="15.75" thickBot="1">
      <c r="A8" s="750" t="s">
        <v>397</v>
      </c>
      <c r="B8" s="751"/>
      <c r="C8" s="1018" t="s">
        <v>152</v>
      </c>
      <c r="D8" s="753">
        <v>100</v>
      </c>
      <c r="E8" s="1018"/>
      <c r="F8" s="755">
        <f>SUMIF(73:73,E8,74:74)-SUMIF(73:73,C8,74:74)+100</f>
        <v>0</v>
      </c>
      <c r="G8" s="1018"/>
      <c r="H8" s="753">
        <f>SUMIF(73:73,G8,74:74)-SUMIF(73:73,C8,74:74)+100</f>
        <v>0</v>
      </c>
      <c r="I8" s="1018"/>
      <c r="J8" s="753">
        <f>SUMIF(73:73,I8,74:74)-SUMIF(73:73,C8,74:74)+100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45" si="3">D8/F8</f>
        <v>#DIV/0!</v>
      </c>
      <c r="AB8" s="1320" t="e">
        <f t="shared" ref="AB8:AB45" si="4">D8/H8</f>
        <v>#DIV/0!</v>
      </c>
      <c r="AC8" s="1320" t="e">
        <f t="shared" ref="AC8:AC45" si="5">D8/J8</f>
        <v>#DIV/0!</v>
      </c>
    </row>
    <row r="9" spans="1:30" s="407" customFormat="1">
      <c r="A9" s="757" t="s">
        <v>398</v>
      </c>
      <c r="B9" s="361" t="s">
        <v>416</v>
      </c>
      <c r="C9" s="1020"/>
      <c r="D9" s="424">
        <v>100</v>
      </c>
      <c r="E9" s="1020"/>
      <c r="F9" s="424">
        <f>SUMIF(75:75,E9,76:76)-SUMIF(75:75,C9,76:76)+100</f>
        <v>100</v>
      </c>
      <c r="G9" s="1020"/>
      <c r="H9" s="424">
        <f>SUMIF(75:75,G9,76:76)-SUMIF(75:75,C9,76:76)+100</f>
        <v>100</v>
      </c>
      <c r="I9" s="1020"/>
      <c r="J9" s="424">
        <f>SUMIF(75:75,I9,76:76)-SUMIF(75:75,C9,76:76)+100</f>
        <v>100</v>
      </c>
      <c r="K9" s="953"/>
      <c r="L9" s="2349"/>
      <c r="M9" s="2350"/>
      <c r="N9" s="2350"/>
      <c r="O9" s="2351"/>
      <c r="P9" s="3688" t="s">
        <v>399</v>
      </c>
      <c r="Q9" s="296" t="str">
        <f t="shared" ref="Q9:Q15" si="6">B9</f>
        <v>用途</v>
      </c>
      <c r="R9" s="1317" t="s">
        <v>62</v>
      </c>
      <c r="S9" s="1318">
        <f t="shared" si="0"/>
        <v>100</v>
      </c>
      <c r="T9" s="1317" t="s">
        <v>62</v>
      </c>
      <c r="U9" s="1318">
        <f t="shared" si="1"/>
        <v>100</v>
      </c>
      <c r="V9" s="1317" t="s">
        <v>62</v>
      </c>
      <c r="W9" s="1318">
        <f t="shared" si="2"/>
        <v>100</v>
      </c>
      <c r="X9" s="1319"/>
      <c r="Y9" s="3477" t="s">
        <v>400</v>
      </c>
      <c r="Z9" s="344" t="str">
        <f t="shared" ref="Z9:Z15" si="7">Q9</f>
        <v>用途</v>
      </c>
      <c r="AA9" s="1320">
        <f t="shared" si="3"/>
        <v>1</v>
      </c>
      <c r="AB9" s="1320">
        <f t="shared" si="4"/>
        <v>1</v>
      </c>
      <c r="AC9" s="1320">
        <f t="shared" si="5"/>
        <v>1</v>
      </c>
    </row>
    <row r="10" spans="1:30" s="769" customFormat="1" ht="27">
      <c r="A10" s="763"/>
      <c r="B10" s="764" t="s">
        <v>401</v>
      </c>
      <c r="C10" s="774"/>
      <c r="D10" s="425">
        <v>100</v>
      </c>
      <c r="E10" s="807"/>
      <c r="F10" s="425">
        <f>ROUND(100/'数据-取费表'!G16,0)</f>
        <v>107</v>
      </c>
      <c r="G10" s="805"/>
      <c r="H10" s="425">
        <f>ROUND(100/'数据-取费表'!G16,0)</f>
        <v>107</v>
      </c>
      <c r="I10" s="805"/>
      <c r="J10" s="425">
        <f>ROUND(100/'数据-取费表'!G16,0)</f>
        <v>107</v>
      </c>
      <c r="K10" s="1079"/>
      <c r="L10" s="2352"/>
      <c r="M10" s="2353"/>
      <c r="N10" s="2353"/>
      <c r="O10" s="2354"/>
      <c r="P10" s="3688"/>
      <c r="Q10" s="296" t="str">
        <f t="shared" si="6"/>
        <v>土地使用年限（年）</v>
      </c>
      <c r="R10" s="1317" t="s">
        <v>62</v>
      </c>
      <c r="S10" s="1318">
        <f t="shared" si="0"/>
        <v>107</v>
      </c>
      <c r="T10" s="1317" t="s">
        <v>62</v>
      </c>
      <c r="U10" s="1318">
        <f t="shared" si="1"/>
        <v>107</v>
      </c>
      <c r="V10" s="1317" t="s">
        <v>62</v>
      </c>
      <c r="W10" s="1318">
        <f t="shared" si="2"/>
        <v>107</v>
      </c>
      <c r="X10" s="1319"/>
      <c r="Y10" s="3477"/>
      <c r="Z10" s="344" t="str">
        <f t="shared" si="7"/>
        <v>土地使用年限（年）</v>
      </c>
      <c r="AA10" s="1320">
        <f t="shared" si="3"/>
        <v>0.93457943925233644</v>
      </c>
      <c r="AB10" s="1320">
        <f t="shared" si="4"/>
        <v>0.93457943925233644</v>
      </c>
      <c r="AC10" s="1320">
        <f t="shared" si="5"/>
        <v>0.93457943925233644</v>
      </c>
    </row>
    <row r="11" spans="1:30" ht="15">
      <c r="A11" s="770"/>
      <c r="B11" s="764" t="s">
        <v>402</v>
      </c>
      <c r="C11" s="771"/>
      <c r="D11" s="425">
        <v>100</v>
      </c>
      <c r="E11" s="771"/>
      <c r="F11" s="425" t="e">
        <f>LOOKUP(E11,80:80,81:81)-LOOKUP(C11,80:80,81:81)+100</f>
        <v>#N/A</v>
      </c>
      <c r="G11" s="772"/>
      <c r="H11" s="425" t="e">
        <f>LOOKUP(G11,80:80,81:81)-LOOKUP(C11,80:80,81:81)+100</f>
        <v>#N/A</v>
      </c>
      <c r="I11" s="771"/>
      <c r="J11" s="425" t="e">
        <f>LOOKUP(I11,80:80,81:81)-LOOKUP(C11,80:80,81:81)+100</f>
        <v>#N/A</v>
      </c>
      <c r="K11" s="1080"/>
      <c r="L11" s="2355"/>
      <c r="M11" s="2348"/>
      <c r="N11" s="2348"/>
      <c r="O11" s="2356"/>
      <c r="P11" s="3688"/>
      <c r="Q11" s="296" t="str">
        <f t="shared" si="6"/>
        <v>容积率</v>
      </c>
      <c r="R11" s="1317" t="s">
        <v>62</v>
      </c>
      <c r="S11" s="1318" t="e">
        <f t="shared" si="0"/>
        <v>#N/A</v>
      </c>
      <c r="T11" s="1317" t="s">
        <v>62</v>
      </c>
      <c r="U11" s="1318" t="e">
        <f t="shared" si="1"/>
        <v>#N/A</v>
      </c>
      <c r="V11" s="1317" t="s">
        <v>62</v>
      </c>
      <c r="W11" s="1318" t="e">
        <f t="shared" si="2"/>
        <v>#N/A</v>
      </c>
      <c r="X11" s="1319"/>
      <c r="Y11" s="3477"/>
      <c r="Z11" s="344" t="str">
        <f t="shared" si="7"/>
        <v>容积率</v>
      </c>
      <c r="AA11" s="1320" t="e">
        <f t="shared" si="3"/>
        <v>#N/A</v>
      </c>
      <c r="AB11" s="1320" t="e">
        <f t="shared" si="4"/>
        <v>#N/A</v>
      </c>
      <c r="AC11" s="1320" t="e">
        <f t="shared" si="5"/>
        <v>#N/A</v>
      </c>
    </row>
    <row r="12" spans="1:30" s="407" customFormat="1" ht="15">
      <c r="A12" s="773"/>
      <c r="B12" s="1029" t="s">
        <v>157</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688"/>
      <c r="Q12" s="296" t="str">
        <f t="shared" si="6"/>
        <v>配建</v>
      </c>
      <c r="R12" s="1317" t="s">
        <v>62</v>
      </c>
      <c r="S12" s="1318">
        <f t="shared" si="0"/>
        <v>100</v>
      </c>
      <c r="T12" s="1317" t="s">
        <v>62</v>
      </c>
      <c r="U12" s="1318">
        <f t="shared" si="1"/>
        <v>100</v>
      </c>
      <c r="V12" s="1317" t="s">
        <v>62</v>
      </c>
      <c r="W12" s="1318">
        <f t="shared" si="2"/>
        <v>100</v>
      </c>
      <c r="X12" s="1319"/>
      <c r="Y12" s="3477"/>
      <c r="Z12" s="344"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688"/>
      <c r="Q13" s="296">
        <f t="shared" si="6"/>
        <v>111</v>
      </c>
      <c r="R13" s="1317" t="s">
        <v>62</v>
      </c>
      <c r="S13" s="1318">
        <f t="shared" si="0"/>
        <v>100</v>
      </c>
      <c r="T13" s="1317" t="s">
        <v>62</v>
      </c>
      <c r="U13" s="1318">
        <f t="shared" si="1"/>
        <v>100</v>
      </c>
      <c r="V13" s="1317" t="s">
        <v>62</v>
      </c>
      <c r="W13" s="1318">
        <f t="shared" si="2"/>
        <v>100</v>
      </c>
      <c r="X13" s="1319"/>
      <c r="Y13" s="3477"/>
      <c r="Z13" s="344">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688"/>
      <c r="Q14" s="296">
        <f t="shared" si="6"/>
        <v>111</v>
      </c>
      <c r="R14" s="1317" t="s">
        <v>62</v>
      </c>
      <c r="S14" s="1318">
        <f t="shared" si="0"/>
        <v>100</v>
      </c>
      <c r="T14" s="1317" t="s">
        <v>62</v>
      </c>
      <c r="U14" s="1318">
        <f t="shared" si="1"/>
        <v>100</v>
      </c>
      <c r="V14" s="1317" t="s">
        <v>62</v>
      </c>
      <c r="W14" s="1318">
        <f t="shared" si="2"/>
        <v>100</v>
      </c>
      <c r="X14" s="1319"/>
      <c r="Y14" s="3477"/>
      <c r="Z14" s="344">
        <f t="shared" si="7"/>
        <v>111</v>
      </c>
      <c r="AA14" s="1320">
        <f>D14/F14</f>
        <v>1</v>
      </c>
      <c r="AB14" s="1320">
        <f>D14/H14</f>
        <v>1</v>
      </c>
      <c r="AC14" s="1320">
        <f>D14/J14</f>
        <v>1</v>
      </c>
    </row>
    <row r="15" spans="1:30" ht="94.5">
      <c r="A15" s="782" t="s">
        <v>403</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703" t="s">
        <v>404</v>
      </c>
      <c r="Q15" s="1321" t="str">
        <f t="shared" si="6"/>
        <v>居住社区成熟度</v>
      </c>
      <c r="R15" s="1322" t="s">
        <v>62</v>
      </c>
      <c r="S15" s="1323">
        <f t="shared" si="0"/>
        <v>100</v>
      </c>
      <c r="T15" s="1322" t="s">
        <v>62</v>
      </c>
      <c r="U15" s="1323">
        <f t="shared" si="1"/>
        <v>100</v>
      </c>
      <c r="V15" s="1322" t="s">
        <v>62</v>
      </c>
      <c r="W15" s="1323">
        <f t="shared" si="2"/>
        <v>100</v>
      </c>
      <c r="X15" s="1316"/>
      <c r="Y15" s="3703"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704"/>
      <c r="Q16" s="1321"/>
      <c r="R16" s="1322"/>
      <c r="S16" s="1323"/>
      <c r="T16" s="1322"/>
      <c r="U16" s="1323"/>
      <c r="V16" s="1322"/>
      <c r="W16" s="1323"/>
      <c r="X16" s="1316"/>
      <c r="Y16" s="3704"/>
      <c r="Z16" s="1324"/>
      <c r="AA16" s="1325">
        <v>1</v>
      </c>
      <c r="AB16" s="1325">
        <v>1</v>
      </c>
      <c r="AC16" s="1325">
        <v>1</v>
      </c>
    </row>
    <row r="17" spans="1:29" ht="81">
      <c r="A17" s="770"/>
      <c r="B17" s="793" t="s">
        <v>433</v>
      </c>
      <c r="C17" s="190" t="str">
        <f>估价对象房地状况!C16</f>
        <v>估价对象位于开发区，周边商业氛围一般，人流量一般，商业繁华度一般</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704"/>
      <c r="Q17" s="1321" t="str">
        <f>B17</f>
        <v>商业繁华度</v>
      </c>
      <c r="R17" s="1322" t="s">
        <v>62</v>
      </c>
      <c r="S17" s="1323">
        <f>F17</f>
        <v>100</v>
      </c>
      <c r="T17" s="1322" t="s">
        <v>62</v>
      </c>
      <c r="U17" s="1323">
        <f>H17</f>
        <v>100</v>
      </c>
      <c r="V17" s="1322" t="s">
        <v>62</v>
      </c>
      <c r="W17" s="1323">
        <f>J17</f>
        <v>100</v>
      </c>
      <c r="X17" s="1316"/>
      <c r="Y17" s="3704"/>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704"/>
      <c r="Q18" s="1321"/>
      <c r="R18" s="1322"/>
      <c r="S18" s="1323"/>
      <c r="T18" s="1322"/>
      <c r="U18" s="1323"/>
      <c r="V18" s="1322"/>
      <c r="W18" s="1323"/>
      <c r="X18" s="1316"/>
      <c r="Y18" s="3704"/>
      <c r="Z18" s="1324"/>
      <c r="AA18" s="1325">
        <v>1</v>
      </c>
      <c r="AB18" s="1325">
        <v>1</v>
      </c>
      <c r="AC18" s="1325">
        <v>1</v>
      </c>
    </row>
    <row r="19" spans="1:29" ht="81">
      <c r="A19" s="770"/>
      <c r="B19" s="793" t="s">
        <v>438</v>
      </c>
      <c r="C19" s="190" t="str">
        <f>估价对象房地状况!C17</f>
        <v>估价对象位于开发区，周边办公楼项目较多，入驻率高，办公集聚程度一般</v>
      </c>
      <c r="D19" s="797">
        <v>100</v>
      </c>
      <c r="E19" s="799"/>
      <c r="F19" s="797">
        <f>SUMIF(92:92,E20,93:93)-SUMIF(92:92,C20,93:93)+100</f>
        <v>100</v>
      </c>
      <c r="G19" s="799"/>
      <c r="H19" s="792">
        <f>SUMIF(92:92,G20,93:93)-SUMIF(92:92,C20,93:93)+100</f>
        <v>100</v>
      </c>
      <c r="I19" s="801"/>
      <c r="J19" s="792">
        <f>SUMIF(92:92,I20,93:93)-SUMIF(92:92,C20,93:93)+100</f>
        <v>100</v>
      </c>
      <c r="K19" s="1080"/>
      <c r="L19" s="2357"/>
      <c r="M19" s="2348"/>
      <c r="N19" s="2348"/>
      <c r="O19" s="2356"/>
      <c r="P19" s="3704"/>
      <c r="Q19" s="1321" t="str">
        <f>B19</f>
        <v>办公集聚程度</v>
      </c>
      <c r="R19" s="1322" t="s">
        <v>62</v>
      </c>
      <c r="S19" s="1323">
        <f>F19</f>
        <v>100</v>
      </c>
      <c r="T19" s="1322" t="s">
        <v>62</v>
      </c>
      <c r="U19" s="1323">
        <f>H19</f>
        <v>100</v>
      </c>
      <c r="V19" s="1322" t="s">
        <v>62</v>
      </c>
      <c r="W19" s="1323">
        <f>J19</f>
        <v>100</v>
      </c>
      <c r="X19" s="1316"/>
      <c r="Y19" s="3704"/>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79"/>
      <c r="L20" s="2357"/>
      <c r="M20" s="2348"/>
      <c r="N20" s="2348"/>
      <c r="O20" s="2356"/>
      <c r="P20" s="3704"/>
      <c r="Q20" s="1321"/>
      <c r="R20" s="1322"/>
      <c r="S20" s="1323"/>
      <c r="T20" s="1322"/>
      <c r="U20" s="1323"/>
      <c r="V20" s="1322"/>
      <c r="W20" s="1323"/>
      <c r="X20" s="1316"/>
      <c r="Y20" s="3704"/>
      <c r="Z20" s="1324"/>
      <c r="AA20" s="1325">
        <v>1</v>
      </c>
      <c r="AB20" s="1325">
        <v>1</v>
      </c>
      <c r="AC20" s="1325">
        <v>1</v>
      </c>
    </row>
    <row r="21" spans="1:29" ht="94.5">
      <c r="A21" s="770"/>
      <c r="B21" s="793" t="s">
        <v>453</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c r="L21" s="2357"/>
      <c r="M21" s="2348"/>
      <c r="N21" s="2348"/>
      <c r="O21" s="2356"/>
      <c r="P21" s="3704"/>
      <c r="Q21" s="1321" t="str">
        <f>B21</f>
        <v>交通便捷度</v>
      </c>
      <c r="R21" s="1322" t="s">
        <v>62</v>
      </c>
      <c r="S21" s="1323">
        <f>F21</f>
        <v>100</v>
      </c>
      <c r="T21" s="1322" t="s">
        <v>62</v>
      </c>
      <c r="U21" s="1323">
        <f>H21</f>
        <v>100</v>
      </c>
      <c r="V21" s="1322" t="s">
        <v>62</v>
      </c>
      <c r="W21" s="1323">
        <f>J21</f>
        <v>100</v>
      </c>
      <c r="X21" s="1316"/>
      <c r="Y21" s="3704"/>
      <c r="Z21" s="1324" t="str">
        <f>Q21</f>
        <v>交通便捷度</v>
      </c>
      <c r="AA21" s="1325">
        <f t="shared" si="3"/>
        <v>1</v>
      </c>
      <c r="AB21" s="1325">
        <f t="shared" si="4"/>
        <v>1</v>
      </c>
      <c r="AC21" s="1325">
        <f t="shared" si="5"/>
        <v>1</v>
      </c>
    </row>
    <row r="22" spans="1:29" ht="15">
      <c r="A22" s="770"/>
      <c r="B22" s="2767"/>
      <c r="C22" s="97"/>
      <c r="D22" s="792"/>
      <c r="E22" s="98"/>
      <c r="F22" s="790"/>
      <c r="G22" s="98"/>
      <c r="H22" s="790"/>
      <c r="I22" s="99"/>
      <c r="J22" s="790"/>
      <c r="K22" s="1079"/>
      <c r="L22" s="2357"/>
      <c r="M22" s="2348"/>
      <c r="N22" s="2348"/>
      <c r="O22" s="2356"/>
      <c r="P22" s="3704"/>
      <c r="Q22" s="1321"/>
      <c r="R22" s="1322"/>
      <c r="S22" s="1323"/>
      <c r="T22" s="1322"/>
      <c r="U22" s="1323"/>
      <c r="V22" s="1322"/>
      <c r="W22" s="1323"/>
      <c r="X22" s="1316"/>
      <c r="Y22" s="3704"/>
      <c r="Z22" s="1324"/>
      <c r="AA22" s="1325">
        <v>1</v>
      </c>
      <c r="AB22" s="1325">
        <v>1</v>
      </c>
      <c r="AC22" s="1325">
        <v>1</v>
      </c>
    </row>
    <row r="23" spans="1:29" ht="27">
      <c r="A23" s="746"/>
      <c r="B23" s="793" t="s">
        <v>480</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c r="L23" s="2357"/>
      <c r="M23" s="2348"/>
      <c r="N23" s="2348"/>
      <c r="O23" s="2356"/>
      <c r="P23" s="3704"/>
      <c r="Q23" s="1321" t="str">
        <f t="shared" ref="Q23:Q37" si="8">B23</f>
        <v>区域土地利用方向</v>
      </c>
      <c r="R23" s="1322" t="s">
        <v>62</v>
      </c>
      <c r="S23" s="1323">
        <f>F23</f>
        <v>100</v>
      </c>
      <c r="T23" s="1322" t="s">
        <v>62</v>
      </c>
      <c r="U23" s="1323">
        <f>H23</f>
        <v>100</v>
      </c>
      <c r="V23" s="1322" t="s">
        <v>62</v>
      </c>
      <c r="W23" s="1323">
        <f>J23</f>
        <v>100</v>
      </c>
      <c r="X23" s="1316"/>
      <c r="Y23" s="3704"/>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4"/>
      <c r="L24" s="2357"/>
      <c r="M24" s="2348"/>
      <c r="N24" s="2348"/>
      <c r="O24" s="2356"/>
      <c r="P24" s="3704"/>
      <c r="Q24" s="1468"/>
      <c r="R24" s="1322"/>
      <c r="S24" s="1323"/>
      <c r="T24" s="1322"/>
      <c r="U24" s="1323"/>
      <c r="V24" s="1322"/>
      <c r="W24" s="1323"/>
      <c r="X24" s="1467"/>
      <c r="Y24" s="3704"/>
      <c r="Z24" s="1469"/>
      <c r="AA24" s="1325"/>
      <c r="AB24" s="1325"/>
      <c r="AC24" s="1325"/>
    </row>
    <row r="25" spans="1:29" ht="54">
      <c r="A25" s="746"/>
      <c r="B25" s="2767" t="s">
        <v>481</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c r="L25" s="2357"/>
      <c r="M25" s="2348"/>
      <c r="N25" s="2348"/>
      <c r="O25" s="2356"/>
      <c r="P25" s="3704"/>
      <c r="Q25" s="1321" t="str">
        <f t="shared" si="8"/>
        <v>自然及人文环境状况</v>
      </c>
      <c r="R25" s="1322" t="s">
        <v>62</v>
      </c>
      <c r="S25" s="1323">
        <f>F25</f>
        <v>100</v>
      </c>
      <c r="T25" s="1322" t="s">
        <v>62</v>
      </c>
      <c r="U25" s="1323">
        <f>H25</f>
        <v>100</v>
      </c>
      <c r="V25" s="1322" t="s">
        <v>62</v>
      </c>
      <c r="W25" s="1323">
        <f>J25</f>
        <v>100</v>
      </c>
      <c r="X25" s="1316"/>
      <c r="Y25" s="3704"/>
      <c r="Z25" s="1324" t="str">
        <f>Q25</f>
        <v>自然及人文环境状况</v>
      </c>
      <c r="AA25" s="1325">
        <f t="shared" si="3"/>
        <v>1</v>
      </c>
      <c r="AB25" s="1325">
        <f t="shared" si="4"/>
        <v>1</v>
      </c>
      <c r="AC25" s="1325">
        <f t="shared" si="5"/>
        <v>1</v>
      </c>
    </row>
    <row r="26" spans="1:29" ht="15">
      <c r="A26" s="746"/>
      <c r="B26" s="798"/>
      <c r="C26" s="97"/>
      <c r="D26" s="790"/>
      <c r="E26" s="192"/>
      <c r="F26" s="790"/>
      <c r="G26" s="192"/>
      <c r="H26" s="790"/>
      <c r="I26" s="97"/>
      <c r="J26" s="790"/>
      <c r="K26" s="1079"/>
      <c r="L26" s="2357"/>
      <c r="M26" s="2348"/>
      <c r="N26" s="2348"/>
      <c r="O26" s="2356"/>
      <c r="P26" s="3704"/>
      <c r="Q26" s="1321"/>
      <c r="R26" s="1322"/>
      <c r="S26" s="1323"/>
      <c r="T26" s="1322"/>
      <c r="U26" s="1323"/>
      <c r="V26" s="1322"/>
      <c r="W26" s="1323"/>
      <c r="X26" s="1316"/>
      <c r="Y26" s="3704"/>
      <c r="Z26" s="1324"/>
      <c r="AA26" s="1325">
        <v>1</v>
      </c>
      <c r="AB26" s="1325">
        <v>1</v>
      </c>
      <c r="AC26" s="1325">
        <v>1</v>
      </c>
    </row>
    <row r="27" spans="1:29" s="407" customFormat="1" ht="40.5">
      <c r="A27" s="990"/>
      <c r="B27" s="1410" t="s">
        <v>2666</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0"/>
      <c r="L27" s="2349"/>
      <c r="M27" s="2350"/>
      <c r="N27" s="2350"/>
      <c r="O27" s="2351"/>
      <c r="P27" s="3704"/>
      <c r="Q27" s="296" t="str">
        <f t="shared" si="8"/>
        <v>公共配套设施</v>
      </c>
      <c r="R27" s="1317" t="s">
        <v>62</v>
      </c>
      <c r="S27" s="1318">
        <f>F27</f>
        <v>100</v>
      </c>
      <c r="T27" s="1317" t="s">
        <v>62</v>
      </c>
      <c r="U27" s="1318">
        <f>H27</f>
        <v>100</v>
      </c>
      <c r="V27" s="1317" t="s">
        <v>62</v>
      </c>
      <c r="W27" s="1318">
        <f>J27</f>
        <v>100</v>
      </c>
      <c r="X27" s="1319"/>
      <c r="Y27" s="3704"/>
      <c r="Z27" s="344" t="str">
        <f>Q27</f>
        <v>公共配套设施</v>
      </c>
      <c r="AA27" s="1325">
        <f>D27/F27</f>
        <v>1</v>
      </c>
      <c r="AB27" s="1325">
        <f>D27/H27</f>
        <v>1</v>
      </c>
      <c r="AC27" s="1325">
        <f>D27/J27</f>
        <v>1</v>
      </c>
    </row>
    <row r="28" spans="1:29" s="407" customFormat="1" ht="15">
      <c r="A28" s="990"/>
      <c r="B28" s="798"/>
      <c r="C28" s="2773"/>
      <c r="D28" s="790"/>
      <c r="E28" s="192"/>
      <c r="F28" s="790"/>
      <c r="G28" s="192"/>
      <c r="H28" s="790"/>
      <c r="I28" s="97"/>
      <c r="J28" s="790"/>
      <c r="K28" s="1079"/>
      <c r="L28" s="2349"/>
      <c r="M28" s="2350"/>
      <c r="N28" s="2350"/>
      <c r="O28" s="2351"/>
      <c r="P28" s="3704"/>
      <c r="Q28" s="296"/>
      <c r="R28" s="1317"/>
      <c r="S28" s="1318"/>
      <c r="T28" s="1317"/>
      <c r="U28" s="1318"/>
      <c r="V28" s="1317"/>
      <c r="W28" s="1318"/>
      <c r="X28" s="1319"/>
      <c r="Y28" s="3704"/>
      <c r="Z28" s="344"/>
      <c r="AA28" s="1325">
        <v>1</v>
      </c>
      <c r="AB28" s="1325">
        <v>1</v>
      </c>
      <c r="AC28" s="1325">
        <v>1</v>
      </c>
    </row>
    <row r="29" spans="1:29" s="407" customFormat="1" ht="40.5">
      <c r="A29" s="990"/>
      <c r="B29" s="1410" t="s">
        <v>2667</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704"/>
      <c r="Q29" s="2742" t="str">
        <f t="shared" ref="Q29" si="9">B29</f>
        <v>基础设施水平</v>
      </c>
      <c r="R29" s="1317" t="s">
        <v>62</v>
      </c>
      <c r="S29" s="1318">
        <f>F29</f>
        <v>100</v>
      </c>
      <c r="T29" s="1317" t="s">
        <v>62</v>
      </c>
      <c r="U29" s="1318">
        <f>H29</f>
        <v>100</v>
      </c>
      <c r="V29" s="1317" t="s">
        <v>62</v>
      </c>
      <c r="W29" s="1318">
        <f>J29</f>
        <v>100</v>
      </c>
      <c r="X29" s="1319"/>
      <c r="Y29" s="3704"/>
      <c r="Z29" s="344" t="str">
        <f>Q29</f>
        <v>基础设施水平</v>
      </c>
      <c r="AA29" s="1325">
        <f>D29/F29</f>
        <v>1</v>
      </c>
      <c r="AB29" s="1325">
        <f>D29/H29</f>
        <v>1</v>
      </c>
      <c r="AC29" s="1325">
        <f>D29/J29</f>
        <v>1</v>
      </c>
    </row>
    <row r="30" spans="1:29" s="407" customFormat="1" ht="15">
      <c r="A30" s="990"/>
      <c r="B30" s="798"/>
      <c r="C30" s="2773"/>
      <c r="D30" s="790"/>
      <c r="E30" s="1035"/>
      <c r="F30" s="790"/>
      <c r="G30" s="1035"/>
      <c r="H30" s="790"/>
      <c r="I30" s="1035"/>
      <c r="J30" s="790"/>
      <c r="K30" s="1079"/>
      <c r="L30" s="2349"/>
      <c r="M30" s="2350"/>
      <c r="N30" s="2350"/>
      <c r="O30" s="2351"/>
      <c r="P30" s="3704"/>
      <c r="Q30" s="2742"/>
      <c r="R30" s="1317"/>
      <c r="S30" s="1318"/>
      <c r="T30" s="1317"/>
      <c r="U30" s="1318"/>
      <c r="V30" s="1317"/>
      <c r="W30" s="1318"/>
      <c r="X30" s="1319"/>
      <c r="Y30" s="3704"/>
      <c r="Z30" s="344"/>
      <c r="AA30" s="1325">
        <v>1</v>
      </c>
      <c r="AB30" s="1325">
        <v>1</v>
      </c>
      <c r="AC30" s="1325">
        <v>1</v>
      </c>
    </row>
    <row r="31" spans="1:29" ht="15">
      <c r="A31" s="770"/>
      <c r="B31" s="798" t="s">
        <v>434</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0"/>
      <c r="L31" s="2357"/>
      <c r="M31" s="2348"/>
      <c r="N31" s="2348"/>
      <c r="O31" s="2356"/>
      <c r="P31" s="3704"/>
      <c r="Q31" s="1321" t="str">
        <f t="shared" si="8"/>
        <v>临街状况</v>
      </c>
      <c r="R31" s="1322" t="s">
        <v>62</v>
      </c>
      <c r="S31" s="1323">
        <f t="shared" ref="S31:S45" si="10">F31</f>
        <v>100</v>
      </c>
      <c r="T31" s="1322" t="s">
        <v>62</v>
      </c>
      <c r="U31" s="1323">
        <f t="shared" ref="U31:U45" si="11">H31</f>
        <v>100</v>
      </c>
      <c r="V31" s="1322" t="s">
        <v>62</v>
      </c>
      <c r="W31" s="1323">
        <f t="shared" ref="W31:W45" si="12">J31</f>
        <v>100</v>
      </c>
      <c r="X31" s="1316"/>
      <c r="Y31" s="3704"/>
      <c r="Z31" s="1324" t="str">
        <f t="shared" ref="Z31:Z45" si="13">Q31</f>
        <v>临街状况</v>
      </c>
      <c r="AA31" s="1325">
        <f t="shared" si="3"/>
        <v>1</v>
      </c>
      <c r="AB31" s="1325">
        <f t="shared" si="4"/>
        <v>1</v>
      </c>
      <c r="AC31" s="1325">
        <f t="shared" si="5"/>
        <v>1</v>
      </c>
    </row>
    <row r="32" spans="1:29" ht="27">
      <c r="A32" s="770"/>
      <c r="B32" s="2767" t="s">
        <v>439</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0"/>
      <c r="L32" s="2357"/>
      <c r="M32" s="2348"/>
      <c r="N32" s="2348"/>
      <c r="O32" s="2356"/>
      <c r="P32" s="3704"/>
      <c r="Q32" s="1321" t="str">
        <f t="shared" si="8"/>
        <v>毗邻道路的类型与等级</v>
      </c>
      <c r="R32" s="1322" t="s">
        <v>62</v>
      </c>
      <c r="S32" s="1323">
        <f t="shared" si="10"/>
        <v>100</v>
      </c>
      <c r="T32" s="1322" t="s">
        <v>62</v>
      </c>
      <c r="U32" s="1323">
        <f t="shared" si="11"/>
        <v>100</v>
      </c>
      <c r="V32" s="1322" t="s">
        <v>62</v>
      </c>
      <c r="W32" s="1323">
        <f t="shared" si="12"/>
        <v>100</v>
      </c>
      <c r="X32" s="1316"/>
      <c r="Y32" s="3704"/>
      <c r="Z32" s="1324" t="str">
        <f t="shared" si="13"/>
        <v>毗邻道路的类型与等级</v>
      </c>
      <c r="AA32" s="1325">
        <f t="shared" si="3"/>
        <v>1</v>
      </c>
      <c r="AB32" s="1325">
        <f t="shared" si="4"/>
        <v>1</v>
      </c>
      <c r="AC32" s="1325">
        <f t="shared" si="5"/>
        <v>1</v>
      </c>
    </row>
    <row r="33" spans="1:29" ht="15">
      <c r="A33" s="770"/>
      <c r="B33" s="798"/>
      <c r="C33" s="97"/>
      <c r="D33" s="790"/>
      <c r="E33" s="192"/>
      <c r="F33" s="790"/>
      <c r="G33" s="192"/>
      <c r="H33" s="790"/>
      <c r="I33" s="97"/>
      <c r="J33" s="790"/>
      <c r="K33" s="955"/>
      <c r="L33" s="2357"/>
      <c r="M33" s="2348"/>
      <c r="N33" s="2348"/>
      <c r="O33" s="2356"/>
      <c r="P33" s="3704"/>
      <c r="Q33" s="1321"/>
      <c r="R33" s="1322"/>
      <c r="S33" s="1323"/>
      <c r="T33" s="1322"/>
      <c r="U33" s="1323"/>
      <c r="V33" s="1322"/>
      <c r="W33" s="1323"/>
      <c r="X33" s="1316"/>
      <c r="Y33" s="3704"/>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704"/>
      <c r="Q34" s="1321" t="str">
        <f t="shared" si="8"/>
        <v>土地级别</v>
      </c>
      <c r="R34" s="1322" t="s">
        <v>62</v>
      </c>
      <c r="S34" s="1323">
        <f t="shared" si="10"/>
        <v>100</v>
      </c>
      <c r="T34" s="1322" t="s">
        <v>62</v>
      </c>
      <c r="U34" s="1323">
        <f t="shared" si="11"/>
        <v>100</v>
      </c>
      <c r="V34" s="1322" t="s">
        <v>62</v>
      </c>
      <c r="W34" s="1323">
        <f t="shared" si="12"/>
        <v>100</v>
      </c>
      <c r="X34" s="1316"/>
      <c r="Y34" s="3704"/>
      <c r="Z34" s="1324" t="str">
        <f t="shared" si="13"/>
        <v>土地级别</v>
      </c>
      <c r="AA34" s="1325">
        <f t="shared" si="3"/>
        <v>1</v>
      </c>
      <c r="AB34" s="1325">
        <f t="shared" si="4"/>
        <v>1</v>
      </c>
      <c r="AC34" s="1325">
        <f t="shared" si="5"/>
        <v>1</v>
      </c>
    </row>
    <row r="35" spans="1:29" ht="15">
      <c r="A35" s="746"/>
      <c r="B35" s="2769">
        <v>111</v>
      </c>
      <c r="C35" s="1081"/>
      <c r="D35" s="777">
        <v>100</v>
      </c>
      <c r="E35" s="819"/>
      <c r="F35" s="777">
        <f>SUMIF(110:110,E35,111:111)-SUMIF(110:110,C35,111:111)+100</f>
        <v>100</v>
      </c>
      <c r="G35" s="819"/>
      <c r="H35" s="777">
        <f>SUMIF(110:110,G35,111:111)-SUMIF(110:110,C35,111:111)+100</f>
        <v>100</v>
      </c>
      <c r="I35" s="1081"/>
      <c r="J35" s="777">
        <f>SUMIF(110:110,I35,111:111)-SUMIF(110:110,C35,111:111)+100</f>
        <v>100</v>
      </c>
      <c r="K35" s="955"/>
      <c r="L35" s="2357"/>
      <c r="M35" s="2348"/>
      <c r="N35" s="2348"/>
      <c r="O35" s="2356"/>
      <c r="P35" s="3704"/>
      <c r="Q35" s="1321">
        <f t="shared" si="8"/>
        <v>111</v>
      </c>
      <c r="R35" s="1322" t="s">
        <v>62</v>
      </c>
      <c r="S35" s="1323">
        <f t="shared" si="10"/>
        <v>100</v>
      </c>
      <c r="T35" s="1322" t="s">
        <v>62</v>
      </c>
      <c r="U35" s="1323">
        <f t="shared" si="11"/>
        <v>100</v>
      </c>
      <c r="V35" s="1322" t="s">
        <v>62</v>
      </c>
      <c r="W35" s="1323">
        <f t="shared" si="12"/>
        <v>100</v>
      </c>
      <c r="X35" s="1316"/>
      <c r="Y35" s="3704"/>
      <c r="Z35" s="1324">
        <f t="shared" si="13"/>
        <v>111</v>
      </c>
      <c r="AA35" s="1325">
        <f t="shared" si="3"/>
        <v>1</v>
      </c>
      <c r="AB35" s="1325">
        <f t="shared" si="4"/>
        <v>1</v>
      </c>
      <c r="AC35" s="1325">
        <f t="shared" si="5"/>
        <v>1</v>
      </c>
    </row>
    <row r="36" spans="1:29" ht="15">
      <c r="A36" s="1082"/>
      <c r="B36" s="2770">
        <v>111</v>
      </c>
      <c r="C36" s="1081"/>
      <c r="D36" s="777">
        <v>100</v>
      </c>
      <c r="E36" s="819"/>
      <c r="F36" s="777">
        <f>SUMIF(112:112,E37,113:113)-SUMIF(112:112,C37,113:113)+100</f>
        <v>100</v>
      </c>
      <c r="G36" s="819"/>
      <c r="H36" s="777">
        <f>SUMIF(112:112,G36,113:113)-SUMIF(112:112,C36,113:113)+100</f>
        <v>100</v>
      </c>
      <c r="I36" s="1081"/>
      <c r="J36" s="777">
        <f>SUMIF(112:112,I36,113:113)-SUMIF(112:112,C36,113:113)+100</f>
        <v>100</v>
      </c>
      <c r="K36" s="955"/>
      <c r="L36" s="2357"/>
      <c r="M36" s="2348"/>
      <c r="N36" s="2348"/>
      <c r="O36" s="2356"/>
      <c r="P36" s="3705" t="s">
        <v>406</v>
      </c>
      <c r="Q36" s="1321">
        <f t="shared" si="8"/>
        <v>111</v>
      </c>
      <c r="R36" s="1322" t="s">
        <v>62</v>
      </c>
      <c r="S36" s="1323">
        <f t="shared" si="10"/>
        <v>100</v>
      </c>
      <c r="T36" s="1322" t="s">
        <v>62</v>
      </c>
      <c r="U36" s="1323">
        <f t="shared" si="11"/>
        <v>100</v>
      </c>
      <c r="V36" s="1322" t="s">
        <v>62</v>
      </c>
      <c r="W36" s="1323">
        <f t="shared" si="12"/>
        <v>100</v>
      </c>
      <c r="X36" s="1316"/>
      <c r="Y36" s="3706" t="s">
        <v>406</v>
      </c>
      <c r="Z36" s="1324">
        <f t="shared" si="13"/>
        <v>111</v>
      </c>
      <c r="AA36" s="1325">
        <f t="shared" si="3"/>
        <v>1</v>
      </c>
      <c r="AB36" s="1325">
        <f t="shared" si="4"/>
        <v>1</v>
      </c>
      <c r="AC36" s="1325">
        <f t="shared" si="5"/>
        <v>1</v>
      </c>
    </row>
    <row r="37" spans="1:29" s="813" customFormat="1" ht="15.75" thickBot="1">
      <c r="A37" s="1083"/>
      <c r="B37" s="2771">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5"/>
      <c r="L37" s="2355"/>
      <c r="M37" s="2358"/>
      <c r="N37" s="2358"/>
      <c r="O37" s="2359"/>
      <c r="P37" s="3706"/>
      <c r="Q37" s="1321">
        <f t="shared" si="8"/>
        <v>111</v>
      </c>
      <c r="R37" s="1327" t="s">
        <v>62</v>
      </c>
      <c r="S37" s="1328">
        <f t="shared" si="10"/>
        <v>100</v>
      </c>
      <c r="T37" s="1327" t="s">
        <v>62</v>
      </c>
      <c r="U37" s="1328">
        <f t="shared" si="11"/>
        <v>100</v>
      </c>
      <c r="V37" s="1327" t="s">
        <v>62</v>
      </c>
      <c r="W37" s="1328">
        <f t="shared" si="12"/>
        <v>100</v>
      </c>
      <c r="X37" s="1329"/>
      <c r="Y37" s="3706"/>
      <c r="Z37" s="1330">
        <f t="shared" si="13"/>
        <v>111</v>
      </c>
      <c r="AA37" s="1325">
        <f t="shared" si="3"/>
        <v>1</v>
      </c>
      <c r="AB37" s="1325">
        <f t="shared" si="4"/>
        <v>1</v>
      </c>
      <c r="AC37" s="1325">
        <f t="shared" si="5"/>
        <v>1</v>
      </c>
    </row>
    <row r="38" spans="1:29" ht="15">
      <c r="A38" s="814" t="s">
        <v>405</v>
      </c>
      <c r="B38" s="798" t="s">
        <v>483</v>
      </c>
      <c r="C38" s="1086"/>
      <c r="D38" s="809">
        <v>100</v>
      </c>
      <c r="E38" s="1086"/>
      <c r="F38" s="809" t="e">
        <f>LOOKUP(E38,117:117,118:118)-LOOKUP(C38,117:117,118:118)+100</f>
        <v>#N/A</v>
      </c>
      <c r="G38" s="1086"/>
      <c r="H38" s="809" t="e">
        <f>LOOKUP(G38,117:117,118:118)-LOOKUP(C38,117:117,118:118)+100</f>
        <v>#N/A</v>
      </c>
      <c r="I38" s="872"/>
      <c r="J38" s="809" t="e">
        <f>LOOKUP(I38,117:117,118:118)-LOOKUP(C38,117:117,118:118)+100</f>
        <v>#N/A</v>
      </c>
      <c r="K38" s="955"/>
      <c r="L38" s="2357"/>
      <c r="M38" s="2348"/>
      <c r="N38" s="2348"/>
      <c r="O38" s="2356"/>
      <c r="P38" s="3706"/>
      <c r="Q38" s="1321" t="str">
        <f>B38</f>
        <v>宗地面积</v>
      </c>
      <c r="R38" s="1322" t="s">
        <v>62</v>
      </c>
      <c r="S38" s="1323" t="e">
        <f t="shared" si="10"/>
        <v>#N/A</v>
      </c>
      <c r="T38" s="1322" t="s">
        <v>62</v>
      </c>
      <c r="U38" s="1323" t="e">
        <f t="shared" si="11"/>
        <v>#N/A</v>
      </c>
      <c r="V38" s="1322" t="s">
        <v>62</v>
      </c>
      <c r="W38" s="1323" t="e">
        <f t="shared" si="12"/>
        <v>#N/A</v>
      </c>
      <c r="X38" s="1316"/>
      <c r="Y38" s="3706"/>
      <c r="Z38" s="1324" t="str">
        <f t="shared" si="13"/>
        <v>宗地面积</v>
      </c>
      <c r="AA38" s="1325" t="e">
        <f t="shared" si="3"/>
        <v>#N/A</v>
      </c>
      <c r="AB38" s="1325" t="e">
        <f t="shared" si="4"/>
        <v>#N/A</v>
      </c>
      <c r="AC38" s="1325" t="e">
        <f t="shared" si="5"/>
        <v>#N/A</v>
      </c>
    </row>
    <row r="39" spans="1:29" ht="15">
      <c r="A39" s="814"/>
      <c r="B39" s="764" t="s">
        <v>484</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706"/>
      <c r="Q39" s="1321" t="str">
        <f t="shared" ref="Q39:Q45" si="14">B39</f>
        <v>宗地形状</v>
      </c>
      <c r="R39" s="1322" t="s">
        <v>62</v>
      </c>
      <c r="S39" s="1323">
        <f t="shared" si="10"/>
        <v>100</v>
      </c>
      <c r="T39" s="1322" t="s">
        <v>62</v>
      </c>
      <c r="U39" s="1323">
        <f t="shared" si="11"/>
        <v>100</v>
      </c>
      <c r="V39" s="1322" t="s">
        <v>62</v>
      </c>
      <c r="W39" s="1323">
        <f t="shared" si="12"/>
        <v>100</v>
      </c>
      <c r="X39" s="1316"/>
      <c r="Y39" s="3706"/>
      <c r="Z39" s="1324" t="str">
        <f t="shared" si="13"/>
        <v>宗地形状</v>
      </c>
      <c r="AA39" s="1325">
        <f t="shared" si="3"/>
        <v>1</v>
      </c>
      <c r="AB39" s="1325">
        <f t="shared" si="4"/>
        <v>1</v>
      </c>
      <c r="AC39" s="1325">
        <f t="shared" si="5"/>
        <v>1</v>
      </c>
    </row>
    <row r="40" spans="1:29" ht="15">
      <c r="A40" s="814"/>
      <c r="B40" s="764" t="s">
        <v>485</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706"/>
      <c r="Q40" s="1321" t="str">
        <f t="shared" si="14"/>
        <v>临街宽度及深度</v>
      </c>
      <c r="R40" s="1322" t="s">
        <v>62</v>
      </c>
      <c r="S40" s="1323">
        <f t="shared" si="10"/>
        <v>100</v>
      </c>
      <c r="T40" s="1322" t="s">
        <v>62</v>
      </c>
      <c r="U40" s="1323">
        <f t="shared" si="11"/>
        <v>100</v>
      </c>
      <c r="V40" s="1322" t="s">
        <v>62</v>
      </c>
      <c r="W40" s="1323">
        <f t="shared" si="12"/>
        <v>100</v>
      </c>
      <c r="X40" s="1316"/>
      <c r="Y40" s="3706"/>
      <c r="Z40" s="1324" t="str">
        <f t="shared" si="13"/>
        <v>临街宽度及深度</v>
      </c>
      <c r="AA40" s="1325">
        <f t="shared" si="3"/>
        <v>1</v>
      </c>
      <c r="AB40" s="1325">
        <f t="shared" si="4"/>
        <v>1</v>
      </c>
      <c r="AC40" s="1325">
        <f t="shared" si="5"/>
        <v>1</v>
      </c>
    </row>
    <row r="41" spans="1:29" s="407" customFormat="1" ht="15">
      <c r="A41" s="815"/>
      <c r="B41" s="2608" t="s">
        <v>2498</v>
      </c>
      <c r="C41" s="1040"/>
      <c r="D41" s="425">
        <v>100</v>
      </c>
      <c r="E41" s="1040"/>
      <c r="F41" s="777">
        <f>SUMIF(123:123,E41,124:124)-SUMIF(123:123,C41,124:124)+100</f>
        <v>100</v>
      </c>
      <c r="G41" s="1040"/>
      <c r="H41" s="777">
        <f>SUMIF(123:123,G41,124:124)-SUMIF(123:123,C41,124:124)+100</f>
        <v>100</v>
      </c>
      <c r="I41" s="1040"/>
      <c r="J41" s="777">
        <f>SUMIF(123:123,I41,124:124)-SUMIF(123:123,C41,124:124)+100</f>
        <v>100</v>
      </c>
      <c r="K41" s="954"/>
      <c r="L41" s="2349"/>
      <c r="M41" s="2350"/>
      <c r="N41" s="2350"/>
      <c r="O41" s="2351"/>
      <c r="P41" s="3706"/>
      <c r="Q41" s="1321" t="str">
        <f t="shared" si="14"/>
        <v>宗地开发程度</v>
      </c>
      <c r="R41" s="1317" t="s">
        <v>62</v>
      </c>
      <c r="S41" s="1318">
        <f t="shared" si="10"/>
        <v>100</v>
      </c>
      <c r="T41" s="1317" t="s">
        <v>62</v>
      </c>
      <c r="U41" s="1318">
        <f t="shared" si="11"/>
        <v>100</v>
      </c>
      <c r="V41" s="1317" t="s">
        <v>62</v>
      </c>
      <c r="W41" s="1318">
        <f t="shared" si="12"/>
        <v>100</v>
      </c>
      <c r="X41" s="1319"/>
      <c r="Y41" s="3706"/>
      <c r="Z41" s="344" t="str">
        <f t="shared" si="13"/>
        <v>宗地开发程度</v>
      </c>
      <c r="AA41" s="1320">
        <f t="shared" si="3"/>
        <v>1</v>
      </c>
      <c r="AB41" s="1320">
        <f t="shared" si="4"/>
        <v>1</v>
      </c>
      <c r="AC41" s="1320">
        <f t="shared" si="5"/>
        <v>1</v>
      </c>
    </row>
    <row r="42" spans="1:29" ht="15">
      <c r="A42" s="814"/>
      <c r="B42" s="764" t="s">
        <v>486</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706" t="s">
        <v>406</v>
      </c>
      <c r="Q42" s="1321" t="str">
        <f t="shared" si="14"/>
        <v>工程地质条件</v>
      </c>
      <c r="R42" s="1322" t="s">
        <v>62</v>
      </c>
      <c r="S42" s="1323">
        <f t="shared" si="10"/>
        <v>100</v>
      </c>
      <c r="T42" s="1322" t="s">
        <v>62</v>
      </c>
      <c r="U42" s="1323">
        <f t="shared" si="11"/>
        <v>100</v>
      </c>
      <c r="V42" s="1322" t="s">
        <v>62</v>
      </c>
      <c r="W42" s="1323">
        <f t="shared" si="12"/>
        <v>100</v>
      </c>
      <c r="X42" s="1316"/>
      <c r="Y42" s="3706" t="s">
        <v>406</v>
      </c>
      <c r="Z42" s="1324" t="str">
        <f t="shared" si="13"/>
        <v>工程地质条件</v>
      </c>
      <c r="AA42" s="1325">
        <f t="shared" si="3"/>
        <v>1</v>
      </c>
      <c r="AB42" s="1325">
        <f t="shared" si="4"/>
        <v>1</v>
      </c>
      <c r="AC42" s="1325">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706"/>
      <c r="Q43" s="1321">
        <f t="shared" si="14"/>
        <v>111</v>
      </c>
      <c r="R43" s="1322" t="s">
        <v>62</v>
      </c>
      <c r="S43" s="1323">
        <f t="shared" si="10"/>
        <v>100</v>
      </c>
      <c r="T43" s="1322" t="s">
        <v>62</v>
      </c>
      <c r="U43" s="1323">
        <f t="shared" si="11"/>
        <v>100</v>
      </c>
      <c r="V43" s="1322" t="s">
        <v>62</v>
      </c>
      <c r="W43" s="1323">
        <f t="shared" si="12"/>
        <v>100</v>
      </c>
      <c r="X43" s="1316"/>
      <c r="Y43" s="3706"/>
      <c r="Z43" s="1324">
        <f t="shared" si="13"/>
        <v>111</v>
      </c>
      <c r="AA43" s="1325">
        <f t="shared" si="3"/>
        <v>1</v>
      </c>
      <c r="AB43" s="1325">
        <f t="shared" si="4"/>
        <v>1</v>
      </c>
      <c r="AC43" s="1325">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706"/>
      <c r="Q44" s="1321">
        <f t="shared" si="14"/>
        <v>111</v>
      </c>
      <c r="R44" s="1322" t="s">
        <v>62</v>
      </c>
      <c r="S44" s="1323">
        <f t="shared" si="10"/>
        <v>100</v>
      </c>
      <c r="T44" s="1322" t="s">
        <v>62</v>
      </c>
      <c r="U44" s="1323">
        <f t="shared" si="11"/>
        <v>100</v>
      </c>
      <c r="V44" s="1322" t="s">
        <v>62</v>
      </c>
      <c r="W44" s="1323">
        <f t="shared" si="12"/>
        <v>100</v>
      </c>
      <c r="X44" s="1316"/>
      <c r="Y44" s="3706"/>
      <c r="Z44" s="1324">
        <f t="shared" si="13"/>
        <v>111</v>
      </c>
      <c r="AA44" s="1325">
        <f t="shared" si="3"/>
        <v>1</v>
      </c>
      <c r="AB44" s="1325">
        <f t="shared" si="4"/>
        <v>1</v>
      </c>
      <c r="AC44" s="1325">
        <f t="shared" si="5"/>
        <v>1</v>
      </c>
    </row>
    <row r="45" spans="1:29" s="813" customFormat="1" ht="15.75" thickBot="1">
      <c r="A45" s="810"/>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706"/>
      <c r="Q45" s="1321">
        <f t="shared" si="14"/>
        <v>111</v>
      </c>
      <c r="R45" s="1327" t="s">
        <v>62</v>
      </c>
      <c r="S45" s="1328">
        <f t="shared" si="10"/>
        <v>100</v>
      </c>
      <c r="T45" s="1327" t="s">
        <v>62</v>
      </c>
      <c r="U45" s="1328">
        <f t="shared" si="11"/>
        <v>100</v>
      </c>
      <c r="V45" s="1327" t="s">
        <v>62</v>
      </c>
      <c r="W45" s="1328">
        <f t="shared" si="12"/>
        <v>100</v>
      </c>
      <c r="X45" s="1329"/>
      <c r="Y45" s="3706"/>
      <c r="Z45" s="1330">
        <f t="shared" si="13"/>
        <v>111</v>
      </c>
      <c r="AA45" s="1325">
        <f t="shared" si="3"/>
        <v>1</v>
      </c>
      <c r="AB45" s="1325">
        <f t="shared" si="4"/>
        <v>1</v>
      </c>
      <c r="AC45" s="1325">
        <f t="shared" si="5"/>
        <v>1</v>
      </c>
    </row>
    <row r="46" spans="1:29" ht="15">
      <c r="A46" s="821" t="s">
        <v>487</v>
      </c>
      <c r="B46" s="207" t="s">
        <v>155</v>
      </c>
      <c r="C46" s="1089" t="s">
        <v>23</v>
      </c>
      <c r="D46" s="823"/>
      <c r="E46" s="824"/>
      <c r="F46" s="825"/>
      <c r="G46" s="826"/>
      <c r="H46" s="827"/>
      <c r="I46" s="824"/>
      <c r="J46" s="827"/>
      <c r="K46" s="1398"/>
      <c r="L46" s="2360"/>
      <c r="M46" s="2361"/>
      <c r="N46" s="2348"/>
      <c r="O46" s="2361"/>
      <c r="P46" s="3688" t="str">
        <f>A46</f>
        <v>成交单价</v>
      </c>
      <c r="Q46" s="3688"/>
      <c r="R46" s="3701">
        <f>E46</f>
        <v>0</v>
      </c>
      <c r="S46" s="3701"/>
      <c r="T46" s="3701">
        <f>G46</f>
        <v>0</v>
      </c>
      <c r="U46" s="3701"/>
      <c r="V46" s="3701">
        <f>I46</f>
        <v>0</v>
      </c>
      <c r="W46" s="3701"/>
      <c r="X46" s="1305"/>
      <c r="Y46" s="1331"/>
      <c r="Z46" s="1305"/>
      <c r="AA46" s="1305"/>
      <c r="AB46" s="1305"/>
      <c r="AC46" s="1305"/>
    </row>
    <row r="47" spans="1:29" ht="15.75" thickBot="1">
      <c r="A47" s="828" t="s">
        <v>408</v>
      </c>
      <c r="B47" s="1090"/>
      <c r="C47" s="832" t="e">
        <f>R48</f>
        <v>#DIV/0!</v>
      </c>
      <c r="D47" s="831"/>
      <c r="E47" s="832" t="e">
        <f>R47</f>
        <v>#DIV/0!</v>
      </c>
      <c r="F47" s="833"/>
      <c r="G47" s="830" t="e">
        <f>T47</f>
        <v>#DIV/0!</v>
      </c>
      <c r="H47" s="831"/>
      <c r="I47" s="832" t="e">
        <f>V47</f>
        <v>#DIV/0!</v>
      </c>
      <c r="J47" s="831"/>
      <c r="K47" s="1399"/>
      <c r="L47" s="2360"/>
      <c r="M47" s="2361"/>
      <c r="N47" s="2361"/>
      <c r="O47" s="2361"/>
      <c r="P47" s="3688" t="str">
        <f>A47</f>
        <v>比较价值（元/平方米）</v>
      </c>
      <c r="Q47" s="3688"/>
      <c r="R47" s="3711" t="e">
        <f>ROUND(PRODUCT(R46,AA7:AA45),0)</f>
        <v>#DIV/0!</v>
      </c>
      <c r="S47" s="3711"/>
      <c r="T47" s="3711" t="e">
        <f>ROUND(PRODUCT(T46,AB7:AB45),0)</f>
        <v>#DIV/0!</v>
      </c>
      <c r="U47" s="3711"/>
      <c r="V47" s="3711" t="e">
        <f>ROUND(PRODUCT(V46,AC7:AC45),0)</f>
        <v>#DIV/0!</v>
      </c>
      <c r="W47" s="3711"/>
      <c r="X47" s="1305"/>
      <c r="Y47" s="1305"/>
      <c r="Z47" s="1305"/>
      <c r="AA47" s="1305"/>
      <c r="AB47" s="1305"/>
      <c r="AC47" s="1305"/>
    </row>
    <row r="48" spans="1:29" ht="15.75" thickBot="1">
      <c r="A48" s="115" t="s">
        <v>513</v>
      </c>
      <c r="B48" s="835"/>
      <c r="C48" s="836" t="e">
        <f>R48</f>
        <v>#DIV/0!</v>
      </c>
      <c r="D48" s="836"/>
      <c r="E48" s="836"/>
      <c r="F48" s="836"/>
      <c r="G48" s="836"/>
      <c r="H48" s="836"/>
      <c r="I48" s="836"/>
      <c r="J48" s="836"/>
      <c r="K48" s="1400"/>
      <c r="L48" s="2360"/>
      <c r="M48" s="2361"/>
      <c r="N48" s="2361"/>
      <c r="O48" s="2361"/>
      <c r="P48" s="3708" t="str">
        <f>A48</f>
        <v>估价对象XX用房的比较价值（楼面单价，元/平方米）</v>
      </c>
      <c r="Q48" s="3709"/>
      <c r="R48" s="3712" t="e">
        <f>ROUND(AVERAGE(R47:V47),0)</f>
        <v>#DIV/0!</v>
      </c>
      <c r="S48" s="3712"/>
      <c r="T48" s="3712"/>
      <c r="U48" s="3712"/>
      <c r="V48" s="3712"/>
      <c r="W48" s="3712"/>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409</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7"/>
      <c r="L51" s="2188"/>
      <c r="M51" s="2361"/>
      <c r="N51" s="2361"/>
      <c r="O51" s="2361"/>
    </row>
    <row r="52" spans="1:15" ht="13.5" customHeight="1">
      <c r="A52" s="2361"/>
      <c r="B52" s="2361"/>
      <c r="C52" s="839" t="s">
        <v>410</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7"/>
      <c r="L52" s="2188"/>
      <c r="M52" s="2361"/>
      <c r="N52" s="2361"/>
      <c r="O52" s="2361"/>
    </row>
    <row r="53" spans="1:15" s="844" customFormat="1" ht="13.5" customHeight="1">
      <c r="A53" s="2362"/>
      <c r="B53" s="2362"/>
      <c r="C53" s="839" t="s">
        <v>411</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488</v>
      </c>
      <c r="B55" s="1092" t="s">
        <v>489</v>
      </c>
      <c r="C55" s="1776" t="s">
        <v>1882</v>
      </c>
      <c r="D55" s="2392" t="s">
        <v>2322</v>
      </c>
      <c r="E55" s="1093" t="s">
        <v>490</v>
      </c>
      <c r="F55" s="2189" t="s">
        <v>491</v>
      </c>
      <c r="G55" s="3713" t="s">
        <v>2315</v>
      </c>
      <c r="H55" s="3714"/>
      <c r="I55" s="2190" t="s">
        <v>1881</v>
      </c>
      <c r="J55" s="2194" t="str">
        <f>项目基本情况!F35</f>
        <v>新疆</v>
      </c>
      <c r="K55" s="2375" t="s">
        <v>1883</v>
      </c>
      <c r="L55" s="2188"/>
      <c r="M55" s="2361"/>
      <c r="N55" s="2361"/>
      <c r="O55" s="2361"/>
    </row>
    <row r="56" spans="1:15" s="1099" customFormat="1">
      <c r="A56" s="1095" t="s">
        <v>492</v>
      </c>
      <c r="B56" s="1096" t="e">
        <f>C48</f>
        <v>#DIV/0!</v>
      </c>
      <c r="C56" s="1097">
        <v>1</v>
      </c>
      <c r="D56" s="2393">
        <v>1</v>
      </c>
      <c r="E56" s="1097">
        <f>'数据-汇总表'!E8+'数据-汇总表'!E9</f>
        <v>3353.7699999999995</v>
      </c>
      <c r="F56" s="2185" t="e">
        <f t="shared" ref="F56:F65" si="15">ROUND(B56*E56/10000,0)</f>
        <v>#DIV/0!</v>
      </c>
      <c r="G56" s="3715"/>
      <c r="H56" s="3716"/>
      <c r="I56" s="2191">
        <v>1</v>
      </c>
      <c r="J56" s="2195">
        <v>1</v>
      </c>
      <c r="K56" s="2362"/>
      <c r="L56" s="1773"/>
      <c r="M56" s="1773"/>
      <c r="N56" s="1773"/>
      <c r="O56" s="1773"/>
    </row>
    <row r="57" spans="1:15" s="1099" customFormat="1">
      <c r="A57" s="1100" t="s">
        <v>493</v>
      </c>
      <c r="B57" s="593" t="e">
        <f>ROUND($C$48*C57*D57,0)</f>
        <v>#DIV/0!</v>
      </c>
      <c r="C57" s="531">
        <f t="shared" ref="C57:C65" si="16">IF($C$55="北京市系数",I57,J57)</f>
        <v>0</v>
      </c>
      <c r="D57" s="2394">
        <v>0.25</v>
      </c>
      <c r="E57" s="1101"/>
      <c r="F57" s="2185" t="e">
        <f t="shared" si="15"/>
        <v>#DIV/0!</v>
      </c>
      <c r="G57" s="3717" t="s">
        <v>2316</v>
      </c>
      <c r="H57" s="2186">
        <f>项目基本情况!B37</f>
        <v>0</v>
      </c>
      <c r="I57" s="2191">
        <f>SUMIF(修正!A45:A56,H57,修正!B45:B56)</f>
        <v>0</v>
      </c>
      <c r="J57" s="2196"/>
      <c r="K57" s="2361"/>
      <c r="L57" s="1773"/>
      <c r="M57" s="1773"/>
      <c r="N57" s="1773"/>
      <c r="O57" s="1773"/>
    </row>
    <row r="58" spans="1:15" s="1099" customFormat="1">
      <c r="A58" s="1100" t="s">
        <v>494</v>
      </c>
      <c r="B58" s="593" t="e">
        <f t="shared" ref="B58:B65" si="17">ROUND($C$48*C58*D58,0)</f>
        <v>#DIV/0!</v>
      </c>
      <c r="C58" s="531">
        <f t="shared" si="16"/>
        <v>0</v>
      </c>
      <c r="D58" s="2394">
        <v>0.25</v>
      </c>
      <c r="E58" s="1101"/>
      <c r="F58" s="2185" t="e">
        <f t="shared" si="15"/>
        <v>#DIV/0!</v>
      </c>
      <c r="G58" s="3717"/>
      <c r="H58" s="2186">
        <f>项目基本情况!B37</f>
        <v>0</v>
      </c>
      <c r="I58" s="2191">
        <f>SUMIF(修正!A45:A56,H58,修正!C45:C56)</f>
        <v>0</v>
      </c>
      <c r="J58" s="2196"/>
      <c r="K58" s="2362"/>
      <c r="L58" s="1773"/>
      <c r="M58" s="1773"/>
      <c r="N58" s="1773"/>
      <c r="O58" s="1773"/>
    </row>
    <row r="59" spans="1:15" s="1099" customFormat="1">
      <c r="A59" s="1100" t="s">
        <v>495</v>
      </c>
      <c r="B59" s="593" t="e">
        <f t="shared" si="17"/>
        <v>#DIV/0!</v>
      </c>
      <c r="C59" s="531">
        <f t="shared" si="16"/>
        <v>0</v>
      </c>
      <c r="D59" s="2394">
        <v>0.25</v>
      </c>
      <c r="E59" s="1101"/>
      <c r="F59" s="2185" t="e">
        <f t="shared" si="15"/>
        <v>#DIV/0!</v>
      </c>
      <c r="G59" s="3717"/>
      <c r="H59" s="2186">
        <f>项目基本情况!B37</f>
        <v>0</v>
      </c>
      <c r="I59" s="2191">
        <f>SUMIF(修正!A45:A56,H59,修正!D45:D56)</f>
        <v>0</v>
      </c>
      <c r="J59" s="2196"/>
      <c r="K59" s="2361"/>
      <c r="L59" s="1773"/>
      <c r="M59" s="1773"/>
      <c r="N59" s="1773"/>
      <c r="O59" s="1773"/>
    </row>
    <row r="60" spans="1:15" s="1099" customFormat="1">
      <c r="A60" s="1100" t="s">
        <v>496</v>
      </c>
      <c r="B60" s="593" t="e">
        <f t="shared" si="17"/>
        <v>#DIV/0!</v>
      </c>
      <c r="C60" s="531">
        <f t="shared" si="16"/>
        <v>0</v>
      </c>
      <c r="D60" s="2394">
        <v>0.25</v>
      </c>
      <c r="E60" s="1101"/>
      <c r="F60" s="2185" t="e">
        <f t="shared" si="15"/>
        <v>#DIV/0!</v>
      </c>
      <c r="G60" s="3717"/>
      <c r="H60" s="2186">
        <f>项目基本情况!B37</f>
        <v>0</v>
      </c>
      <c r="I60" s="2191">
        <f>SUMIF(修正!A45:A56,H60,修正!E45:E56)</f>
        <v>0</v>
      </c>
      <c r="J60" s="2196"/>
      <c r="K60" s="2362"/>
      <c r="L60" s="1773"/>
      <c r="M60" s="1773"/>
      <c r="N60" s="1773"/>
      <c r="O60" s="1773"/>
    </row>
    <row r="61" spans="1:15" s="1099" customFormat="1">
      <c r="A61" s="2513" t="s">
        <v>2397</v>
      </c>
      <c r="B61" s="593" t="e">
        <f t="shared" si="17"/>
        <v>#DIV/0!</v>
      </c>
      <c r="C61" s="531">
        <f t="shared" si="16"/>
        <v>0</v>
      </c>
      <c r="D61" s="2394">
        <v>0.25</v>
      </c>
      <c r="E61" s="592">
        <f>'数据-汇总表'!E11</f>
        <v>0</v>
      </c>
      <c r="F61" s="2185" t="e">
        <f t="shared" si="15"/>
        <v>#DIV/0!</v>
      </c>
      <c r="G61" s="2198" t="s">
        <v>2317</v>
      </c>
      <c r="H61" s="2186">
        <f>项目基本情况!C37</f>
        <v>0</v>
      </c>
      <c r="I61" s="2191">
        <f>SUMIF(修正!A45:A56,H61,修正!F45:F56)</f>
        <v>0</v>
      </c>
      <c r="J61" s="2196"/>
      <c r="K61" s="2361"/>
      <c r="L61" s="1773"/>
      <c r="M61" s="1773"/>
      <c r="N61" s="1773"/>
      <c r="O61" s="1773"/>
    </row>
    <row r="62" spans="1:15" s="1099" customFormat="1">
      <c r="A62" s="1100" t="s">
        <v>497</v>
      </c>
      <c r="B62" s="593" t="e">
        <f t="shared" si="17"/>
        <v>#DIV/0!</v>
      </c>
      <c r="C62" s="531">
        <f t="shared" si="16"/>
        <v>0</v>
      </c>
      <c r="D62" s="2394">
        <v>0.25</v>
      </c>
      <c r="E62" s="592">
        <f>'数据-汇总表'!E12</f>
        <v>0</v>
      </c>
      <c r="F62" s="2185" t="e">
        <f t="shared" si="15"/>
        <v>#DIV/0!</v>
      </c>
      <c r="G62" s="2192" t="s">
        <v>138</v>
      </c>
      <c r="H62" s="2186">
        <f>IF(G62="商业",项目基本情况!B37,IF(G62="办公",项目基本情况!C37,IF(G62="住宅",项目基本情况!D37,项目基本情况!E37)))</f>
        <v>0</v>
      </c>
      <c r="I62" s="2191">
        <f>SUMIF(修正!A45:A56,H62,修正!G45:G56)</f>
        <v>0</v>
      </c>
      <c r="J62" s="2196"/>
      <c r="K62" s="2362"/>
      <c r="L62" s="1773"/>
      <c r="M62" s="1773"/>
      <c r="N62" s="1773"/>
      <c r="O62" s="1773"/>
    </row>
    <row r="63" spans="1:15" s="1099" customFormat="1">
      <c r="A63" s="1100" t="s">
        <v>498</v>
      </c>
      <c r="B63" s="593" t="e">
        <f t="shared" si="17"/>
        <v>#DIV/0!</v>
      </c>
      <c r="C63" s="531">
        <f t="shared" si="16"/>
        <v>0</v>
      </c>
      <c r="D63" s="2394">
        <v>0.25</v>
      </c>
      <c r="E63" s="592">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3"/>
      <c r="M63" s="1773"/>
      <c r="N63" s="1773"/>
      <c r="O63" s="1773"/>
    </row>
    <row r="64" spans="1:15" s="1099" customFormat="1">
      <c r="A64" s="1100" t="s">
        <v>499</v>
      </c>
      <c r="B64" s="593" t="e">
        <f t="shared" si="17"/>
        <v>#DIV/0!</v>
      </c>
      <c r="C64" s="531">
        <f t="shared" si="16"/>
        <v>0</v>
      </c>
      <c r="D64" s="2394">
        <v>0.25</v>
      </c>
      <c r="E64" s="592">
        <f>'数据-汇总表'!E14</f>
        <v>0</v>
      </c>
      <c r="F64" s="2185" t="e">
        <f t="shared" si="15"/>
        <v>#DIV/0!</v>
      </c>
      <c r="G64" s="2198" t="s">
        <v>2318</v>
      </c>
      <c r="H64" s="2186">
        <f>项目基本情况!B37</f>
        <v>0</v>
      </c>
      <c r="I64" s="2191">
        <f>SUMIF(修正!A45:A56,H64,修正!H45:H56)</f>
        <v>0</v>
      </c>
      <c r="J64" s="2196"/>
      <c r="K64" s="2362"/>
      <c r="L64" s="1773"/>
      <c r="M64" s="1773"/>
      <c r="N64" s="1773"/>
      <c r="O64" s="1773"/>
    </row>
    <row r="65" spans="1:17" s="1099" customFormat="1" ht="15" thickBot="1">
      <c r="A65" s="1100" t="s">
        <v>500</v>
      </c>
      <c r="B65" s="593" t="e">
        <f t="shared" si="17"/>
        <v>#DIV/0!</v>
      </c>
      <c r="C65" s="531">
        <f t="shared" si="16"/>
        <v>0</v>
      </c>
      <c r="D65" s="2394">
        <v>0.25</v>
      </c>
      <c r="E65" s="592">
        <f>'数据-汇总表'!E15</f>
        <v>0</v>
      </c>
      <c r="F65" s="2185" t="e">
        <f t="shared" si="15"/>
        <v>#DIV/0!</v>
      </c>
      <c r="G65" s="2199" t="s">
        <v>2317</v>
      </c>
      <c r="H65" s="2200">
        <f>项目基本情况!C37</f>
        <v>0</v>
      </c>
      <c r="I65" s="2193">
        <f>SUMIF(修正!A45:A56,H65,修正!H45:H56)</f>
        <v>0</v>
      </c>
      <c r="J65" s="2197"/>
      <c r="K65" s="2361"/>
      <c r="L65" s="1773"/>
      <c r="M65" s="1773"/>
      <c r="N65" s="1773"/>
      <c r="O65" s="1773"/>
    </row>
    <row r="66" spans="1:17" s="1099" customFormat="1" ht="13.5" thickBot="1">
      <c r="A66" s="1102" t="s">
        <v>501</v>
      </c>
      <c r="B66" s="1103" t="s">
        <v>153</v>
      </c>
      <c r="C66" s="1103" t="s">
        <v>154</v>
      </c>
      <c r="D66" s="1103" t="s">
        <v>2323</v>
      </c>
      <c r="E66" s="1103">
        <f>IF(B46="楼面地价",SUM(E56:E65),'数据-汇总表'!D3)</f>
        <v>3353.7699999999995</v>
      </c>
      <c r="F66" s="1104" t="e">
        <f>IF(B46="楼面地价",SUM(F56:F65),ROUND(C48*E66/10000,0))</f>
        <v>#DIV/0!</v>
      </c>
      <c r="G66" s="1413"/>
      <c r="H66" s="1413"/>
      <c r="I66" s="1413"/>
      <c r="J66" s="1413"/>
      <c r="K66" s="2376"/>
      <c r="L66" s="1773"/>
      <c r="M66" s="1773"/>
      <c r="N66" s="1773"/>
      <c r="O66" s="1773"/>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412</v>
      </c>
      <c r="B69" s="1305"/>
      <c r="C69" s="1310"/>
      <c r="D69" s="1310"/>
      <c r="E69" s="1310"/>
      <c r="F69" s="1311"/>
      <c r="G69" s="1311"/>
      <c r="H69" s="1310"/>
      <c r="I69" s="1310"/>
      <c r="J69" s="2377"/>
      <c r="K69" s="2378"/>
      <c r="L69" s="2379"/>
      <c r="M69" s="2377"/>
      <c r="N69" s="2377"/>
      <c r="O69" s="2377"/>
      <c r="P69" s="845"/>
      <c r="Q69" s="846"/>
    </row>
    <row r="70" spans="1:17" s="850" customFormat="1" ht="15">
      <c r="A70" s="2704" t="s">
        <v>2790</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49"/>
    </row>
    <row r="71" spans="1:17" s="407" customFormat="1" ht="30" customHeight="1">
      <c r="A71" s="3042" t="s">
        <v>40</v>
      </c>
      <c r="B71" s="663" t="str">
        <f>"北京市平均增长率"&amp;TEXT(SUMIF(基准地价修正!N21:N25,A71,基准地价修正!P21:P25),"0.00%")</f>
        <v>北京市平均增长率2.66%</v>
      </c>
      <c r="C71" s="945">
        <v>100</v>
      </c>
      <c r="D71" s="937"/>
      <c r="E71" s="937"/>
      <c r="F71" s="937"/>
      <c r="G71" s="937"/>
      <c r="H71" s="937"/>
      <c r="I71" s="937"/>
      <c r="J71" s="937"/>
      <c r="K71" s="937"/>
      <c r="L71" s="937"/>
      <c r="M71" s="3033"/>
      <c r="N71" s="937"/>
      <c r="O71" s="3034"/>
      <c r="P71" s="846"/>
    </row>
    <row r="72" spans="1:17" s="407" customFormat="1" ht="15.75" thickBot="1">
      <c r="A72" s="857" t="s">
        <v>413</v>
      </c>
      <c r="B72" s="858"/>
      <c r="C72" s="859"/>
      <c r="D72" s="860"/>
      <c r="E72" s="860"/>
      <c r="F72" s="860"/>
      <c r="G72" s="860"/>
      <c r="H72" s="860"/>
      <c r="I72" s="860"/>
      <c r="J72" s="860"/>
      <c r="K72" s="860"/>
      <c r="L72" s="860"/>
      <c r="M72" s="861"/>
      <c r="N72" s="860"/>
      <c r="O72" s="2380"/>
      <c r="P72" s="846"/>
      <c r="Q72" s="846"/>
    </row>
    <row r="73" spans="1:17" s="407" customFormat="1" ht="15">
      <c r="A73" s="863" t="s">
        <v>397</v>
      </c>
      <c r="B73" s="852"/>
      <c r="C73" s="864" t="s">
        <v>414</v>
      </c>
      <c r="D73" s="140"/>
      <c r="E73" s="140"/>
      <c r="F73" s="140"/>
      <c r="G73" s="140"/>
      <c r="H73" s="140"/>
      <c r="I73" s="140"/>
      <c r="J73" s="140"/>
      <c r="K73" s="140"/>
      <c r="L73" s="141"/>
      <c r="M73" s="1049"/>
      <c r="N73" s="2368"/>
      <c r="O73" s="2368"/>
      <c r="P73" s="868"/>
      <c r="Q73" s="846"/>
    </row>
    <row r="74" spans="1:17" s="407" customFormat="1" ht="15.75" thickBot="1">
      <c r="A74" s="863"/>
      <c r="B74" s="852"/>
      <c r="C74" s="980">
        <v>100</v>
      </c>
      <c r="D74" s="854"/>
      <c r="E74" s="854"/>
      <c r="F74" s="854"/>
      <c r="G74" s="854"/>
      <c r="H74" s="854"/>
      <c r="I74" s="854"/>
      <c r="J74" s="854"/>
      <c r="K74" s="854"/>
      <c r="L74" s="854"/>
      <c r="M74" s="856"/>
      <c r="N74" s="2368"/>
      <c r="O74" s="2368"/>
      <c r="P74" s="846"/>
      <c r="Q74" s="846"/>
    </row>
    <row r="75" spans="1:17">
      <c r="A75" s="869" t="s">
        <v>415</v>
      </c>
      <c r="B75" s="870" t="s">
        <v>416</v>
      </c>
      <c r="C75" s="122"/>
      <c r="D75" s="122"/>
      <c r="E75" s="122"/>
      <c r="F75" s="122"/>
      <c r="G75" s="122"/>
      <c r="H75" s="122"/>
      <c r="I75" s="122"/>
      <c r="J75" s="122"/>
      <c r="K75" s="123"/>
      <c r="L75" s="124"/>
      <c r="M75" s="125"/>
      <c r="N75" s="2369"/>
      <c r="O75" s="2369"/>
      <c r="P75" s="334"/>
      <c r="Q75" s="846"/>
    </row>
    <row r="76" spans="1:17" ht="15.75" thickBot="1">
      <c r="A76" s="876"/>
      <c r="B76" s="877"/>
      <c r="C76" s="878"/>
      <c r="D76" s="878"/>
      <c r="E76" s="878"/>
      <c r="F76" s="878"/>
      <c r="G76" s="878"/>
      <c r="H76" s="878"/>
      <c r="I76" s="878"/>
      <c r="J76" s="878"/>
      <c r="K76" s="878"/>
      <c r="L76" s="878"/>
      <c r="M76" s="879"/>
      <c r="N76" s="2370"/>
      <c r="O76" s="2370"/>
      <c r="P76" s="334"/>
      <c r="Q76" s="846"/>
    </row>
    <row r="77" spans="1:17" ht="27.75" thickTop="1">
      <c r="A77" s="876"/>
      <c r="B77" s="880" t="s">
        <v>401</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402</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c r="D80" s="891"/>
      <c r="E80" s="891"/>
      <c r="F80" s="891"/>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4"/>
      <c r="Q81" s="846"/>
    </row>
    <row r="82" spans="1:17" s="813" customFormat="1" ht="15.75" thickTop="1">
      <c r="A82" s="895"/>
      <c r="B82" s="880" t="str">
        <f>B12</f>
        <v>配建</v>
      </c>
      <c r="C82" s="139"/>
      <c r="D82" s="139"/>
      <c r="E82" s="139"/>
      <c r="F82" s="139"/>
      <c r="G82" s="139"/>
      <c r="H82" s="1057"/>
      <c r="I82" s="1057"/>
      <c r="J82" s="1057"/>
      <c r="K82" s="1057"/>
      <c r="L82" s="1058"/>
      <c r="M82" s="1059"/>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7"/>
      <c r="I84" s="1057"/>
      <c r="J84" s="1057"/>
      <c r="K84" s="1057"/>
      <c r="L84" s="1058"/>
      <c r="M84" s="1059"/>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4"/>
      <c r="I86" s="1064"/>
      <c r="J86" s="1064"/>
      <c r="K86" s="1064"/>
      <c r="L86" s="1065"/>
      <c r="M86" s="1066"/>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403</v>
      </c>
      <c r="B88" s="870" t="s">
        <v>421</v>
      </c>
      <c r="C88" s="915" t="s">
        <v>422</v>
      </c>
      <c r="D88" s="915" t="s">
        <v>423</v>
      </c>
      <c r="E88" s="915" t="s">
        <v>424</v>
      </c>
      <c r="F88" s="915" t="s">
        <v>425</v>
      </c>
      <c r="G88" s="915" t="s">
        <v>426</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502</v>
      </c>
      <c r="C90" s="920" t="s">
        <v>422</v>
      </c>
      <c r="D90" s="920" t="s">
        <v>423</v>
      </c>
      <c r="E90" s="920" t="s">
        <v>424</v>
      </c>
      <c r="F90" s="920" t="s">
        <v>425</v>
      </c>
      <c r="G90" s="920" t="s">
        <v>426</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440</v>
      </c>
      <c r="C92" s="920" t="s">
        <v>422</v>
      </c>
      <c r="D92" s="920" t="s">
        <v>423</v>
      </c>
      <c r="E92" s="920" t="s">
        <v>424</v>
      </c>
      <c r="F92" s="920" t="s">
        <v>425</v>
      </c>
      <c r="G92" s="920" t="s">
        <v>426</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427</v>
      </c>
      <c r="C94" s="920" t="s">
        <v>422</v>
      </c>
      <c r="D94" s="920" t="s">
        <v>423</v>
      </c>
      <c r="E94" s="920" t="s">
        <v>424</v>
      </c>
      <c r="F94" s="920" t="s">
        <v>425</v>
      </c>
      <c r="G94" s="920" t="s">
        <v>426</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7" customFormat="1" ht="27.75" thickTop="1">
      <c r="A96" s="921"/>
      <c r="B96" s="880" t="s">
        <v>503</v>
      </c>
      <c r="C96" s="920" t="s">
        <v>422</v>
      </c>
      <c r="D96" s="920" t="s">
        <v>423</v>
      </c>
      <c r="E96" s="920" t="s">
        <v>424</v>
      </c>
      <c r="F96" s="920" t="s">
        <v>425</v>
      </c>
      <c r="G96" s="920" t="s">
        <v>426</v>
      </c>
      <c r="H96" s="920"/>
      <c r="I96" s="920"/>
      <c r="J96" s="920"/>
      <c r="K96" s="920"/>
      <c r="L96" s="1105"/>
      <c r="M96" s="963"/>
      <c r="N96" s="2368"/>
      <c r="O96" s="2368"/>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7" customFormat="1" ht="27.75" thickTop="1">
      <c r="A98" s="921"/>
      <c r="B98" s="880" t="s">
        <v>504</v>
      </c>
      <c r="C98" s="915" t="s">
        <v>422</v>
      </c>
      <c r="D98" s="915" t="s">
        <v>423</v>
      </c>
      <c r="E98" s="915" t="s">
        <v>424</v>
      </c>
      <c r="F98" s="915" t="s">
        <v>425</v>
      </c>
      <c r="G98" s="915" t="s">
        <v>426</v>
      </c>
      <c r="H98" s="920"/>
      <c r="I98" s="920"/>
      <c r="J98" s="920"/>
      <c r="K98" s="920"/>
      <c r="L98" s="920"/>
      <c r="M98" s="963"/>
      <c r="N98" s="2368"/>
      <c r="O98" s="2368"/>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2" t="s">
        <v>2666</v>
      </c>
      <c r="C100" s="915" t="s">
        <v>422</v>
      </c>
      <c r="D100" s="915" t="s">
        <v>423</v>
      </c>
      <c r="E100" s="915" t="s">
        <v>424</v>
      </c>
      <c r="F100" s="915" t="s">
        <v>425</v>
      </c>
      <c r="G100" s="915" t="s">
        <v>426</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4" t="s">
        <v>2653</v>
      </c>
      <c r="C102" s="213" t="s">
        <v>2654</v>
      </c>
      <c r="D102" s="213" t="s">
        <v>2655</v>
      </c>
      <c r="E102" s="213" t="s">
        <v>2656</v>
      </c>
      <c r="F102" s="213" t="s">
        <v>2657</v>
      </c>
      <c r="G102" s="213" t="s">
        <v>2658</v>
      </c>
      <c r="H102" s="942"/>
      <c r="I102" s="942"/>
      <c r="J102" s="942"/>
      <c r="K102" s="942"/>
      <c r="L102" s="942"/>
      <c r="M102" s="2768"/>
      <c r="N102" s="2371"/>
      <c r="O102" s="2371"/>
      <c r="P102" s="900"/>
      <c r="Q102" s="901"/>
    </row>
    <row r="103" spans="1:17" s="813" customFormat="1" ht="15.75" thickBot="1">
      <c r="A103" s="895"/>
      <c r="B103" s="1054"/>
      <c r="C103" s="886">
        <v>100</v>
      </c>
      <c r="D103" s="886">
        <f>C103-$K29</f>
        <v>100</v>
      </c>
      <c r="E103" s="886">
        <f>D103-$K29</f>
        <v>100</v>
      </c>
      <c r="F103" s="886">
        <f>E103-$K29</f>
        <v>100</v>
      </c>
      <c r="G103" s="886">
        <f>F103-$K29</f>
        <v>100</v>
      </c>
      <c r="H103" s="890"/>
      <c r="I103" s="890"/>
      <c r="J103" s="890"/>
      <c r="K103" s="890"/>
      <c r="L103" s="890"/>
      <c r="M103" s="2768"/>
      <c r="N103" s="2371"/>
      <c r="O103" s="2371"/>
      <c r="P103" s="900"/>
      <c r="Q103" s="901"/>
    </row>
    <row r="104" spans="1:17" ht="15.75" thickTop="1">
      <c r="A104" s="876"/>
      <c r="B104" s="1052" t="str">
        <f>B31</f>
        <v>临街状况</v>
      </c>
      <c r="C104" s="881" t="s">
        <v>505</v>
      </c>
      <c r="D104" s="881" t="s">
        <v>506</v>
      </c>
      <c r="E104" s="881" t="s">
        <v>507</v>
      </c>
      <c r="F104" s="881" t="s">
        <v>508</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439</v>
      </c>
      <c r="C106" s="139"/>
      <c r="D106" s="139"/>
      <c r="E106" s="139"/>
      <c r="F106" s="139"/>
      <c r="G106" s="139"/>
      <c r="H106" s="131"/>
      <c r="I106" s="131"/>
      <c r="J106" s="131"/>
      <c r="K106" s="132"/>
      <c r="L106" s="133"/>
      <c r="M106" s="134"/>
      <c r="N106" s="2369"/>
      <c r="O106" s="2369"/>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4"/>
      <c r="Q107" s="846"/>
    </row>
    <row r="108" spans="1:17" ht="15.75" thickTop="1">
      <c r="A108" s="876"/>
      <c r="B108" s="880" t="s">
        <v>482</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2"/>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3"/>
      <c r="D114" s="1073"/>
      <c r="E114" s="1073"/>
      <c r="F114" s="1073"/>
      <c r="G114" s="1073"/>
      <c r="H114" s="1073"/>
      <c r="I114" s="1073"/>
      <c r="J114" s="1074"/>
      <c r="K114" s="1074"/>
      <c r="L114" s="1075"/>
      <c r="M114" s="1076"/>
      <c r="N114" s="2371"/>
      <c r="O114" s="2371"/>
      <c r="P114" s="900"/>
      <c r="Q114" s="901"/>
    </row>
    <row r="115" spans="1:17" s="813" customFormat="1" ht="15.75" thickBot="1">
      <c r="A115" s="895"/>
      <c r="B115" s="888"/>
      <c r="C115" s="854"/>
      <c r="D115" s="1084"/>
      <c r="E115" s="1084"/>
      <c r="F115" s="1084"/>
      <c r="G115" s="1084"/>
      <c r="H115" s="1084"/>
      <c r="I115" s="1084"/>
      <c r="J115" s="1084"/>
      <c r="K115" s="1084"/>
      <c r="L115" s="1084"/>
      <c r="M115" s="1106"/>
      <c r="N115" s="2370"/>
      <c r="O115" s="2370"/>
      <c r="P115" s="900"/>
      <c r="Q115" s="901"/>
    </row>
    <row r="116" spans="1:17">
      <c r="A116" s="869" t="s">
        <v>405</v>
      </c>
      <c r="B116" s="870" t="s">
        <v>509</v>
      </c>
      <c r="C116" s="872"/>
      <c r="D116" s="872"/>
      <c r="E116" s="872"/>
      <c r="F116" s="872"/>
      <c r="G116" s="872"/>
      <c r="H116" s="872"/>
      <c r="I116" s="872"/>
      <c r="J116" s="872"/>
      <c r="K116" s="873"/>
      <c r="L116" s="874"/>
      <c r="M116" s="875"/>
      <c r="N116" s="2369"/>
      <c r="O116" s="2369"/>
      <c r="P116" s="334"/>
      <c r="Q116" s="846"/>
    </row>
    <row r="117" spans="1:17" ht="15">
      <c r="A117" s="876"/>
      <c r="B117" s="888"/>
      <c r="C117" s="937"/>
      <c r="D117" s="937"/>
      <c r="E117" s="937"/>
      <c r="F117" s="937"/>
      <c r="G117" s="937"/>
      <c r="H117" s="937"/>
      <c r="I117" s="937"/>
      <c r="J117" s="938"/>
      <c r="K117" s="938"/>
      <c r="L117" s="939"/>
      <c r="M117" s="940"/>
      <c r="N117" s="2369"/>
      <c r="O117" s="2369"/>
      <c r="P117" s="334"/>
      <c r="Q117" s="846"/>
    </row>
    <row r="118" spans="1:17" ht="15.75" thickBot="1">
      <c r="A118" s="876"/>
      <c r="B118" s="885"/>
      <c r="C118" s="912"/>
      <c r="D118" s="933"/>
      <c r="E118" s="933"/>
      <c r="F118" s="933"/>
      <c r="G118" s="933"/>
      <c r="H118" s="933"/>
      <c r="I118" s="933"/>
      <c r="J118" s="933"/>
      <c r="K118" s="933"/>
      <c r="L118" s="933"/>
      <c r="M118" s="934"/>
      <c r="N118" s="2370"/>
      <c r="O118" s="2370"/>
      <c r="P118" s="334"/>
      <c r="Q118" s="846"/>
    </row>
    <row r="119" spans="1:17" ht="15" thickTop="1">
      <c r="A119" s="941"/>
      <c r="B119" s="880" t="s">
        <v>510</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511</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2" t="s">
        <v>2497</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512</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7"/>
      <c r="H131" s="1057"/>
      <c r="I131" s="1057"/>
      <c r="J131" s="1057"/>
      <c r="K131" s="1057"/>
      <c r="L131" s="1058"/>
      <c r="M131" s="1059"/>
      <c r="N131" s="2371"/>
      <c r="O131" s="2371"/>
      <c r="P131" s="900"/>
      <c r="Q131" s="901"/>
    </row>
    <row r="132" spans="1:17" s="813" customFormat="1" ht="15.75" thickBot="1">
      <c r="A132" s="910"/>
      <c r="B132" s="1107"/>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H93" sqref="H93"/>
    </sheetView>
  </sheetViews>
  <sheetFormatPr defaultColWidth="9"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343</v>
      </c>
      <c r="B3" s="951" t="e">
        <f>ROUND(IF(D3="",B2*10000/'数据-汇总表'!E3,B2*10000/D3),0)</f>
        <v>#DIV/0!</v>
      </c>
      <c r="C3" s="578" t="s">
        <v>2886</v>
      </c>
      <c r="D3" s="3055"/>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387</v>
      </c>
      <c r="B4" s="744"/>
      <c r="C4" s="3689" t="s">
        <v>388</v>
      </c>
      <c r="D4" s="3690"/>
      <c r="E4" s="3691" t="s">
        <v>389</v>
      </c>
      <c r="F4" s="3692"/>
      <c r="G4" s="3689" t="s">
        <v>390</v>
      </c>
      <c r="H4" s="3690"/>
      <c r="I4" s="3689" t="s">
        <v>391</v>
      </c>
      <c r="J4" s="3690"/>
      <c r="K4" s="952" t="s">
        <v>392</v>
      </c>
      <c r="L4" s="2347"/>
      <c r="M4" s="2348"/>
      <c r="N4" s="2348"/>
      <c r="O4" s="2348"/>
      <c r="P4" s="3693" t="s">
        <v>393</v>
      </c>
      <c r="Q4" s="3694"/>
      <c r="R4" s="3676" t="s">
        <v>389</v>
      </c>
      <c r="S4" s="3677"/>
      <c r="T4" s="3676" t="s">
        <v>390</v>
      </c>
      <c r="U4" s="3677"/>
      <c r="V4" s="3701" t="s">
        <v>391</v>
      </c>
      <c r="W4" s="3701"/>
      <c r="X4" s="1316"/>
      <c r="Y4" s="3676" t="s">
        <v>393</v>
      </c>
      <c r="Z4" s="3677"/>
      <c r="AA4" s="3671" t="s">
        <v>389</v>
      </c>
      <c r="AB4" s="3672" t="s">
        <v>390</v>
      </c>
      <c r="AC4" s="3671" t="s">
        <v>391</v>
      </c>
    </row>
    <row r="5" spans="1:29" ht="15">
      <c r="A5" s="746"/>
      <c r="B5" s="747"/>
      <c r="C5" s="3615" t="s">
        <v>1121</v>
      </c>
      <c r="D5" s="3616"/>
      <c r="E5" s="3613" t="s">
        <v>1122</v>
      </c>
      <c r="F5" s="3614"/>
      <c r="G5" s="3615" t="s">
        <v>1125</v>
      </c>
      <c r="H5" s="3616"/>
      <c r="I5" s="3615" t="s">
        <v>1123</v>
      </c>
      <c r="J5" s="3616"/>
      <c r="K5" s="952"/>
      <c r="L5" s="2347"/>
      <c r="M5" s="2348"/>
      <c r="N5" s="2348"/>
      <c r="O5" s="2348"/>
      <c r="P5" s="3695"/>
      <c r="Q5" s="3696"/>
      <c r="R5" s="3678"/>
      <c r="S5" s="3679"/>
      <c r="T5" s="3678"/>
      <c r="U5" s="3679"/>
      <c r="V5" s="3701"/>
      <c r="W5" s="3701"/>
      <c r="X5" s="1316"/>
      <c r="Y5" s="3678"/>
      <c r="Z5" s="3679"/>
      <c r="AA5" s="3672"/>
      <c r="AB5" s="3672"/>
      <c r="AC5" s="3672"/>
    </row>
    <row r="6" spans="1:29" ht="15.75" thickBot="1">
      <c r="A6" s="748"/>
      <c r="B6" s="749"/>
      <c r="C6" s="3718" t="s">
        <v>1124</v>
      </c>
      <c r="D6" s="3719"/>
      <c r="E6" s="3720" t="s">
        <v>1124</v>
      </c>
      <c r="F6" s="3721"/>
      <c r="G6" s="3718" t="s">
        <v>1124</v>
      </c>
      <c r="H6" s="3719"/>
      <c r="I6" s="3718" t="s">
        <v>1124</v>
      </c>
      <c r="J6" s="3719"/>
      <c r="K6" s="952" t="s">
        <v>394</v>
      </c>
      <c r="L6" s="2347"/>
      <c r="M6" s="2348"/>
      <c r="N6" s="2348"/>
      <c r="O6" s="2348"/>
      <c r="P6" s="3697"/>
      <c r="Q6" s="3698"/>
      <c r="R6" s="3678"/>
      <c r="S6" s="3679"/>
      <c r="T6" s="3699"/>
      <c r="U6" s="3700"/>
      <c r="V6" s="3701"/>
      <c r="W6" s="3701"/>
      <c r="X6" s="1316"/>
      <c r="Y6" s="3699"/>
      <c r="Z6" s="3700"/>
      <c r="AA6" s="3673"/>
      <c r="AB6" s="3673"/>
      <c r="AC6" s="3673"/>
    </row>
    <row r="7" spans="1:29" s="407" customFormat="1" ht="15.75" thickBot="1">
      <c r="A7" s="750" t="s">
        <v>395</v>
      </c>
      <c r="B7" s="751"/>
      <c r="C7" s="752">
        <f>'数据-取费表'!B2</f>
        <v>43003</v>
      </c>
      <c r="D7" s="753">
        <v>100</v>
      </c>
      <c r="E7" s="1015"/>
      <c r="F7" s="755">
        <f>SUMIF(65:65,YEAR(E7)&amp;"-"&amp;INT((MONTH(E7)+2)/3),66:66)</f>
        <v>0</v>
      </c>
      <c r="G7" s="1016"/>
      <c r="H7" s="753">
        <f>SUMIF(65:65,YEAR(G7)&amp;"-"&amp;INT((MONTH(G7)+2)/3),66:66)</f>
        <v>0</v>
      </c>
      <c r="I7" s="1016"/>
      <c r="J7" s="753">
        <f>SUMIF(65:65,YEAR(I7)&amp;"-"&amp;INT((MONTH(I7)+2)/3),66:66)</f>
        <v>0</v>
      </c>
      <c r="K7" s="953"/>
      <c r="L7" s="2349"/>
      <c r="M7" s="2350"/>
      <c r="N7" s="2350"/>
      <c r="O7" s="2350"/>
      <c r="P7" s="3674" t="s">
        <v>396</v>
      </c>
      <c r="Q7" s="3702"/>
      <c r="R7" s="1317" t="s">
        <v>62</v>
      </c>
      <c r="S7" s="1318">
        <f t="shared" ref="S7:S15" si="0">F7</f>
        <v>0</v>
      </c>
      <c r="T7" s="1317" t="s">
        <v>62</v>
      </c>
      <c r="U7" s="1318">
        <f t="shared" ref="U7:U15" si="1">H7</f>
        <v>0</v>
      </c>
      <c r="V7" s="1317" t="s">
        <v>62</v>
      </c>
      <c r="W7" s="1318">
        <f t="shared" ref="W7:W15" si="2">J7</f>
        <v>0</v>
      </c>
      <c r="X7" s="1319"/>
      <c r="Y7" s="3674" t="s">
        <v>396</v>
      </c>
      <c r="Z7" s="3675"/>
      <c r="AA7" s="1320" t="e">
        <f>D7/F7</f>
        <v>#DIV/0!</v>
      </c>
      <c r="AB7" s="1320" t="e">
        <f>D7/H7</f>
        <v>#DIV/0!</v>
      </c>
      <c r="AC7" s="1320" t="e">
        <f>D7/J7</f>
        <v>#DIV/0!</v>
      </c>
    </row>
    <row r="8" spans="1:29" s="407" customFormat="1" ht="15.75" thickBot="1">
      <c r="A8" s="750" t="s">
        <v>397</v>
      </c>
      <c r="B8" s="751"/>
      <c r="C8" s="1018" t="s">
        <v>152</v>
      </c>
      <c r="D8" s="753">
        <v>100</v>
      </c>
      <c r="E8" s="1018"/>
      <c r="F8" s="755">
        <f>SUMIF(68:68,E8,69:69)-SUMIF(68:68,C8,69:69)+100</f>
        <v>0</v>
      </c>
      <c r="G8" s="1018"/>
      <c r="H8" s="753">
        <f>SUMIF(68:68,G8,69:69)-SUMIF(68:68,C8,69:69)+100</f>
        <v>0</v>
      </c>
      <c r="I8" s="1018"/>
      <c r="J8" s="753">
        <f>SUMIF(68:68,I8,69:69)-SUMIF(68:68,C8,69:69)+100</f>
        <v>0</v>
      </c>
      <c r="K8" s="953"/>
      <c r="L8" s="2349"/>
      <c r="M8" s="2350"/>
      <c r="N8" s="2350"/>
      <c r="O8" s="2350"/>
      <c r="P8" s="3674" t="s">
        <v>432</v>
      </c>
      <c r="Q8" s="3675"/>
      <c r="R8" s="1317" t="s">
        <v>62</v>
      </c>
      <c r="S8" s="1318">
        <f t="shared" si="0"/>
        <v>0</v>
      </c>
      <c r="T8" s="1317" t="s">
        <v>62</v>
      </c>
      <c r="U8" s="1318">
        <f t="shared" si="1"/>
        <v>0</v>
      </c>
      <c r="V8" s="1317" t="s">
        <v>62</v>
      </c>
      <c r="W8" s="1318">
        <f t="shared" si="2"/>
        <v>0</v>
      </c>
      <c r="X8" s="1319"/>
      <c r="Y8" s="3674" t="s">
        <v>432</v>
      </c>
      <c r="Z8" s="3675"/>
      <c r="AA8" s="1320" t="e">
        <f t="shared" ref="AA8:AA40" si="3">D8/F8</f>
        <v>#DIV/0!</v>
      </c>
      <c r="AB8" s="1320" t="e">
        <f t="shared" ref="AB8:AB40" si="4">D8/H8</f>
        <v>#DIV/0!</v>
      </c>
      <c r="AC8" s="1320" t="e">
        <f t="shared" ref="AC8:AC40" si="5">D8/J8</f>
        <v>#DIV/0!</v>
      </c>
    </row>
    <row r="9" spans="1:29" s="407"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3"/>
      <c r="L9" s="2349"/>
      <c r="M9" s="2350"/>
      <c r="N9" s="2350"/>
      <c r="O9" s="2351"/>
      <c r="P9" s="3688" t="s">
        <v>399</v>
      </c>
      <c r="Q9" s="296" t="str">
        <f t="shared" ref="Q9:Q15" si="6">B9</f>
        <v>用途</v>
      </c>
      <c r="R9" s="1317" t="s">
        <v>62</v>
      </c>
      <c r="S9" s="1318">
        <f t="shared" si="0"/>
        <v>100</v>
      </c>
      <c r="T9" s="1317" t="s">
        <v>62</v>
      </c>
      <c r="U9" s="1318">
        <f t="shared" si="1"/>
        <v>100</v>
      </c>
      <c r="V9" s="1317" t="s">
        <v>62</v>
      </c>
      <c r="W9" s="1318">
        <f t="shared" si="2"/>
        <v>100</v>
      </c>
      <c r="X9" s="1319"/>
      <c r="Y9" s="3477"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107</v>
      </c>
      <c r="G10" s="1022"/>
      <c r="H10" s="425">
        <f>ROUND(100/'数据-取费表'!G16,0)</f>
        <v>107</v>
      </c>
      <c r="I10" s="1022"/>
      <c r="J10" s="425">
        <f>ROUND(100/'数据-取费表'!G16,0)</f>
        <v>107</v>
      </c>
      <c r="K10" s="1079"/>
      <c r="L10" s="2352"/>
      <c r="M10" s="2353"/>
      <c r="N10" s="2353"/>
      <c r="O10" s="2354"/>
      <c r="P10" s="3688"/>
      <c r="Q10" s="296" t="str">
        <f t="shared" si="6"/>
        <v>土地使用年限（年）</v>
      </c>
      <c r="R10" s="1317" t="s">
        <v>62</v>
      </c>
      <c r="S10" s="1318">
        <f t="shared" si="0"/>
        <v>107</v>
      </c>
      <c r="T10" s="1317" t="s">
        <v>62</v>
      </c>
      <c r="U10" s="1318">
        <f t="shared" si="1"/>
        <v>107</v>
      </c>
      <c r="V10" s="1317" t="s">
        <v>62</v>
      </c>
      <c r="W10" s="1318">
        <f t="shared" si="2"/>
        <v>107</v>
      </c>
      <c r="X10" s="1319"/>
      <c r="Y10" s="3477"/>
      <c r="Z10" s="344" t="str">
        <f t="shared" si="7"/>
        <v>土地使用年限（年）</v>
      </c>
      <c r="AA10" s="1320">
        <f t="shared" si="3"/>
        <v>0.93457943925233644</v>
      </c>
      <c r="AB10" s="1320">
        <f t="shared" si="4"/>
        <v>0.93457943925233644</v>
      </c>
      <c r="AC10" s="1320">
        <f t="shared" si="5"/>
        <v>0.93457943925233644</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688"/>
      <c r="Q11" s="296" t="str">
        <f t="shared" si="6"/>
        <v>容积率</v>
      </c>
      <c r="R11" s="1317" t="s">
        <v>62</v>
      </c>
      <c r="S11" s="1318" t="e">
        <f t="shared" si="0"/>
        <v>#N/A</v>
      </c>
      <c r="T11" s="1317" t="s">
        <v>62</v>
      </c>
      <c r="U11" s="1318" t="e">
        <f t="shared" si="1"/>
        <v>#N/A</v>
      </c>
      <c r="V11" s="1317" t="s">
        <v>62</v>
      </c>
      <c r="W11" s="1318" t="e">
        <f t="shared" si="2"/>
        <v>#N/A</v>
      </c>
      <c r="X11" s="1319"/>
      <c r="Y11" s="3477"/>
      <c r="Z11" s="344" t="str">
        <f t="shared" si="7"/>
        <v>容积率</v>
      </c>
      <c r="AA11" s="1320" t="e">
        <f t="shared" si="3"/>
        <v>#N/A</v>
      </c>
      <c r="AB11" s="1320" t="e">
        <f t="shared" si="4"/>
        <v>#N/A</v>
      </c>
      <c r="AC11" s="1320" t="e">
        <f t="shared" si="5"/>
        <v>#N/A</v>
      </c>
    </row>
    <row r="12" spans="1:29" s="407"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688"/>
      <c r="Q12" s="296">
        <f t="shared" si="6"/>
        <v>111</v>
      </c>
      <c r="R12" s="1317" t="s">
        <v>62</v>
      </c>
      <c r="S12" s="1318">
        <f t="shared" si="0"/>
        <v>100</v>
      </c>
      <c r="T12" s="1317" t="s">
        <v>62</v>
      </c>
      <c r="U12" s="1318">
        <f t="shared" si="1"/>
        <v>100</v>
      </c>
      <c r="V12" s="1317" t="s">
        <v>62</v>
      </c>
      <c r="W12" s="1318">
        <f t="shared" si="2"/>
        <v>100</v>
      </c>
      <c r="X12" s="1319"/>
      <c r="Y12" s="3477"/>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688"/>
      <c r="Q13" s="296">
        <f t="shared" si="6"/>
        <v>111</v>
      </c>
      <c r="R13" s="1317" t="s">
        <v>62</v>
      </c>
      <c r="S13" s="1318">
        <f t="shared" si="0"/>
        <v>100</v>
      </c>
      <c r="T13" s="1317" t="s">
        <v>62</v>
      </c>
      <c r="U13" s="1318">
        <f t="shared" si="1"/>
        <v>100</v>
      </c>
      <c r="V13" s="1317" t="s">
        <v>62</v>
      </c>
      <c r="W13" s="1318">
        <f t="shared" si="2"/>
        <v>100</v>
      </c>
      <c r="X13" s="1319"/>
      <c r="Y13" s="3477"/>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688"/>
      <c r="Q14" s="296">
        <f t="shared" si="6"/>
        <v>111</v>
      </c>
      <c r="R14" s="1317" t="s">
        <v>62</v>
      </c>
      <c r="S14" s="1318">
        <f t="shared" si="0"/>
        <v>100</v>
      </c>
      <c r="T14" s="1317" t="s">
        <v>62</v>
      </c>
      <c r="U14" s="1318">
        <f t="shared" si="1"/>
        <v>100</v>
      </c>
      <c r="V14" s="1317" t="s">
        <v>62</v>
      </c>
      <c r="W14" s="1318">
        <f t="shared" si="2"/>
        <v>100</v>
      </c>
      <c r="X14" s="1319"/>
      <c r="Y14" s="3477"/>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703" t="s">
        <v>404</v>
      </c>
      <c r="Q15" s="1321" t="str">
        <f t="shared" si="6"/>
        <v>产业集聚程度</v>
      </c>
      <c r="R15" s="1322" t="s">
        <v>62</v>
      </c>
      <c r="S15" s="1323">
        <f t="shared" si="0"/>
        <v>100</v>
      </c>
      <c r="T15" s="1322" t="s">
        <v>62</v>
      </c>
      <c r="U15" s="1323">
        <f t="shared" si="1"/>
        <v>100</v>
      </c>
      <c r="V15" s="1322" t="s">
        <v>62</v>
      </c>
      <c r="W15" s="1323">
        <f t="shared" si="2"/>
        <v>100</v>
      </c>
      <c r="X15" s="1316"/>
      <c r="Y15" s="3703"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704"/>
      <c r="Q16" s="1321"/>
      <c r="R16" s="1322"/>
      <c r="S16" s="1323"/>
      <c r="T16" s="1322"/>
      <c r="U16" s="1323"/>
      <c r="V16" s="1322"/>
      <c r="W16" s="1323"/>
      <c r="X16" s="1316"/>
      <c r="Y16" s="3704"/>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704"/>
      <c r="Q17" s="1321" t="str">
        <f>B17</f>
        <v>交通便捷度</v>
      </c>
      <c r="R17" s="1322" t="s">
        <v>62</v>
      </c>
      <c r="S17" s="1323">
        <f>F17</f>
        <v>100</v>
      </c>
      <c r="T17" s="1322" t="s">
        <v>62</v>
      </c>
      <c r="U17" s="1323">
        <f>H17</f>
        <v>100</v>
      </c>
      <c r="V17" s="1322" t="s">
        <v>62</v>
      </c>
      <c r="W17" s="1323">
        <f>J17</f>
        <v>100</v>
      </c>
      <c r="X17" s="1316"/>
      <c r="Y17" s="3704"/>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704"/>
      <c r="Q18" s="1321"/>
      <c r="R18" s="1322"/>
      <c r="S18" s="1323"/>
      <c r="T18" s="1322"/>
      <c r="U18" s="1323"/>
      <c r="V18" s="1322"/>
      <c r="W18" s="1323"/>
      <c r="X18" s="1316"/>
      <c r="Y18" s="3704"/>
      <c r="Z18" s="1324"/>
      <c r="AA18" s="1325">
        <v>1</v>
      </c>
      <c r="AB18" s="1325">
        <v>1</v>
      </c>
      <c r="AC18" s="1325">
        <v>1</v>
      </c>
    </row>
    <row r="19" spans="1:29" ht="27">
      <c r="A19" s="770"/>
      <c r="B19" s="972"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704"/>
      <c r="Q19" s="1321" t="str">
        <f t="shared" ref="Q19:Q33" si="8">B19</f>
        <v>区域土地利用方向</v>
      </c>
      <c r="R19" s="1322" t="s">
        <v>62</v>
      </c>
      <c r="S19" s="1323">
        <f>F19</f>
        <v>100</v>
      </c>
      <c r="T19" s="1322" t="s">
        <v>62</v>
      </c>
      <c r="U19" s="1323">
        <f>H19</f>
        <v>100</v>
      </c>
      <c r="V19" s="1322" t="s">
        <v>62</v>
      </c>
      <c r="W19" s="1323">
        <f>J19</f>
        <v>100</v>
      </c>
      <c r="X19" s="1316"/>
      <c r="Y19" s="3704"/>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704"/>
      <c r="Q20" s="1468"/>
      <c r="R20" s="1322"/>
      <c r="S20" s="1323"/>
      <c r="T20" s="1322"/>
      <c r="U20" s="1323"/>
      <c r="V20" s="1322"/>
      <c r="W20" s="1323"/>
      <c r="X20" s="1467"/>
      <c r="Y20" s="3704"/>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704"/>
      <c r="Q21" s="1321" t="str">
        <f t="shared" si="8"/>
        <v>环境状况</v>
      </c>
      <c r="R21" s="1322" t="s">
        <v>62</v>
      </c>
      <c r="S21" s="1323">
        <f>F21</f>
        <v>100</v>
      </c>
      <c r="T21" s="1322" t="s">
        <v>62</v>
      </c>
      <c r="U21" s="1323">
        <f>H21</f>
        <v>100</v>
      </c>
      <c r="V21" s="1322" t="s">
        <v>62</v>
      </c>
      <c r="W21" s="1323">
        <f>J21</f>
        <v>100</v>
      </c>
      <c r="X21" s="1316"/>
      <c r="Y21" s="3704"/>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704"/>
      <c r="Q22" s="1321"/>
      <c r="R22" s="1322"/>
      <c r="S22" s="1323"/>
      <c r="T22" s="1322"/>
      <c r="U22" s="1323"/>
      <c r="V22" s="1322"/>
      <c r="W22" s="1323"/>
      <c r="X22" s="1316"/>
      <c r="Y22" s="3704"/>
      <c r="Z22" s="1324"/>
      <c r="AA22" s="1325">
        <v>1</v>
      </c>
      <c r="AB22" s="1325">
        <v>1</v>
      </c>
      <c r="AC22" s="1325">
        <v>1</v>
      </c>
    </row>
    <row r="23" spans="1:29" s="407" customFormat="1" ht="40.5">
      <c r="A23" s="990"/>
      <c r="B23" s="1034" t="s">
        <v>2666</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704"/>
      <c r="Q23" s="296" t="str">
        <f t="shared" si="8"/>
        <v>公共配套设施</v>
      </c>
      <c r="R23" s="1317" t="s">
        <v>62</v>
      </c>
      <c r="S23" s="1318">
        <f>F23</f>
        <v>100</v>
      </c>
      <c r="T23" s="1317" t="s">
        <v>62</v>
      </c>
      <c r="U23" s="1318">
        <f>H23</f>
        <v>100</v>
      </c>
      <c r="V23" s="1317" t="s">
        <v>62</v>
      </c>
      <c r="W23" s="1318">
        <f>J23</f>
        <v>100</v>
      </c>
      <c r="X23" s="1319"/>
      <c r="Y23" s="3704"/>
      <c r="Z23" s="344" t="str">
        <f>Q23</f>
        <v>公共配套设施</v>
      </c>
      <c r="AA23" s="1325">
        <f>D23/F23</f>
        <v>1</v>
      </c>
      <c r="AB23" s="1325">
        <f>D23/H23</f>
        <v>1</v>
      </c>
      <c r="AC23" s="1325">
        <f>D23/J23</f>
        <v>1</v>
      </c>
    </row>
    <row r="24" spans="1:29" s="407" customFormat="1" ht="15">
      <c r="A24" s="990"/>
      <c r="B24" s="973"/>
      <c r="C24" s="2773"/>
      <c r="D24" s="790"/>
      <c r="E24" s="192"/>
      <c r="F24" s="790"/>
      <c r="G24" s="192"/>
      <c r="H24" s="790"/>
      <c r="I24" s="97"/>
      <c r="J24" s="790"/>
      <c r="K24" s="1079"/>
      <c r="L24" s="2349"/>
      <c r="M24" s="2350"/>
      <c r="N24" s="2350"/>
      <c r="O24" s="2351"/>
      <c r="P24" s="3704"/>
      <c r="Q24" s="296"/>
      <c r="R24" s="1317"/>
      <c r="S24" s="1318"/>
      <c r="T24" s="1317"/>
      <c r="U24" s="1318"/>
      <c r="V24" s="1317"/>
      <c r="W24" s="1318"/>
      <c r="X24" s="1319"/>
      <c r="Y24" s="3704"/>
      <c r="Z24" s="344"/>
      <c r="AA24" s="1320">
        <v>1</v>
      </c>
      <c r="AB24" s="1320">
        <v>1</v>
      </c>
      <c r="AC24" s="1320">
        <v>1</v>
      </c>
    </row>
    <row r="25" spans="1:29" s="407" customFormat="1" ht="40.5">
      <c r="A25" s="990"/>
      <c r="B25" s="1034" t="s">
        <v>2667</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704"/>
      <c r="Q25" s="2742" t="str">
        <f t="shared" ref="Q25" si="9">B25</f>
        <v>基础设施水平</v>
      </c>
      <c r="R25" s="1317" t="s">
        <v>62</v>
      </c>
      <c r="S25" s="1318">
        <f>F25</f>
        <v>100</v>
      </c>
      <c r="T25" s="1317" t="s">
        <v>62</v>
      </c>
      <c r="U25" s="1318">
        <f>H25</f>
        <v>100</v>
      </c>
      <c r="V25" s="1317" t="s">
        <v>62</v>
      </c>
      <c r="W25" s="1318">
        <f>J25</f>
        <v>100</v>
      </c>
      <c r="X25" s="1319"/>
      <c r="Y25" s="3704"/>
      <c r="Z25" s="344" t="str">
        <f>Q25</f>
        <v>基础设施水平</v>
      </c>
      <c r="AA25" s="1325">
        <f>D25/F25</f>
        <v>1</v>
      </c>
      <c r="AB25" s="1325">
        <f>D25/H25</f>
        <v>1</v>
      </c>
      <c r="AC25" s="1325">
        <f>D25/J25</f>
        <v>1</v>
      </c>
    </row>
    <row r="26" spans="1:29" s="407" customFormat="1" ht="15">
      <c r="A26" s="990"/>
      <c r="B26" s="973"/>
      <c r="C26" s="2773"/>
      <c r="D26" s="790"/>
      <c r="E26" s="1035"/>
      <c r="F26" s="790"/>
      <c r="G26" s="1035"/>
      <c r="H26" s="790"/>
      <c r="I26" s="1035"/>
      <c r="J26" s="790"/>
      <c r="K26" s="1079"/>
      <c r="L26" s="2349"/>
      <c r="M26" s="2350"/>
      <c r="N26" s="2350"/>
      <c r="O26" s="2351"/>
      <c r="P26" s="3704"/>
      <c r="Q26" s="2742"/>
      <c r="R26" s="1317"/>
      <c r="S26" s="1318"/>
      <c r="T26" s="1317"/>
      <c r="U26" s="1318"/>
      <c r="V26" s="1317"/>
      <c r="W26" s="1318"/>
      <c r="X26" s="1319"/>
      <c r="Y26" s="3704"/>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704"/>
      <c r="Q27" s="1321" t="str">
        <f t="shared" si="8"/>
        <v>临街状况</v>
      </c>
      <c r="R27" s="1322" t="s">
        <v>62</v>
      </c>
      <c r="S27" s="1323">
        <f t="shared" ref="S27:S40" si="10">F27</f>
        <v>100</v>
      </c>
      <c r="T27" s="1322" t="s">
        <v>62</v>
      </c>
      <c r="U27" s="1323">
        <f t="shared" ref="U27:U40" si="11">H27</f>
        <v>100</v>
      </c>
      <c r="V27" s="1322" t="s">
        <v>62</v>
      </c>
      <c r="W27" s="1323">
        <f t="shared" ref="W27:W40" si="12">J27</f>
        <v>100</v>
      </c>
      <c r="X27" s="1316"/>
      <c r="Y27" s="3704"/>
      <c r="Z27" s="1324" t="str">
        <f t="shared" ref="Z27:Z40" si="13">Q27</f>
        <v>临街状况</v>
      </c>
      <c r="AA27" s="1325">
        <f t="shared" si="3"/>
        <v>1</v>
      </c>
      <c r="AB27" s="1325">
        <f t="shared" si="4"/>
        <v>1</v>
      </c>
      <c r="AC27" s="1325">
        <f t="shared" si="5"/>
        <v>1</v>
      </c>
    </row>
    <row r="28" spans="1:29" ht="27">
      <c r="A28" s="770"/>
      <c r="B28" s="974" t="s">
        <v>439</v>
      </c>
      <c r="C28" s="2774">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704"/>
      <c r="Q28" s="1321" t="str">
        <f t="shared" si="8"/>
        <v>毗邻道路的类型与等级</v>
      </c>
      <c r="R28" s="1322" t="s">
        <v>62</v>
      </c>
      <c r="S28" s="1323">
        <f t="shared" si="10"/>
        <v>100</v>
      </c>
      <c r="T28" s="1322" t="s">
        <v>62</v>
      </c>
      <c r="U28" s="1323">
        <f t="shared" si="11"/>
        <v>100</v>
      </c>
      <c r="V28" s="1322" t="s">
        <v>62</v>
      </c>
      <c r="W28" s="1323">
        <f t="shared" si="12"/>
        <v>100</v>
      </c>
      <c r="X28" s="1316"/>
      <c r="Y28" s="3704"/>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5"/>
      <c r="L29" s="2357"/>
      <c r="M29" s="2348"/>
      <c r="N29" s="2348"/>
      <c r="O29" s="2356"/>
      <c r="P29" s="3704"/>
      <c r="Q29" s="1321"/>
      <c r="R29" s="1322"/>
      <c r="S29" s="1323"/>
      <c r="T29" s="1322"/>
      <c r="U29" s="1323"/>
      <c r="V29" s="1322"/>
      <c r="W29" s="1323"/>
      <c r="X29" s="1316"/>
      <c r="Y29" s="3704"/>
      <c r="Z29" s="1324"/>
      <c r="AA29" s="1325">
        <v>1</v>
      </c>
      <c r="AB29" s="1325">
        <v>1</v>
      </c>
      <c r="AC29" s="1325">
        <v>1</v>
      </c>
    </row>
    <row r="30" spans="1:29" ht="15">
      <c r="A30" s="770"/>
      <c r="B30" s="995" t="s">
        <v>482</v>
      </c>
      <c r="C30" s="2775">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4"/>
      <c r="L30" s="2357"/>
      <c r="M30" s="2348"/>
      <c r="N30" s="2348"/>
      <c r="O30" s="2356"/>
      <c r="P30" s="3704"/>
      <c r="Q30" s="1321" t="str">
        <f t="shared" si="8"/>
        <v>土地级别</v>
      </c>
      <c r="R30" s="1322" t="s">
        <v>62</v>
      </c>
      <c r="S30" s="1323">
        <f t="shared" si="10"/>
        <v>100</v>
      </c>
      <c r="T30" s="1322" t="s">
        <v>62</v>
      </c>
      <c r="U30" s="1323">
        <f t="shared" si="11"/>
        <v>100</v>
      </c>
      <c r="V30" s="1322" t="s">
        <v>62</v>
      </c>
      <c r="W30" s="1323">
        <f t="shared" si="12"/>
        <v>100</v>
      </c>
      <c r="X30" s="1316"/>
      <c r="Y30" s="3704"/>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704"/>
      <c r="Q31" s="1321">
        <f t="shared" si="8"/>
        <v>111</v>
      </c>
      <c r="R31" s="1322" t="s">
        <v>62</v>
      </c>
      <c r="S31" s="1323">
        <f t="shared" si="10"/>
        <v>100</v>
      </c>
      <c r="T31" s="1322" t="s">
        <v>62</v>
      </c>
      <c r="U31" s="1323">
        <f t="shared" si="11"/>
        <v>100</v>
      </c>
      <c r="V31" s="1322" t="s">
        <v>62</v>
      </c>
      <c r="W31" s="1323">
        <f t="shared" si="12"/>
        <v>100</v>
      </c>
      <c r="X31" s="1316"/>
      <c r="Y31" s="3704"/>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705" t="s">
        <v>406</v>
      </c>
      <c r="Q32" s="1321">
        <f t="shared" si="8"/>
        <v>111</v>
      </c>
      <c r="R32" s="1322" t="s">
        <v>62</v>
      </c>
      <c r="S32" s="1323">
        <f t="shared" si="10"/>
        <v>100</v>
      </c>
      <c r="T32" s="1322" t="s">
        <v>62</v>
      </c>
      <c r="U32" s="1323">
        <f t="shared" si="11"/>
        <v>100</v>
      </c>
      <c r="V32" s="1322" t="s">
        <v>62</v>
      </c>
      <c r="W32" s="1323">
        <f t="shared" si="12"/>
        <v>100</v>
      </c>
      <c r="X32" s="1316"/>
      <c r="Y32" s="3706" t="s">
        <v>406</v>
      </c>
      <c r="Z32" s="1324">
        <f t="shared" si="13"/>
        <v>111</v>
      </c>
      <c r="AA32" s="1325">
        <f t="shared" si="3"/>
        <v>1</v>
      </c>
      <c r="AB32" s="1325">
        <f t="shared" si="4"/>
        <v>1</v>
      </c>
      <c r="AC32" s="1325">
        <f t="shared" si="5"/>
        <v>1</v>
      </c>
    </row>
    <row r="33" spans="1:29" s="813" customFormat="1" ht="15.75" thickBot="1">
      <c r="A33" s="1083"/>
      <c r="B33" s="3301">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706"/>
      <c r="Q33" s="1321">
        <f t="shared" si="8"/>
        <v>111</v>
      </c>
      <c r="R33" s="1327" t="s">
        <v>62</v>
      </c>
      <c r="S33" s="1328">
        <f t="shared" si="10"/>
        <v>100</v>
      </c>
      <c r="T33" s="1327" t="s">
        <v>62</v>
      </c>
      <c r="U33" s="1328">
        <f t="shared" si="11"/>
        <v>100</v>
      </c>
      <c r="V33" s="1327" t="s">
        <v>62</v>
      </c>
      <c r="W33" s="1328">
        <f t="shared" si="12"/>
        <v>100</v>
      </c>
      <c r="X33" s="1329"/>
      <c r="Y33" s="3706"/>
      <c r="Z33" s="1330">
        <f t="shared" si="13"/>
        <v>111</v>
      </c>
      <c r="AA33" s="1325">
        <f t="shared" si="3"/>
        <v>1</v>
      </c>
      <c r="AB33" s="1325">
        <f t="shared" si="4"/>
        <v>1</v>
      </c>
      <c r="AC33" s="1325">
        <f t="shared" si="5"/>
        <v>1</v>
      </c>
    </row>
    <row r="34" spans="1:29" ht="15">
      <c r="A34" s="782" t="s">
        <v>2793</v>
      </c>
      <c r="B34" s="798" t="s">
        <v>483</v>
      </c>
      <c r="C34" s="1086"/>
      <c r="D34" s="809">
        <v>100</v>
      </c>
      <c r="E34" s="1086"/>
      <c r="F34" s="809" t="e">
        <f>LOOKUP(E34,108:108,109:109)-LOOKUP(C34,108:108,109:109)+100</f>
        <v>#N/A</v>
      </c>
      <c r="G34" s="1086"/>
      <c r="H34" s="809" t="e">
        <f>LOOKUP(G34,108:108,109:109)-LOOKUP(C34,108:108,109:109)+100</f>
        <v>#N/A</v>
      </c>
      <c r="I34" s="872"/>
      <c r="J34" s="809" t="e">
        <f>LOOKUP(I34,108:108,109:109)-LOOKUP(C34,108:108,109:109)+100</f>
        <v>#N/A</v>
      </c>
      <c r="K34" s="955"/>
      <c r="L34" s="2357"/>
      <c r="M34" s="2348"/>
      <c r="N34" s="2348"/>
      <c r="O34" s="2356"/>
      <c r="P34" s="3706"/>
      <c r="Q34" s="1321" t="str">
        <f>B34</f>
        <v>宗地面积</v>
      </c>
      <c r="R34" s="1322" t="s">
        <v>62</v>
      </c>
      <c r="S34" s="1323" t="e">
        <f t="shared" si="10"/>
        <v>#N/A</v>
      </c>
      <c r="T34" s="1322" t="s">
        <v>62</v>
      </c>
      <c r="U34" s="1323" t="e">
        <f t="shared" si="11"/>
        <v>#N/A</v>
      </c>
      <c r="V34" s="1322" t="s">
        <v>62</v>
      </c>
      <c r="W34" s="1323" t="e">
        <f t="shared" si="12"/>
        <v>#N/A</v>
      </c>
      <c r="X34" s="1316"/>
      <c r="Y34" s="3706"/>
      <c r="Z34" s="1324" t="str">
        <f t="shared" si="13"/>
        <v>宗地面积</v>
      </c>
      <c r="AA34" s="1325" t="e">
        <f t="shared" si="3"/>
        <v>#N/A</v>
      </c>
      <c r="AB34" s="1325" t="e">
        <f t="shared" si="4"/>
        <v>#N/A</v>
      </c>
      <c r="AC34" s="1325" t="e">
        <f t="shared" si="5"/>
        <v>#N/A</v>
      </c>
    </row>
    <row r="35" spans="1:29" ht="15">
      <c r="A35" s="814"/>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706"/>
      <c r="Q35" s="1321" t="str">
        <f t="shared" ref="Q35:Q40" si="14">B35</f>
        <v>宗地形状</v>
      </c>
      <c r="R35" s="1322" t="s">
        <v>62</v>
      </c>
      <c r="S35" s="1323">
        <f t="shared" si="10"/>
        <v>100</v>
      </c>
      <c r="T35" s="1322" t="s">
        <v>62</v>
      </c>
      <c r="U35" s="1323">
        <f t="shared" si="11"/>
        <v>100</v>
      </c>
      <c r="V35" s="1322" t="s">
        <v>62</v>
      </c>
      <c r="W35" s="1323">
        <f t="shared" si="12"/>
        <v>100</v>
      </c>
      <c r="X35" s="1316"/>
      <c r="Y35" s="3706"/>
      <c r="Z35" s="1324" t="str">
        <f t="shared" si="13"/>
        <v>宗地形状</v>
      </c>
      <c r="AA35" s="1325">
        <f t="shared" si="3"/>
        <v>1</v>
      </c>
      <c r="AB35" s="1325">
        <f t="shared" si="4"/>
        <v>1</v>
      </c>
      <c r="AC35" s="1325">
        <f t="shared" si="5"/>
        <v>1</v>
      </c>
    </row>
    <row r="36" spans="1:29" s="407" customFormat="1" ht="15">
      <c r="A36" s="815"/>
      <c r="B36" s="2608" t="s">
        <v>2499</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4"/>
      <c r="L36" s="2349"/>
      <c r="M36" s="2350"/>
      <c r="N36" s="2350"/>
      <c r="O36" s="2351"/>
      <c r="P36" s="3706"/>
      <c r="Q36" s="1321" t="str">
        <f t="shared" si="14"/>
        <v>宗地开发程度</v>
      </c>
      <c r="R36" s="1317" t="s">
        <v>62</v>
      </c>
      <c r="S36" s="1318">
        <f t="shared" si="10"/>
        <v>100</v>
      </c>
      <c r="T36" s="1317" t="s">
        <v>62</v>
      </c>
      <c r="U36" s="1318">
        <f t="shared" si="11"/>
        <v>100</v>
      </c>
      <c r="V36" s="1317" t="s">
        <v>62</v>
      </c>
      <c r="W36" s="1318">
        <f t="shared" si="12"/>
        <v>100</v>
      </c>
      <c r="X36" s="1319"/>
      <c r="Y36" s="3706"/>
      <c r="Z36" s="344" t="str">
        <f t="shared" si="13"/>
        <v>宗地开发程度</v>
      </c>
      <c r="AA36" s="1320">
        <f t="shared" si="3"/>
        <v>1</v>
      </c>
      <c r="AB36" s="1320">
        <f t="shared" si="4"/>
        <v>1</v>
      </c>
      <c r="AC36" s="1320">
        <f t="shared" si="5"/>
        <v>1</v>
      </c>
    </row>
    <row r="37" spans="1:29" ht="15">
      <c r="A37" s="814"/>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706" t="s">
        <v>517</v>
      </c>
      <c r="Q37" s="1321" t="str">
        <f t="shared" si="14"/>
        <v>工程地质条件</v>
      </c>
      <c r="R37" s="1322" t="s">
        <v>62</v>
      </c>
      <c r="S37" s="1323">
        <f t="shared" si="10"/>
        <v>100</v>
      </c>
      <c r="T37" s="1322" t="s">
        <v>62</v>
      </c>
      <c r="U37" s="1323">
        <f t="shared" si="11"/>
        <v>100</v>
      </c>
      <c r="V37" s="1322" t="s">
        <v>62</v>
      </c>
      <c r="W37" s="1323">
        <f t="shared" si="12"/>
        <v>100</v>
      </c>
      <c r="X37" s="1316"/>
      <c r="Y37" s="3706" t="s">
        <v>517</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706"/>
      <c r="Q38" s="1321">
        <f t="shared" si="14"/>
        <v>111</v>
      </c>
      <c r="R38" s="1322" t="s">
        <v>62</v>
      </c>
      <c r="S38" s="1323">
        <f t="shared" si="10"/>
        <v>100</v>
      </c>
      <c r="T38" s="1322" t="s">
        <v>62</v>
      </c>
      <c r="U38" s="1323">
        <f t="shared" si="11"/>
        <v>100</v>
      </c>
      <c r="V38" s="1322" t="s">
        <v>62</v>
      </c>
      <c r="W38" s="1323">
        <f t="shared" si="12"/>
        <v>100</v>
      </c>
      <c r="X38" s="1316"/>
      <c r="Y38" s="3706"/>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706"/>
      <c r="Q39" s="1321">
        <f t="shared" si="14"/>
        <v>111</v>
      </c>
      <c r="R39" s="1322" t="s">
        <v>62</v>
      </c>
      <c r="S39" s="1323">
        <f t="shared" si="10"/>
        <v>100</v>
      </c>
      <c r="T39" s="1322" t="s">
        <v>62</v>
      </c>
      <c r="U39" s="1323">
        <f t="shared" si="11"/>
        <v>100</v>
      </c>
      <c r="V39" s="1322" t="s">
        <v>62</v>
      </c>
      <c r="W39" s="1323">
        <f t="shared" si="12"/>
        <v>100</v>
      </c>
      <c r="X39" s="1316"/>
      <c r="Y39" s="3706"/>
      <c r="Z39" s="1324">
        <f t="shared" si="13"/>
        <v>111</v>
      </c>
      <c r="AA39" s="1325">
        <f t="shared" si="3"/>
        <v>1</v>
      </c>
      <c r="AB39" s="1325">
        <f t="shared" si="4"/>
        <v>1</v>
      </c>
      <c r="AC39" s="1325">
        <f t="shared" si="5"/>
        <v>1</v>
      </c>
    </row>
    <row r="40" spans="1:29" s="813" customFormat="1" ht="15.75" thickBot="1">
      <c r="A40" s="810"/>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706"/>
      <c r="Q40" s="1321">
        <f t="shared" si="14"/>
        <v>111</v>
      </c>
      <c r="R40" s="1327" t="s">
        <v>62</v>
      </c>
      <c r="S40" s="1328">
        <f t="shared" si="10"/>
        <v>100</v>
      </c>
      <c r="T40" s="1327" t="s">
        <v>62</v>
      </c>
      <c r="U40" s="1328">
        <f t="shared" si="11"/>
        <v>100</v>
      </c>
      <c r="V40" s="1327" t="s">
        <v>62</v>
      </c>
      <c r="W40" s="1328">
        <f t="shared" si="12"/>
        <v>100</v>
      </c>
      <c r="X40" s="1329"/>
      <c r="Y40" s="3706"/>
      <c r="Z40" s="1330">
        <f t="shared" si="13"/>
        <v>111</v>
      </c>
      <c r="AA40" s="1325">
        <f t="shared" si="3"/>
        <v>1</v>
      </c>
      <c r="AB40" s="1325">
        <f t="shared" si="4"/>
        <v>1</v>
      </c>
      <c r="AC40" s="1325">
        <f t="shared" si="5"/>
        <v>1</v>
      </c>
    </row>
    <row r="41" spans="1:29" ht="15">
      <c r="A41" s="821" t="s">
        <v>487</v>
      </c>
      <c r="B41" s="207" t="s">
        <v>3023</v>
      </c>
      <c r="C41" s="1089" t="s">
        <v>23</v>
      </c>
      <c r="D41" s="823"/>
      <c r="E41" s="824"/>
      <c r="F41" s="825"/>
      <c r="G41" s="826"/>
      <c r="H41" s="827"/>
      <c r="I41" s="824"/>
      <c r="J41" s="827"/>
      <c r="K41" s="1398"/>
      <c r="L41" s="2360"/>
      <c r="M41" s="2348"/>
      <c r="N41" s="2348"/>
      <c r="O41" s="2361"/>
      <c r="P41" s="3688" t="str">
        <f>A41</f>
        <v>成交单价</v>
      </c>
      <c r="Q41" s="3688"/>
      <c r="R41" s="3701">
        <f>E41</f>
        <v>0</v>
      </c>
      <c r="S41" s="3701"/>
      <c r="T41" s="3701">
        <f>G41</f>
        <v>0</v>
      </c>
      <c r="U41" s="3701"/>
      <c r="V41" s="3701">
        <f>I41</f>
        <v>0</v>
      </c>
      <c r="W41" s="3701"/>
      <c r="X41" s="1305"/>
      <c r="Y41" s="1331"/>
      <c r="Z41" s="1305"/>
      <c r="AA41" s="1305"/>
      <c r="AB41" s="1305"/>
      <c r="AC41" s="1305"/>
    </row>
    <row r="42" spans="1:29" ht="15.75" thickBot="1">
      <c r="A42" s="828" t="s">
        <v>408</v>
      </c>
      <c r="B42" s="1090"/>
      <c r="C42" s="832" t="e">
        <f>R43</f>
        <v>#DIV/0!</v>
      </c>
      <c r="D42" s="831"/>
      <c r="E42" s="832" t="e">
        <f>R42</f>
        <v>#DIV/0!</v>
      </c>
      <c r="F42" s="833"/>
      <c r="G42" s="830" t="e">
        <f>T42</f>
        <v>#DIV/0!</v>
      </c>
      <c r="H42" s="831"/>
      <c r="I42" s="832" t="e">
        <f>V42</f>
        <v>#DIV/0!</v>
      </c>
      <c r="J42" s="831"/>
      <c r="K42" s="1399"/>
      <c r="L42" s="2360"/>
      <c r="M42" s="2348"/>
      <c r="N42" s="2348"/>
      <c r="O42" s="2361"/>
      <c r="P42" s="3688" t="str">
        <f>A42</f>
        <v>比较价值（元/平方米）</v>
      </c>
      <c r="Q42" s="3688"/>
      <c r="R42" s="3711" t="e">
        <f>ROUND(PRODUCT(R41,AA7:AA40),0)</f>
        <v>#DIV/0!</v>
      </c>
      <c r="S42" s="3711"/>
      <c r="T42" s="3711" t="e">
        <f>ROUND(PRODUCT(T41,AB7:AB40),0)</f>
        <v>#DIV/0!</v>
      </c>
      <c r="U42" s="3711"/>
      <c r="V42" s="3711" t="e">
        <f>ROUND(PRODUCT(V41,AC7:AC40),0)</f>
        <v>#DIV/0!</v>
      </c>
      <c r="W42" s="3711"/>
      <c r="X42" s="1305"/>
      <c r="Y42" s="1305"/>
      <c r="Z42" s="1305"/>
      <c r="AA42" s="1305"/>
      <c r="AB42" s="1305"/>
      <c r="AC42" s="1305"/>
    </row>
    <row r="43" spans="1:29" ht="15.75" thickBot="1">
      <c r="A43" s="115" t="s">
        <v>3016</v>
      </c>
      <c r="B43" s="835"/>
      <c r="C43" s="836" t="e">
        <f>R43</f>
        <v>#DIV/0!</v>
      </c>
      <c r="D43" s="836"/>
      <c r="E43" s="836"/>
      <c r="F43" s="836"/>
      <c r="G43" s="836"/>
      <c r="H43" s="836"/>
      <c r="I43" s="836"/>
      <c r="J43" s="836"/>
      <c r="K43" s="1400"/>
      <c r="L43" s="2360"/>
      <c r="M43" s="2348"/>
      <c r="N43" s="2348"/>
      <c r="O43" s="2361"/>
      <c r="P43" s="3708" t="str">
        <f>A43</f>
        <v>估价对象XX用房的比较价值（楼面单价，元/平方米）</v>
      </c>
      <c r="Q43" s="3709"/>
      <c r="R43" s="3712" t="e">
        <f>ROUND(AVERAGE(R42:V42),0)</f>
        <v>#DIV/0!</v>
      </c>
      <c r="S43" s="3712"/>
      <c r="T43" s="3712"/>
      <c r="U43" s="3712"/>
      <c r="V43" s="3712"/>
      <c r="W43" s="3712"/>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409</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410</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411</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8"/>
      <c r="D49" s="1306"/>
      <c r="E49" s="1306"/>
      <c r="F49" s="1306"/>
      <c r="G49" s="1306"/>
      <c r="H49" s="1306"/>
      <c r="I49" s="1306"/>
      <c r="J49" s="1306"/>
      <c r="K49" s="2365"/>
      <c r="L49" s="2366"/>
      <c r="M49" s="2362"/>
      <c r="N49" s="2362"/>
      <c r="O49" s="2362"/>
    </row>
    <row r="50" spans="1:17" ht="27">
      <c r="A50" s="1091" t="s">
        <v>488</v>
      </c>
      <c r="B50" s="1092" t="s">
        <v>489</v>
      </c>
      <c r="C50" s="1776" t="s">
        <v>1882</v>
      </c>
      <c r="D50" s="2392" t="s">
        <v>2322</v>
      </c>
      <c r="E50" s="1093" t="s">
        <v>490</v>
      </c>
      <c r="F50" s="1094" t="s">
        <v>491</v>
      </c>
      <c r="G50" s="3713" t="s">
        <v>2315</v>
      </c>
      <c r="H50" s="3714"/>
      <c r="I50" s="2182" t="s">
        <v>1881</v>
      </c>
      <c r="J50" s="1766" t="str">
        <f>项目基本情况!F35</f>
        <v>新疆</v>
      </c>
      <c r="K50" s="2375" t="s">
        <v>1883</v>
      </c>
      <c r="L50" s="2188"/>
      <c r="M50" s="2361"/>
      <c r="N50" s="2361"/>
      <c r="O50" s="2361"/>
    </row>
    <row r="51" spans="1:17" s="1099" customFormat="1">
      <c r="A51" s="1095" t="s">
        <v>492</v>
      </c>
      <c r="B51" s="1096" t="e">
        <f>C43</f>
        <v>#DIV/0!</v>
      </c>
      <c r="C51" s="1097">
        <v>1</v>
      </c>
      <c r="D51" s="2393">
        <v>1</v>
      </c>
      <c r="E51" s="1097">
        <f>'数据-汇总表'!E8+'数据-汇总表'!E9</f>
        <v>3353.7699999999995</v>
      </c>
      <c r="F51" s="1098" t="e">
        <f t="shared" ref="F51:F60" si="15">ROUND(B51*E51/10000,0)</f>
        <v>#DIV/0!</v>
      </c>
      <c r="G51" s="3715"/>
      <c r="H51" s="3716"/>
      <c r="I51" s="1774">
        <v>1</v>
      </c>
      <c r="J51" s="1774">
        <v>1</v>
      </c>
      <c r="K51" s="2362"/>
      <c r="L51" s="1773"/>
      <c r="M51" s="1773"/>
      <c r="N51" s="1773"/>
      <c r="O51" s="1773"/>
    </row>
    <row r="52" spans="1:17" s="1099" customFormat="1">
      <c r="A52" s="1100" t="s">
        <v>493</v>
      </c>
      <c r="B52" s="593" t="e">
        <f>ROUND($C$43*C52*D52,0)</f>
        <v>#DIV/0!</v>
      </c>
      <c r="C52" s="531">
        <f t="shared" ref="C52:C60" si="16">IF($C$50="北京市系数",I52,J52)</f>
        <v>0</v>
      </c>
      <c r="D52" s="2394">
        <v>0.25</v>
      </c>
      <c r="E52" s="1101"/>
      <c r="F52" s="1098" t="e">
        <f t="shared" si="15"/>
        <v>#DIV/0!</v>
      </c>
      <c r="G52" s="3717" t="s">
        <v>2316</v>
      </c>
      <c r="H52" s="2186">
        <f>项目基本情况!B37</f>
        <v>0</v>
      </c>
      <c r="I52" s="1774">
        <f>SUMIF(修正!A45:A56,H52,修正!B45:B56)</f>
        <v>0</v>
      </c>
      <c r="J52" s="1775"/>
      <c r="K52" s="2361"/>
      <c r="L52" s="1773"/>
      <c r="M52" s="1773"/>
      <c r="N52" s="1773"/>
      <c r="O52" s="1773"/>
    </row>
    <row r="53" spans="1:17" s="1099" customFormat="1">
      <c r="A53" s="1100" t="s">
        <v>494</v>
      </c>
      <c r="B53" s="593" t="e">
        <f t="shared" ref="B53:B60" si="17">ROUND($C$43*C53*D53,0)</f>
        <v>#DIV/0!</v>
      </c>
      <c r="C53" s="531">
        <f t="shared" si="16"/>
        <v>0</v>
      </c>
      <c r="D53" s="2394">
        <v>0.25</v>
      </c>
      <c r="E53" s="1101"/>
      <c r="F53" s="1098" t="e">
        <f t="shared" si="15"/>
        <v>#DIV/0!</v>
      </c>
      <c r="G53" s="3717"/>
      <c r="H53" s="2186">
        <f>项目基本情况!B37</f>
        <v>0</v>
      </c>
      <c r="I53" s="1774">
        <f>SUMIF(修正!A45:A56,H53,修正!C45:C56)</f>
        <v>0</v>
      </c>
      <c r="J53" s="1775"/>
      <c r="K53" s="2362"/>
      <c r="L53" s="1773"/>
      <c r="M53" s="1773"/>
      <c r="N53" s="1773"/>
      <c r="O53" s="1773"/>
    </row>
    <row r="54" spans="1:17" s="1099" customFormat="1">
      <c r="A54" s="1100" t="s">
        <v>495</v>
      </c>
      <c r="B54" s="593" t="e">
        <f t="shared" si="17"/>
        <v>#DIV/0!</v>
      </c>
      <c r="C54" s="531">
        <f t="shared" si="16"/>
        <v>0</v>
      </c>
      <c r="D54" s="2394">
        <v>0.25</v>
      </c>
      <c r="E54" s="1101"/>
      <c r="F54" s="1098" t="e">
        <f t="shared" si="15"/>
        <v>#DIV/0!</v>
      </c>
      <c r="G54" s="3717"/>
      <c r="H54" s="2186">
        <f>项目基本情况!B37</f>
        <v>0</v>
      </c>
      <c r="I54" s="1774">
        <f>SUMIF(修正!A45:A56,H54,修正!D45:D56)</f>
        <v>0</v>
      </c>
      <c r="J54" s="1775"/>
      <c r="K54" s="2361"/>
      <c r="L54" s="1773"/>
      <c r="M54" s="1773"/>
      <c r="N54" s="1773"/>
      <c r="O54" s="1773"/>
    </row>
    <row r="55" spans="1:17" s="1099" customFormat="1">
      <c r="A55" s="1100" t="s">
        <v>496</v>
      </c>
      <c r="B55" s="593" t="e">
        <f t="shared" si="17"/>
        <v>#DIV/0!</v>
      </c>
      <c r="C55" s="531">
        <f t="shared" si="16"/>
        <v>0</v>
      </c>
      <c r="D55" s="2394">
        <v>0.25</v>
      </c>
      <c r="E55" s="1101"/>
      <c r="F55" s="1098" t="e">
        <f t="shared" si="15"/>
        <v>#DIV/0!</v>
      </c>
      <c r="G55" s="3717"/>
      <c r="H55" s="2186">
        <f>项目基本情况!B37</f>
        <v>0</v>
      </c>
      <c r="I55" s="1774">
        <f>SUMIF(修正!A45:A56,H55,修正!E45:E56)</f>
        <v>0</v>
      </c>
      <c r="J55" s="1775"/>
      <c r="K55" s="2362"/>
      <c r="L55" s="1773"/>
      <c r="M55" s="1773"/>
      <c r="N55" s="1773"/>
      <c r="O55" s="1773"/>
    </row>
    <row r="56" spans="1:17" s="1099" customFormat="1">
      <c r="A56" s="2513" t="s">
        <v>2398</v>
      </c>
      <c r="B56" s="593" t="e">
        <f t="shared" si="17"/>
        <v>#DIV/0!</v>
      </c>
      <c r="C56" s="531">
        <f t="shared" si="16"/>
        <v>0</v>
      </c>
      <c r="D56" s="2394">
        <v>0.25</v>
      </c>
      <c r="E56" s="592">
        <f>'数据-汇总表'!E11</f>
        <v>0</v>
      </c>
      <c r="F56" s="1098" t="e">
        <f t="shared" si="15"/>
        <v>#DIV/0!</v>
      </c>
      <c r="G56" s="2198" t="s">
        <v>2317</v>
      </c>
      <c r="H56" s="2186">
        <f>项目基本情况!C37</f>
        <v>0</v>
      </c>
      <c r="I56" s="1774">
        <f>SUMIF(修正!A45:A56,H56,修正!F45:F56)</f>
        <v>0</v>
      </c>
      <c r="J56" s="1775"/>
      <c r="K56" s="2361"/>
      <c r="L56" s="1773"/>
      <c r="M56" s="1773"/>
      <c r="N56" s="1773"/>
      <c r="O56" s="1773"/>
    </row>
    <row r="57" spans="1:17" s="1099" customFormat="1">
      <c r="A57" s="1100" t="s">
        <v>497</v>
      </c>
      <c r="B57" s="593" t="e">
        <f t="shared" si="17"/>
        <v>#DIV/0!</v>
      </c>
      <c r="C57" s="531">
        <f t="shared" si="16"/>
        <v>0</v>
      </c>
      <c r="D57" s="2394">
        <v>0.25</v>
      </c>
      <c r="E57" s="592">
        <f>'数据-汇总表'!E12</f>
        <v>0</v>
      </c>
      <c r="F57" s="1098" t="e">
        <f t="shared" si="15"/>
        <v>#DIV/0!</v>
      </c>
      <c r="G57" s="2192" t="s">
        <v>138</v>
      </c>
      <c r="H57" s="2186">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099" customFormat="1">
      <c r="A58" s="1100" t="s">
        <v>498</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099" customFormat="1">
      <c r="A59" s="1100" t="s">
        <v>499</v>
      </c>
      <c r="B59" s="593" t="e">
        <f t="shared" si="17"/>
        <v>#DIV/0!</v>
      </c>
      <c r="C59" s="531">
        <f t="shared" si="16"/>
        <v>0</v>
      </c>
      <c r="D59" s="2394">
        <v>0.25</v>
      </c>
      <c r="E59" s="592">
        <f>'数据-汇总表'!E14</f>
        <v>0</v>
      </c>
      <c r="F59" s="1098" t="e">
        <f t="shared" si="15"/>
        <v>#DIV/0!</v>
      </c>
      <c r="G59" s="2198" t="s">
        <v>2318</v>
      </c>
      <c r="H59" s="2186">
        <f>项目基本情况!B37</f>
        <v>0</v>
      </c>
      <c r="I59" s="1774">
        <f>SUMIF(修正!A45:A56,H59,修正!H45:H56)</f>
        <v>0</v>
      </c>
      <c r="J59" s="1775"/>
      <c r="K59" s="2362"/>
      <c r="L59" s="1773"/>
      <c r="M59" s="1773"/>
      <c r="N59" s="1773"/>
      <c r="O59" s="1773"/>
    </row>
    <row r="60" spans="1:17" s="1099" customFormat="1" ht="15" thickBot="1">
      <c r="A60" s="1100" t="s">
        <v>500</v>
      </c>
      <c r="B60" s="593" t="e">
        <f t="shared" si="17"/>
        <v>#DIV/0!</v>
      </c>
      <c r="C60" s="531">
        <f t="shared" si="16"/>
        <v>0</v>
      </c>
      <c r="D60" s="2394">
        <v>0.25</v>
      </c>
      <c r="E60" s="592">
        <f>'数据-汇总表'!E15</f>
        <v>0</v>
      </c>
      <c r="F60" s="1098" t="e">
        <f t="shared" si="15"/>
        <v>#DIV/0!</v>
      </c>
      <c r="G60" s="2199" t="s">
        <v>2317</v>
      </c>
      <c r="H60" s="2200">
        <f>项目基本情况!C37</f>
        <v>0</v>
      </c>
      <c r="I60" s="1774">
        <f>SUMIF(修正!A45:A56,H60,修正!H45:H56)</f>
        <v>0</v>
      </c>
      <c r="J60" s="1775"/>
      <c r="K60" s="2361"/>
      <c r="L60" s="1773"/>
      <c r="M60" s="1773"/>
      <c r="N60" s="1773"/>
      <c r="O60" s="1773"/>
    </row>
    <row r="61" spans="1:17" s="1099" customFormat="1" ht="15" thickBot="1">
      <c r="A61" s="1102" t="s">
        <v>501</v>
      </c>
      <c r="B61" s="1103" t="s">
        <v>153</v>
      </c>
      <c r="C61" s="1103" t="s">
        <v>154</v>
      </c>
      <c r="D61" s="1103" t="s">
        <v>2323</v>
      </c>
      <c r="E61" s="1103">
        <f>IF(B41="楼面地价",SUM(E51:E60),'数据-汇总表'!D3)</f>
        <v>0</v>
      </c>
      <c r="F61" s="1104"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412</v>
      </c>
      <c r="B64" s="1305"/>
      <c r="C64" s="1310"/>
      <c r="D64" s="1310"/>
      <c r="E64" s="1310"/>
      <c r="F64" s="1311"/>
      <c r="G64" s="1311"/>
      <c r="H64" s="1310"/>
      <c r="I64" s="1310"/>
      <c r="J64" s="1310"/>
      <c r="K64" s="1312"/>
      <c r="L64" s="1313"/>
      <c r="M64" s="1310"/>
      <c r="N64" s="1310"/>
      <c r="O64" s="2377"/>
      <c r="P64" s="845"/>
      <c r="Q64" s="846"/>
    </row>
    <row r="65" spans="1:17" s="850" customFormat="1" ht="15">
      <c r="A65" s="2704" t="s">
        <v>2790</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49"/>
    </row>
    <row r="66" spans="1:17" s="407" customFormat="1" ht="30.75" customHeight="1">
      <c r="A66" s="3035" t="s">
        <v>2789</v>
      </c>
      <c r="B66" s="663" t="str">
        <f>"北京市平均增长率"&amp;TEXT(基准地价修正!P24,"0.00%")</f>
        <v>北京市平均增长率1.34%</v>
      </c>
      <c r="C66" s="945">
        <v>100</v>
      </c>
      <c r="D66" s="937"/>
      <c r="E66" s="937"/>
      <c r="F66" s="937"/>
      <c r="G66" s="937"/>
      <c r="H66" s="937"/>
      <c r="I66" s="937"/>
      <c r="J66" s="937"/>
      <c r="K66" s="937"/>
      <c r="L66" s="937"/>
      <c r="M66" s="3033"/>
      <c r="N66" s="3033"/>
      <c r="O66" s="3036"/>
      <c r="P66" s="846"/>
    </row>
    <row r="67" spans="1:17" s="407" customFormat="1" ht="15.75" thickBot="1">
      <c r="A67" s="857" t="s">
        <v>413</v>
      </c>
      <c r="B67" s="858"/>
      <c r="C67" s="859"/>
      <c r="D67" s="860"/>
      <c r="E67" s="860"/>
      <c r="F67" s="860"/>
      <c r="G67" s="860"/>
      <c r="H67" s="860"/>
      <c r="I67" s="860"/>
      <c r="J67" s="860"/>
      <c r="K67" s="860"/>
      <c r="L67" s="860"/>
      <c r="M67" s="861"/>
      <c r="N67" s="861"/>
      <c r="O67" s="862"/>
      <c r="P67" s="846"/>
      <c r="Q67" s="846"/>
    </row>
    <row r="68" spans="1:17" s="407" customFormat="1" ht="15">
      <c r="A68" s="863" t="s">
        <v>397</v>
      </c>
      <c r="B68" s="852"/>
      <c r="C68" s="864" t="s">
        <v>414</v>
      </c>
      <c r="D68" s="140"/>
      <c r="E68" s="140"/>
      <c r="F68" s="140"/>
      <c r="G68" s="140"/>
      <c r="H68" s="140"/>
      <c r="I68" s="140"/>
      <c r="J68" s="140"/>
      <c r="K68" s="140"/>
      <c r="L68" s="141"/>
      <c r="M68" s="1049"/>
      <c r="N68" s="2368"/>
      <c r="O68" s="2368"/>
      <c r="P68" s="868"/>
      <c r="Q68" s="846"/>
    </row>
    <row r="69" spans="1:17" s="407" customFormat="1" ht="15.75" thickBot="1">
      <c r="A69" s="863"/>
      <c r="B69" s="852"/>
      <c r="C69" s="980">
        <v>100</v>
      </c>
      <c r="D69" s="854"/>
      <c r="E69" s="854"/>
      <c r="F69" s="854"/>
      <c r="G69" s="854"/>
      <c r="H69" s="854"/>
      <c r="I69" s="854"/>
      <c r="J69" s="854"/>
      <c r="K69" s="854"/>
      <c r="L69" s="854"/>
      <c r="M69" s="856"/>
      <c r="N69" s="2368"/>
      <c r="O69" s="2368"/>
      <c r="P69" s="846"/>
      <c r="Q69" s="846"/>
    </row>
    <row r="70" spans="1:17">
      <c r="A70" s="869" t="s">
        <v>415</v>
      </c>
      <c r="B70" s="870" t="s">
        <v>416</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401</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4" t="s">
        <v>90</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5"/>
      <c r="C75" s="891"/>
      <c r="D75" s="891"/>
      <c r="E75" s="891"/>
      <c r="F75" s="891"/>
      <c r="G75" s="891"/>
      <c r="H75" s="891"/>
      <c r="I75" s="891"/>
      <c r="J75" s="891"/>
      <c r="K75" s="892"/>
      <c r="L75" s="893"/>
      <c r="M75" s="894"/>
      <c r="N75" s="2369"/>
      <c r="O75" s="2369"/>
      <c r="P75" s="334"/>
      <c r="Q75" s="846"/>
    </row>
    <row r="76" spans="1:17" ht="15.75" thickBot="1">
      <c r="A76" s="876"/>
      <c r="B76" s="1051"/>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2">
        <f>B12</f>
        <v>111</v>
      </c>
      <c r="C77" s="139"/>
      <c r="D77" s="139"/>
      <c r="E77" s="139"/>
      <c r="F77" s="139"/>
      <c r="G77" s="139"/>
      <c r="H77" s="1057"/>
      <c r="I77" s="1057"/>
      <c r="J77" s="1057"/>
      <c r="K77" s="1057"/>
      <c r="L77" s="1058"/>
      <c r="M77" s="1059"/>
      <c r="N77" s="2371"/>
      <c r="O77" s="2371"/>
      <c r="P77" s="900"/>
      <c r="Q77" s="901"/>
    </row>
    <row r="78" spans="1:17" s="813" customFormat="1" ht="15.75" thickBot="1">
      <c r="A78" s="895"/>
      <c r="B78" s="1053"/>
      <c r="C78" s="902"/>
      <c r="D78" s="878"/>
      <c r="E78" s="878"/>
      <c r="F78" s="878"/>
      <c r="G78" s="878"/>
      <c r="H78" s="878"/>
      <c r="I78" s="878"/>
      <c r="J78" s="878"/>
      <c r="K78" s="878"/>
      <c r="L78" s="878"/>
      <c r="M78" s="879"/>
      <c r="N78" s="2370"/>
      <c r="O78" s="2370"/>
      <c r="P78" s="900"/>
      <c r="Q78" s="901"/>
    </row>
    <row r="79" spans="1:17" s="813" customFormat="1" ht="15.75" thickTop="1">
      <c r="A79" s="895"/>
      <c r="B79" s="1052">
        <f>B13</f>
        <v>111</v>
      </c>
      <c r="C79" s="139"/>
      <c r="D79" s="139"/>
      <c r="E79" s="139"/>
      <c r="F79" s="139"/>
      <c r="G79" s="139"/>
      <c r="H79" s="1057"/>
      <c r="I79" s="1057"/>
      <c r="J79" s="1057"/>
      <c r="K79" s="1057"/>
      <c r="L79" s="1058"/>
      <c r="M79" s="1059"/>
      <c r="N79" s="2371"/>
      <c r="O79" s="2371"/>
      <c r="P79" s="812"/>
      <c r="Q79" s="903"/>
    </row>
    <row r="80" spans="1:17" s="813" customFormat="1" ht="15.75" thickBot="1">
      <c r="A80" s="895"/>
      <c r="B80" s="1053"/>
      <c r="C80" s="902"/>
      <c r="D80" s="902"/>
      <c r="E80" s="902"/>
      <c r="F80" s="902"/>
      <c r="G80" s="902"/>
      <c r="H80" s="904"/>
      <c r="I80" s="904"/>
      <c r="J80" s="904"/>
      <c r="K80" s="904"/>
      <c r="L80" s="904"/>
      <c r="M80" s="905"/>
      <c r="N80" s="2371"/>
      <c r="O80" s="2371"/>
      <c r="P80" s="900"/>
      <c r="Q80" s="901"/>
    </row>
    <row r="81" spans="1:17" s="813" customFormat="1" ht="15.75" thickTop="1">
      <c r="A81" s="895"/>
      <c r="B81" s="1054">
        <f>B14</f>
        <v>111</v>
      </c>
      <c r="C81" s="140"/>
      <c r="D81" s="140"/>
      <c r="E81" s="140"/>
      <c r="F81" s="140"/>
      <c r="G81" s="140"/>
      <c r="H81" s="1064"/>
      <c r="I81" s="1064"/>
      <c r="J81" s="1064"/>
      <c r="K81" s="1064"/>
      <c r="L81" s="1065"/>
      <c r="M81" s="1066"/>
      <c r="N81" s="2371"/>
      <c r="O81" s="2371"/>
      <c r="P81" s="909"/>
      <c r="Q81" s="901"/>
    </row>
    <row r="82" spans="1:17" s="813" customFormat="1" ht="15.75" thickBot="1">
      <c r="A82" s="910"/>
      <c r="B82" s="1069"/>
      <c r="C82" s="912"/>
      <c r="D82" s="912"/>
      <c r="E82" s="912"/>
      <c r="F82" s="912"/>
      <c r="G82" s="912"/>
      <c r="H82" s="913"/>
      <c r="I82" s="913"/>
      <c r="J82" s="913"/>
      <c r="K82" s="913"/>
      <c r="L82" s="913"/>
      <c r="M82" s="914"/>
      <c r="N82" s="2371"/>
      <c r="O82" s="2371"/>
      <c r="P82" s="900"/>
      <c r="Q82" s="901"/>
    </row>
    <row r="83" spans="1:17">
      <c r="A83" s="869" t="s">
        <v>403</v>
      </c>
      <c r="B83" s="286" t="s">
        <v>156</v>
      </c>
      <c r="C83" s="915" t="s">
        <v>422</v>
      </c>
      <c r="D83" s="915" t="s">
        <v>423</v>
      </c>
      <c r="E83" s="915" t="s">
        <v>424</v>
      </c>
      <c r="F83" s="915" t="s">
        <v>425</v>
      </c>
      <c r="G83" s="915" t="s">
        <v>426</v>
      </c>
      <c r="H83" s="871"/>
      <c r="I83" s="871"/>
      <c r="J83" s="871"/>
      <c r="K83" s="916"/>
      <c r="L83" s="917"/>
      <c r="M83" s="918"/>
      <c r="N83" s="2369"/>
      <c r="O83" s="2369"/>
      <c r="P83" s="919"/>
      <c r="Q83" s="846"/>
    </row>
    <row r="84" spans="1:17" ht="15.75" thickBot="1">
      <c r="A84" s="876"/>
      <c r="B84" s="1053"/>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2" t="s">
        <v>89</v>
      </c>
      <c r="C85" s="920" t="s">
        <v>422</v>
      </c>
      <c r="D85" s="920" t="s">
        <v>423</v>
      </c>
      <c r="E85" s="920" t="s">
        <v>424</v>
      </c>
      <c r="F85" s="920" t="s">
        <v>425</v>
      </c>
      <c r="G85" s="920" t="s">
        <v>426</v>
      </c>
      <c r="H85" s="881"/>
      <c r="I85" s="881"/>
      <c r="J85" s="881"/>
      <c r="K85" s="882"/>
      <c r="L85" s="883"/>
      <c r="M85" s="884"/>
      <c r="N85" s="2369"/>
      <c r="O85" s="2369"/>
      <c r="P85" s="334"/>
      <c r="Q85" s="846"/>
    </row>
    <row r="86" spans="1:17" ht="15.75" thickBot="1">
      <c r="A86" s="876"/>
      <c r="B86" s="1053"/>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2" t="s">
        <v>106</v>
      </c>
      <c r="C87" s="915" t="s">
        <v>422</v>
      </c>
      <c r="D87" s="915" t="s">
        <v>423</v>
      </c>
      <c r="E87" s="915" t="s">
        <v>424</v>
      </c>
      <c r="F87" s="915" t="s">
        <v>425</v>
      </c>
      <c r="G87" s="915" t="s">
        <v>426</v>
      </c>
      <c r="H87" s="920"/>
      <c r="I87" s="920"/>
      <c r="J87" s="920"/>
      <c r="K87" s="920"/>
      <c r="L87" s="1105"/>
      <c r="M87" s="963"/>
      <c r="N87" s="2368"/>
      <c r="O87" s="2368"/>
      <c r="P87" s="334"/>
      <c r="Q87" s="846"/>
    </row>
    <row r="88" spans="1:17" s="407" customFormat="1" ht="15.75" thickBot="1">
      <c r="A88" s="921"/>
      <c r="B88" s="1053"/>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2" t="s">
        <v>151</v>
      </c>
      <c r="C89" s="915" t="s">
        <v>422</v>
      </c>
      <c r="D89" s="915" t="s">
        <v>423</v>
      </c>
      <c r="E89" s="915" t="s">
        <v>424</v>
      </c>
      <c r="F89" s="915" t="s">
        <v>425</v>
      </c>
      <c r="G89" s="915" t="s">
        <v>426</v>
      </c>
      <c r="H89" s="920"/>
      <c r="I89" s="920"/>
      <c r="J89" s="920"/>
      <c r="K89" s="920"/>
      <c r="L89" s="920"/>
      <c r="M89" s="963"/>
      <c r="N89" s="2368"/>
      <c r="O89" s="2368"/>
      <c r="P89" s="334"/>
      <c r="Q89" s="846"/>
    </row>
    <row r="90" spans="1:17" s="407" customFormat="1" ht="15.75" thickBot="1">
      <c r="A90" s="921"/>
      <c r="B90" s="1053"/>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2" t="s">
        <v>2666</v>
      </c>
      <c r="C91" s="915" t="s">
        <v>422</v>
      </c>
      <c r="D91" s="915" t="s">
        <v>423</v>
      </c>
      <c r="E91" s="915" t="s">
        <v>424</v>
      </c>
      <c r="F91" s="915" t="s">
        <v>425</v>
      </c>
      <c r="G91" s="915" t="s">
        <v>426</v>
      </c>
      <c r="H91" s="942"/>
      <c r="I91" s="942"/>
      <c r="J91" s="942"/>
      <c r="K91" s="942"/>
      <c r="L91" s="943"/>
      <c r="M91" s="944"/>
      <c r="N91" s="2371"/>
      <c r="O91" s="2371"/>
      <c r="P91" s="900"/>
      <c r="Q91" s="901"/>
    </row>
    <row r="92" spans="1:17" s="813" customFormat="1" ht="15.75" thickBot="1">
      <c r="A92" s="895"/>
      <c r="B92" s="1053"/>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4" t="s">
        <v>2668</v>
      </c>
      <c r="C93" s="213" t="s">
        <v>2654</v>
      </c>
      <c r="D93" s="213" t="s">
        <v>2655</v>
      </c>
      <c r="E93" s="213" t="s">
        <v>2656</v>
      </c>
      <c r="F93" s="213" t="s">
        <v>2657</v>
      </c>
      <c r="G93" s="213" t="s">
        <v>2658</v>
      </c>
      <c r="H93" s="942"/>
      <c r="I93" s="942"/>
      <c r="J93" s="942"/>
      <c r="K93" s="942"/>
      <c r="L93" s="942"/>
      <c r="M93" s="944"/>
      <c r="N93" s="2371"/>
      <c r="O93" s="2371"/>
      <c r="P93" s="900"/>
      <c r="Q93" s="901"/>
    </row>
    <row r="94" spans="1:17" s="813" customFormat="1" ht="15.75" thickBot="1">
      <c r="A94" s="895"/>
      <c r="B94" s="1054"/>
      <c r="C94" s="886">
        <v>100</v>
      </c>
      <c r="D94" s="886">
        <f>C94-$K25</f>
        <v>100</v>
      </c>
      <c r="E94" s="886">
        <f>D94-$K25</f>
        <v>100</v>
      </c>
      <c r="F94" s="886">
        <f>E94-$K25</f>
        <v>100</v>
      </c>
      <c r="G94" s="886">
        <f>F94-$K25</f>
        <v>100</v>
      </c>
      <c r="H94" s="890"/>
      <c r="I94" s="890"/>
      <c r="J94" s="890"/>
      <c r="K94" s="890"/>
      <c r="L94" s="890"/>
      <c r="M94" s="2768"/>
      <c r="N94" s="2371"/>
      <c r="O94" s="2371"/>
      <c r="P94" s="900"/>
      <c r="Q94" s="901"/>
    </row>
    <row r="95" spans="1:17" ht="15.75" thickTop="1">
      <c r="A95" s="876"/>
      <c r="B95" s="1052" t="str">
        <f>B27</f>
        <v>临街状况</v>
      </c>
      <c r="C95" s="881" t="s">
        <v>505</v>
      </c>
      <c r="D95" s="881" t="s">
        <v>506</v>
      </c>
      <c r="E95" s="881" t="s">
        <v>507</v>
      </c>
      <c r="F95" s="881" t="s">
        <v>508</v>
      </c>
      <c r="G95" s="881"/>
      <c r="H95" s="881"/>
      <c r="I95" s="881"/>
      <c r="J95" s="881"/>
      <c r="K95" s="882"/>
      <c r="L95" s="883"/>
      <c r="M95" s="884"/>
      <c r="N95" s="2369"/>
      <c r="O95" s="2369"/>
      <c r="P95" s="334"/>
      <c r="Q95" s="846"/>
    </row>
    <row r="96" spans="1:17" ht="15.75" thickBot="1">
      <c r="A96" s="876"/>
      <c r="B96" s="1053"/>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2" t="s">
        <v>141</v>
      </c>
      <c r="C97" s="139"/>
      <c r="D97" s="139"/>
      <c r="E97" s="139"/>
      <c r="F97" s="139"/>
      <c r="G97" s="139"/>
      <c r="H97" s="131"/>
      <c r="I97" s="131"/>
      <c r="J97" s="131"/>
      <c r="K97" s="132"/>
      <c r="L97" s="133"/>
      <c r="M97" s="134"/>
      <c r="N97" s="2369"/>
      <c r="O97" s="2369"/>
      <c r="P97" s="334"/>
      <c r="Q97" s="846"/>
    </row>
    <row r="98" spans="1:17" ht="15.75" thickBot="1">
      <c r="A98" s="876"/>
      <c r="B98" s="1053"/>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2" t="s">
        <v>150</v>
      </c>
      <c r="C99" s="925"/>
      <c r="D99" s="925"/>
      <c r="E99" s="925"/>
      <c r="F99" s="925"/>
      <c r="G99" s="925"/>
      <c r="H99" s="925"/>
      <c r="I99" s="925"/>
      <c r="J99" s="925"/>
      <c r="K99" s="926"/>
      <c r="L99" s="927"/>
      <c r="M99" s="928"/>
      <c r="N99" s="2369"/>
      <c r="O99" s="2369"/>
      <c r="P99" s="334"/>
      <c r="Q99" s="846"/>
    </row>
    <row r="100" spans="1:17" ht="15.75" thickBot="1">
      <c r="A100" s="876"/>
      <c r="B100" s="1053"/>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4">
        <f>B31</f>
        <v>111</v>
      </c>
      <c r="C101" s="139"/>
      <c r="D101" s="139"/>
      <c r="E101" s="139"/>
      <c r="F101" s="139"/>
      <c r="G101" s="135"/>
      <c r="H101" s="135"/>
      <c r="I101" s="135"/>
      <c r="J101" s="135"/>
      <c r="K101" s="136"/>
      <c r="L101" s="137"/>
      <c r="M101" s="138"/>
      <c r="N101" s="2369"/>
      <c r="O101" s="2369"/>
      <c r="P101" s="334"/>
      <c r="Q101" s="846"/>
    </row>
    <row r="102" spans="1:17" ht="15.75" thickBot="1">
      <c r="A102" s="876"/>
      <c r="B102" s="1069"/>
      <c r="C102" s="902"/>
      <c r="D102" s="878"/>
      <c r="E102" s="878"/>
      <c r="F102" s="878"/>
      <c r="G102" s="933"/>
      <c r="H102" s="933"/>
      <c r="I102" s="933"/>
      <c r="J102" s="933"/>
      <c r="K102" s="933"/>
      <c r="L102" s="933"/>
      <c r="M102" s="934"/>
      <c r="N102" s="2370"/>
      <c r="O102" s="2370"/>
      <c r="P102" s="334"/>
      <c r="Q102" s="846"/>
    </row>
    <row r="103" spans="1:17" ht="15" thickTop="1">
      <c r="A103" s="1082"/>
      <c r="B103" s="1052">
        <f>B32</f>
        <v>111</v>
      </c>
      <c r="C103" s="139"/>
      <c r="D103" s="139"/>
      <c r="E103" s="139"/>
      <c r="F103" s="139"/>
      <c r="G103" s="131"/>
      <c r="H103" s="131"/>
      <c r="I103" s="131"/>
      <c r="J103" s="131"/>
      <c r="K103" s="132"/>
      <c r="L103" s="133"/>
      <c r="M103" s="134"/>
      <c r="N103" s="2369"/>
      <c r="O103" s="2369"/>
      <c r="P103" s="334"/>
      <c r="Q103" s="846"/>
    </row>
    <row r="104" spans="1:17" ht="15.75" thickBot="1">
      <c r="A104" s="876"/>
      <c r="B104" s="1053"/>
      <c r="C104" s="902"/>
      <c r="D104" s="902"/>
      <c r="E104" s="902"/>
      <c r="F104" s="902"/>
      <c r="G104" s="878"/>
      <c r="H104" s="878"/>
      <c r="I104" s="878"/>
      <c r="J104" s="878"/>
      <c r="K104" s="878"/>
      <c r="L104" s="878"/>
      <c r="M104" s="879"/>
      <c r="N104" s="2370"/>
      <c r="O104" s="2370"/>
      <c r="P104" s="334"/>
      <c r="Q104" s="846"/>
    </row>
    <row r="105" spans="1:17" s="813" customFormat="1" ht="15" thickTop="1">
      <c r="A105" s="935"/>
      <c r="B105" s="1072">
        <f>B33</f>
        <v>111</v>
      </c>
      <c r="C105" s="140"/>
      <c r="D105" s="140"/>
      <c r="E105" s="140"/>
      <c r="F105" s="140"/>
      <c r="G105" s="1073"/>
      <c r="H105" s="1073"/>
      <c r="I105" s="1073"/>
      <c r="J105" s="1074"/>
      <c r="K105" s="1074"/>
      <c r="L105" s="1075"/>
      <c r="M105" s="1076"/>
      <c r="N105" s="2371"/>
      <c r="O105" s="2371"/>
      <c r="P105" s="900"/>
      <c r="Q105" s="901"/>
    </row>
    <row r="106" spans="1:17" s="813" customFormat="1" ht="15.75" thickBot="1">
      <c r="A106" s="895"/>
      <c r="B106" s="1054"/>
      <c r="C106" s="912"/>
      <c r="D106" s="912"/>
      <c r="E106" s="912"/>
      <c r="F106" s="912"/>
      <c r="G106" s="1084"/>
      <c r="H106" s="1084"/>
      <c r="I106" s="1084"/>
      <c r="J106" s="1084"/>
      <c r="K106" s="1084"/>
      <c r="L106" s="1084"/>
      <c r="M106" s="1106"/>
      <c r="N106" s="2370"/>
      <c r="O106" s="2370"/>
      <c r="P106" s="900"/>
      <c r="Q106" s="901"/>
    </row>
    <row r="107" spans="1:17">
      <c r="A107" s="869" t="s">
        <v>405</v>
      </c>
      <c r="B107" s="286" t="s">
        <v>84</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2" t="str">
        <f t="shared" si="25"/>
        <v>(含)-</v>
      </c>
      <c r="L107" s="3302" t="str">
        <f t="shared" si="25"/>
        <v>(含)-</v>
      </c>
      <c r="M107" s="3303" t="str">
        <f>M108&amp;"(含)"&amp;"-"&amp;P108</f>
        <v>(含)-</v>
      </c>
      <c r="N107" s="2369"/>
      <c r="O107" s="2369"/>
      <c r="P107" s="334"/>
      <c r="Q107" s="846"/>
    </row>
    <row r="108" spans="1:17" ht="15">
      <c r="A108" s="876"/>
      <c r="B108" s="1054"/>
      <c r="C108" s="937"/>
      <c r="D108" s="937"/>
      <c r="E108" s="937"/>
      <c r="F108" s="937"/>
      <c r="G108" s="937"/>
      <c r="H108" s="937"/>
      <c r="I108" s="937"/>
      <c r="J108" s="938"/>
      <c r="K108" s="938"/>
      <c r="L108" s="939"/>
      <c r="M108" s="940"/>
      <c r="N108" s="2369"/>
      <c r="O108" s="2369"/>
      <c r="P108" s="334"/>
      <c r="Q108" s="846"/>
    </row>
    <row r="109" spans="1:17" ht="15.75" thickBot="1">
      <c r="A109" s="876"/>
      <c r="B109" s="1053"/>
      <c r="C109" s="912"/>
      <c r="D109" s="933"/>
      <c r="E109" s="933"/>
      <c r="F109" s="933"/>
      <c r="G109" s="933"/>
      <c r="H109" s="933"/>
      <c r="I109" s="933"/>
      <c r="J109" s="933"/>
      <c r="K109" s="933"/>
      <c r="L109" s="933"/>
      <c r="M109" s="934"/>
      <c r="N109" s="2370"/>
      <c r="O109" s="2370"/>
      <c r="P109" s="334"/>
      <c r="Q109" s="846"/>
    </row>
    <row r="110" spans="1:17" ht="15" thickTop="1">
      <c r="A110" s="941"/>
      <c r="B110" s="1052" t="s">
        <v>83</v>
      </c>
      <c r="C110" s="131"/>
      <c r="D110" s="131"/>
      <c r="E110" s="131"/>
      <c r="F110" s="131"/>
      <c r="G110" s="131"/>
      <c r="H110" s="131"/>
      <c r="I110" s="131"/>
      <c r="J110" s="131"/>
      <c r="K110" s="132"/>
      <c r="L110" s="133"/>
      <c r="M110" s="134"/>
      <c r="N110" s="2369"/>
      <c r="O110" s="2369"/>
      <c r="P110" s="334"/>
      <c r="Q110" s="846"/>
    </row>
    <row r="111" spans="1:17" ht="15.75" thickBot="1">
      <c r="A111" s="876"/>
      <c r="B111" s="1053"/>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2" t="s">
        <v>2500</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3"/>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2" t="s">
        <v>82</v>
      </c>
      <c r="C114" s="139"/>
      <c r="D114" s="139"/>
      <c r="E114" s="131"/>
      <c r="F114" s="131"/>
      <c r="G114" s="131"/>
      <c r="H114" s="131"/>
      <c r="I114" s="131"/>
      <c r="J114" s="131"/>
      <c r="K114" s="132"/>
      <c r="L114" s="133"/>
      <c r="M114" s="134"/>
      <c r="N114" s="2369"/>
      <c r="O114" s="2369"/>
      <c r="P114" s="334"/>
      <c r="Q114" s="846"/>
    </row>
    <row r="115" spans="1:17" ht="15.75" thickBot="1">
      <c r="A115" s="876"/>
      <c r="B115" s="1053"/>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2">
        <f>B38</f>
        <v>111</v>
      </c>
      <c r="C116" s="139"/>
      <c r="D116" s="139"/>
      <c r="E116" s="139"/>
      <c r="F116" s="139"/>
      <c r="G116" s="139"/>
      <c r="H116" s="131"/>
      <c r="I116" s="131"/>
      <c r="J116" s="131"/>
      <c r="K116" s="132"/>
      <c r="L116" s="133"/>
      <c r="M116" s="134"/>
      <c r="N116" s="2369"/>
      <c r="O116" s="2369"/>
      <c r="P116" s="334"/>
      <c r="Q116" s="846"/>
    </row>
    <row r="117" spans="1:17" ht="15.75" thickBot="1">
      <c r="A117" s="876"/>
      <c r="B117" s="1053"/>
      <c r="C117" s="902"/>
      <c r="D117" s="878"/>
      <c r="E117" s="878"/>
      <c r="F117" s="878"/>
      <c r="G117" s="878"/>
      <c r="H117" s="878"/>
      <c r="I117" s="878"/>
      <c r="J117" s="878"/>
      <c r="K117" s="878"/>
      <c r="L117" s="878"/>
      <c r="M117" s="879"/>
      <c r="N117" s="2370"/>
      <c r="O117" s="2370"/>
      <c r="P117" s="334"/>
      <c r="Q117" s="846"/>
    </row>
    <row r="118" spans="1:17" ht="15" thickTop="1">
      <c r="A118" s="941"/>
      <c r="B118" s="1052">
        <f>B39</f>
        <v>111</v>
      </c>
      <c r="C118" s="139"/>
      <c r="D118" s="139"/>
      <c r="E118" s="139"/>
      <c r="F118" s="139"/>
      <c r="G118" s="131"/>
      <c r="H118" s="131"/>
      <c r="I118" s="131"/>
      <c r="J118" s="131"/>
      <c r="K118" s="132"/>
      <c r="L118" s="133"/>
      <c r="M118" s="134"/>
      <c r="N118" s="2369"/>
      <c r="O118" s="2369"/>
      <c r="P118" s="334"/>
      <c r="Q118" s="846"/>
    </row>
    <row r="119" spans="1:17" ht="15.75" thickBot="1">
      <c r="A119" s="876"/>
      <c r="B119" s="1053"/>
      <c r="C119" s="902"/>
      <c r="D119" s="902"/>
      <c r="E119" s="902"/>
      <c r="F119" s="902"/>
      <c r="G119" s="878"/>
      <c r="H119" s="878"/>
      <c r="I119" s="878"/>
      <c r="J119" s="878"/>
      <c r="K119" s="878"/>
      <c r="L119" s="878"/>
      <c r="M119" s="879"/>
      <c r="N119" s="2370"/>
      <c r="O119" s="2370"/>
      <c r="P119" s="334"/>
      <c r="Q119" s="846"/>
    </row>
    <row r="120" spans="1:17" s="813" customFormat="1" ht="15" thickTop="1">
      <c r="A120" s="935"/>
      <c r="B120" s="1052">
        <f>B40</f>
        <v>111</v>
      </c>
      <c r="C120" s="140"/>
      <c r="D120" s="140"/>
      <c r="E120" s="140"/>
      <c r="F120" s="140"/>
      <c r="G120" s="1057"/>
      <c r="H120" s="1057"/>
      <c r="I120" s="1057"/>
      <c r="J120" s="1057"/>
      <c r="K120" s="1057"/>
      <c r="L120" s="1058"/>
      <c r="M120" s="1059"/>
      <c r="N120" s="2371"/>
      <c r="O120" s="2371"/>
      <c r="P120" s="900"/>
      <c r="Q120" s="901"/>
    </row>
    <row r="121" spans="1:17" s="813" customFormat="1" ht="15.75" thickBot="1">
      <c r="A121" s="910"/>
      <c r="B121" s="1077"/>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93" sqref="H93"/>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1788</v>
      </c>
      <c r="B1" s="1472"/>
      <c r="C1" s="86" t="s">
        <v>2501</v>
      </c>
      <c r="D1" s="1738">
        <f>SUM(D29:D30,D33:D39)</f>
        <v>0</v>
      </c>
      <c r="E1" s="1622"/>
      <c r="F1" s="1622"/>
      <c r="G1" s="1622"/>
      <c r="H1" s="1622"/>
      <c r="I1" s="1622"/>
      <c r="J1" s="1622"/>
      <c r="K1" s="2381"/>
      <c r="L1" s="1884" t="s">
        <v>1220</v>
      </c>
      <c r="M1" s="2136">
        <f>SUMPRODUCT((区片价!B5:B9=I2)*(区片价!C3:F3=E2)*(区片价!C5:F9))</f>
        <v>0</v>
      </c>
      <c r="N1" s="2139">
        <f>SUMPRODUCT((因素修正幅度!B5:B9=I2)*(因素修正幅度!C3:F3=E2)*(因素修正幅度!C5:F9))</f>
        <v>0</v>
      </c>
      <c r="O1" s="2385"/>
      <c r="P1" s="2385"/>
      <c r="Q1" s="2381"/>
      <c r="R1" s="3074" t="s">
        <v>2890</v>
      </c>
      <c r="S1" s="3074" t="s">
        <v>2891</v>
      </c>
      <c r="T1" s="3074" t="s">
        <v>2892</v>
      </c>
      <c r="U1" s="3074" t="s">
        <v>2893</v>
      </c>
      <c r="V1" s="3074" t="s">
        <v>2894</v>
      </c>
      <c r="W1" s="3075"/>
      <c r="X1" s="3075"/>
      <c r="Y1" s="3075"/>
      <c r="Z1" s="3075"/>
      <c r="AA1" s="3075"/>
      <c r="AB1" s="3075"/>
      <c r="AC1" s="3076"/>
      <c r="AD1" s="3077"/>
      <c r="AE1" s="3077"/>
      <c r="AF1" s="3077"/>
      <c r="AG1" s="3077"/>
      <c r="AH1" s="3077"/>
      <c r="AI1" s="3077"/>
      <c r="AJ1" s="3078"/>
    </row>
    <row r="2" spans="1:36" ht="15.75">
      <c r="A2" s="86" t="s">
        <v>1789</v>
      </c>
      <c r="B2" s="579" t="e">
        <f>C26</f>
        <v>#DIV/0!</v>
      </c>
      <c r="C2" s="1470" t="s">
        <v>1130</v>
      </c>
      <c r="D2" s="1627" t="s">
        <v>1790</v>
      </c>
      <c r="E2" s="1782"/>
      <c r="F2" s="1627" t="s">
        <v>1791</v>
      </c>
      <c r="G2" s="1604">
        <f>IF(E2="商业",项目基本情况!B37,IF(E2="办公",项目基本情况!C37,IF(E2="住宅",项目基本情况!D37,项目基本情况!E37)))</f>
        <v>0</v>
      </c>
      <c r="H2" s="1627" t="s">
        <v>1792</v>
      </c>
      <c r="I2" s="1604">
        <f>IF(E2="商业",项目基本情况!B38,IF(E2="办公",项目基本情况!C38,IF(E2="住宅",项目基本情况!D38,项目基本情况!E38)))</f>
        <v>0</v>
      </c>
      <c r="J2" s="1628"/>
      <c r="K2" s="2381"/>
      <c r="L2" s="1885" t="s">
        <v>1277</v>
      </c>
      <c r="M2" s="2137">
        <f>SUMPRODUCT((区片价!B10:B28=I2)*(区片价!C3:F3=E2)*(区片价!C10:F28))</f>
        <v>0</v>
      </c>
      <c r="N2" s="2139">
        <f>SUMPRODUCT((因素修正幅度!B10:B28=I2)*(因素修正幅度!C3:F3=E2)*(因素修正幅度!C10:F28))</f>
        <v>0</v>
      </c>
      <c r="O2" s="2381"/>
      <c r="P2" s="2381"/>
      <c r="Q2" s="2381"/>
      <c r="R2" s="3079">
        <v>1</v>
      </c>
      <c r="S2" s="3079" t="e">
        <f>ROUND(IF(G3&gt;1,IF(R2&lt;7,SUMPRODUCT((B93:B98=R2)*(C92:N92=G2)*(C93:N98)),SUMIF(C92:N92,G2,C100:N100)),IF(R2&lt;7,SUMPRODUCT((B102:B107=R2)*(C92:N92=G2)*(C102:N107)),SUMIF(C92:N92,G2,C109:N109))),4)</f>
        <v>#DIV/0!</v>
      </c>
      <c r="T2" s="3079" t="e">
        <f>ROUND($C$5*$C$18*$C$19*$C$20*S2*$C$24,0)</f>
        <v>#DIV/0!</v>
      </c>
      <c r="U2" s="3080"/>
      <c r="V2" s="3079" t="e">
        <f>ROUND(T2*U2/10000,0)</f>
        <v>#DIV/0!</v>
      </c>
      <c r="W2" s="3075"/>
      <c r="X2" s="3075"/>
      <c r="Y2" s="3075"/>
      <c r="Z2" s="3075"/>
      <c r="AA2" s="3075"/>
      <c r="AB2" s="3075"/>
      <c r="AC2" s="3076"/>
      <c r="AD2" s="3077"/>
      <c r="AE2" s="3077"/>
      <c r="AF2" s="3077"/>
      <c r="AG2" s="3077"/>
      <c r="AH2" s="3077"/>
      <c r="AI2" s="3077"/>
      <c r="AJ2" s="3078"/>
    </row>
    <row r="3" spans="1:36" ht="15.75">
      <c r="A3" s="87" t="s">
        <v>1793</v>
      </c>
      <c r="B3" s="579" t="e">
        <f>ROUND(B2*10000/D1,0)</f>
        <v>#DIV/0!</v>
      </c>
      <c r="C3" s="1470" t="s">
        <v>1794</v>
      </c>
      <c r="D3" s="1627" t="s">
        <v>1133</v>
      </c>
      <c r="E3" s="1783"/>
      <c r="F3" s="1784" t="s">
        <v>3024</v>
      </c>
      <c r="G3" s="1629" t="e">
        <f>IF(F3="宗地容积率",'数据-汇总表'!I4,IF(F3="估价对象容积率",'数据-汇总表'!I6,'数据-汇总表'!I7))</f>
        <v>#DIV/0!</v>
      </c>
      <c r="H3" s="1630" t="s">
        <v>1134</v>
      </c>
      <c r="I3" s="1785"/>
      <c r="J3" s="1628" t="s">
        <v>1135</v>
      </c>
      <c r="K3" s="2381"/>
      <c r="L3" s="1885" t="s">
        <v>1450</v>
      </c>
      <c r="M3" s="2137">
        <f>SUMPRODUCT((区片价!B29:B48=I2)*(区片价!C3:F3=E2)*(区片价!C29:F48))</f>
        <v>0</v>
      </c>
      <c r="N3" s="2139">
        <f>SUMPRODUCT((因素修正幅度!B29:B48=I2)*(因素修正幅度!C3:F3=E2)*(因素修正幅度!C29:F48))</f>
        <v>0</v>
      </c>
      <c r="O3" s="2381"/>
      <c r="P3" s="2381"/>
      <c r="Q3" s="2381"/>
      <c r="R3" s="3079">
        <v>2</v>
      </c>
      <c r="S3" s="3079" t="e">
        <f>ROUND(IF(G3&gt;1,IF(R3&lt;7,SUMPRODUCT((B93:B98=R3)*(C92:N92=G2)*(C93:N98)),SUMIF(C92:N92,G2,C100:N100)),IF(R3&lt;7,SUMPRODUCT((B102:B107=R3)*(C92:N92=G2)*(C102:N107)),SUMIF(C92:N92,G2,C109:N109))),4)</f>
        <v>#DIV/0!</v>
      </c>
      <c r="T3" s="3079" t="e">
        <f t="shared" ref="T3:T16" si="0">ROUND($C$5*$C$18*$C$19*$C$20*S3*$C$24,0)</f>
        <v>#DIV/0!</v>
      </c>
      <c r="U3" s="3080"/>
      <c r="V3" s="3079" t="e">
        <f t="shared" ref="V3:V16" si="1">ROUND(T3*U3/10000,0)</f>
        <v>#DIV/0!</v>
      </c>
      <c r="W3" s="3075"/>
      <c r="X3" s="3075"/>
      <c r="Y3" s="3075"/>
      <c r="Z3" s="3075"/>
      <c r="AA3" s="3075"/>
      <c r="AB3" s="3075"/>
      <c r="AC3" s="3076"/>
      <c r="AD3" s="3077"/>
      <c r="AE3" s="3077"/>
      <c r="AF3" s="3077"/>
      <c r="AG3" s="3077"/>
      <c r="AH3" s="3077"/>
      <c r="AI3" s="3077"/>
      <c r="AJ3" s="3078"/>
    </row>
    <row r="4" spans="1:36" ht="15">
      <c r="A4" s="3735"/>
      <c r="B4" s="3736"/>
      <c r="C4" s="3736"/>
      <c r="D4" s="3737"/>
      <c r="E4" s="3737"/>
      <c r="F4" s="3737"/>
      <c r="G4" s="3737"/>
      <c r="H4" s="3737"/>
      <c r="I4" s="3737"/>
      <c r="J4" s="3738"/>
      <c r="K4" s="2381"/>
      <c r="L4" s="1885" t="s">
        <v>1131</v>
      </c>
      <c r="M4" s="2137">
        <f>SUMPRODUCT((区片价!B49:B75=I2)*(区片价!C3:F3=E2)*(区片价!C49:F75))</f>
        <v>0</v>
      </c>
      <c r="N4" s="2139">
        <f>SUMPRODUCT((因素修正幅度!B49:B75=I2)*(因素修正幅度!C3:F3=E2)*(因素修正幅度!C49:F75))</f>
        <v>0</v>
      </c>
      <c r="O4" s="2381"/>
      <c r="P4" s="2381"/>
      <c r="Q4" s="2381"/>
      <c r="R4" s="3079">
        <v>3</v>
      </c>
      <c r="S4" s="3079" t="e">
        <f>ROUND(IF(G3&gt;1,IF(R4&lt;7,SUMPRODUCT((B93:B98=R4)*(C92:N92=G2)*(C93:N98)),SUMIF(C92:N92,G2,C100:N100)),IF(R4&lt;7,SUMPRODUCT((B102:B107=R4)*(C92:N92=G2)*(C102:N107)),SUMIF(C92:N92,G2,C109:N109))),4)</f>
        <v>#DIV/0!</v>
      </c>
      <c r="T4" s="3079" t="e">
        <f t="shared" si="0"/>
        <v>#DIV/0!</v>
      </c>
      <c r="U4" s="3080"/>
      <c r="V4" s="3079" t="e">
        <f t="shared" si="1"/>
        <v>#DIV/0!</v>
      </c>
      <c r="W4" s="3075"/>
      <c r="X4" s="3075"/>
      <c r="Y4" s="3075"/>
      <c r="Z4" s="3075"/>
      <c r="AA4" s="3075"/>
      <c r="AB4" s="3075"/>
      <c r="AC4" s="3076"/>
      <c r="AD4" s="3077"/>
      <c r="AE4" s="3077"/>
      <c r="AF4" s="3077"/>
      <c r="AG4" s="3077"/>
      <c r="AH4" s="3077"/>
      <c r="AI4" s="3077"/>
      <c r="AJ4" s="3078"/>
    </row>
    <row r="5" spans="1:36" s="1638" customFormat="1" ht="15.75" thickBot="1">
      <c r="A5" s="1878" t="s">
        <v>1931</v>
      </c>
      <c r="B5" s="1631" t="s">
        <v>1795</v>
      </c>
      <c r="C5" s="1632" t="e">
        <f>ROUND(IF(E2="商业",IF(F16="增加",C6*C7+C16,C6*C7-C16),IF(E2="住宅",IF(F16="增加",C6*C12+C16,C6*C12-C16),IF(F16="增加",C6+C16,C6-C16))),0)</f>
        <v>#DIV/0!</v>
      </c>
      <c r="D5" s="1633"/>
      <c r="E5" s="1634"/>
      <c r="F5" s="1634"/>
      <c r="G5" s="1635"/>
      <c r="H5" s="1635"/>
      <c r="I5" s="1635"/>
      <c r="J5" s="1636"/>
      <c r="K5" s="2386"/>
      <c r="L5" s="1885" t="s">
        <v>1531</v>
      </c>
      <c r="M5" s="2137">
        <f>SUMPRODUCT((区片价!B76:B109=I2)*(区片价!C3:F3=E2)*(区片价!C76:F109))</f>
        <v>0</v>
      </c>
      <c r="N5" s="2139">
        <f>SUMPRODUCT((因素修正幅度!B76:B109=I2)*(因素修正幅度!C3:F3=E2)*(因素修正幅度!C76:F109))</f>
        <v>0</v>
      </c>
      <c r="O5" s="2381"/>
      <c r="P5" s="2381"/>
      <c r="Q5" s="2381"/>
      <c r="R5" s="3079">
        <v>4</v>
      </c>
      <c r="S5" s="3079" t="e">
        <f>ROUND(IF(G3&gt;1,IF(R5&lt;7,SUMPRODUCT((B93:B98=R5)*(C92:N92=G2)*(C93:N98)),SUMIF(C92:N92,G2,C100:N100)),IF(R5&lt;7,SUMPRODUCT((B102:B107=R5)*(C92:N92=G2)*(C102:N107)),SUMIF(C92:N92,G2,C109:N109))),4)</f>
        <v>#DIV/0!</v>
      </c>
      <c r="T5" s="3079" t="e">
        <f t="shared" si="0"/>
        <v>#DIV/0!</v>
      </c>
      <c r="U5" s="3080"/>
      <c r="V5" s="3079" t="e">
        <f t="shared" si="1"/>
        <v>#DIV/0!</v>
      </c>
      <c r="W5" s="3075"/>
      <c r="X5" s="3075"/>
      <c r="Y5" s="3075"/>
      <c r="Z5" s="3075"/>
      <c r="AA5" s="3075"/>
      <c r="AB5" s="3075"/>
      <c r="AC5" s="3081"/>
      <c r="AD5" s="3082"/>
      <c r="AE5" s="3082"/>
      <c r="AF5" s="3082"/>
      <c r="AG5" s="3082"/>
      <c r="AH5" s="3082"/>
      <c r="AI5" s="3082"/>
      <c r="AJ5" s="3083"/>
    </row>
    <row r="6" spans="1:36" ht="15.75" thickBot="1">
      <c r="A6" s="1882" t="s">
        <v>1938</v>
      </c>
      <c r="B6" s="1639" t="s">
        <v>1795</v>
      </c>
      <c r="C6" s="1640">
        <f>SUMIF(L1:L12,G2,M1:M12)</f>
        <v>0</v>
      </c>
      <c r="D6" s="1641" t="s">
        <v>1796</v>
      </c>
      <c r="E6" s="1642"/>
      <c r="F6" s="1642"/>
      <c r="G6" s="1643"/>
      <c r="H6" s="1643"/>
      <c r="I6" s="1643"/>
      <c r="J6" s="1644"/>
      <c r="K6" s="2387"/>
      <c r="L6" s="1885" t="s">
        <v>200</v>
      </c>
      <c r="M6" s="2137">
        <f>SUMPRODUCT((区片价!B110:B157=I2)*(区片价!C3:F3=E2)*(区片价!C110:F157))</f>
        <v>0</v>
      </c>
      <c r="N6" s="2139">
        <f>SUMPRODUCT((因素修正幅度!B110:B157=I2)*(因素修正幅度!C3:F3=E2)*(因素修正幅度!C110:F157))</f>
        <v>0</v>
      </c>
      <c r="O6" s="2381"/>
      <c r="P6" s="2381"/>
      <c r="Q6" s="2381"/>
      <c r="R6" s="3079">
        <v>5</v>
      </c>
      <c r="S6" s="3079" t="e">
        <f>ROUND(IF(G3&gt;1,IF(R6&lt;7,SUMPRODUCT((B93:B98=R6)*(C92:N92=G2)*(C93:N98)),SUMIF(C92:N92,G2,C100:N100)),IF(R6&lt;7,SUMPRODUCT((B102:B107=R6)*(C92:N92=G2)*(C102:N107)),SUMIF(C92:N92,G2,C109:N109))),4)</f>
        <v>#DIV/0!</v>
      </c>
      <c r="T6" s="3079" t="e">
        <f t="shared" si="0"/>
        <v>#DIV/0!</v>
      </c>
      <c r="U6" s="3080"/>
      <c r="V6" s="3079" t="e">
        <f t="shared" si="1"/>
        <v>#DIV/0!</v>
      </c>
      <c r="W6" s="3075"/>
      <c r="X6" s="3075"/>
      <c r="Y6" s="3075"/>
      <c r="Z6" s="3075"/>
      <c r="AA6" s="3075"/>
      <c r="AB6" s="3075"/>
      <c r="AC6" s="3081"/>
      <c r="AD6" s="3082"/>
      <c r="AE6" s="3082"/>
      <c r="AF6" s="3082"/>
      <c r="AG6" s="3082"/>
      <c r="AH6" s="3082"/>
      <c r="AI6" s="3082"/>
      <c r="AJ6" s="3083"/>
    </row>
    <row r="7" spans="1:36" ht="24">
      <c r="A7" s="3722" t="str">
        <f>IF(E2="商业",IF(C8="不临58条商业街","",2),"")</f>
        <v/>
      </c>
      <c r="B7" s="1645" t="s">
        <v>1797</v>
      </c>
      <c r="C7" s="1646" t="e">
        <f>IF(C8="不临58条商业街",1,ROUND(1+(1.6*E8+1.2*E9+0.8*E10+0.4*E11)*C9,4))</f>
        <v>#DIV/0!</v>
      </c>
      <c r="D7" s="1647" t="s">
        <v>1798</v>
      </c>
      <c r="E7" s="1786"/>
      <c r="F7" s="1648"/>
      <c r="G7" s="1649"/>
      <c r="H7" s="1649"/>
      <c r="I7" s="1649"/>
      <c r="J7" s="1650"/>
      <c r="K7" s="2387"/>
      <c r="L7" s="1885" t="s">
        <v>1534</v>
      </c>
      <c r="M7" s="2137">
        <f>SUMPRODUCT((区片价!B158:B205=I2)*(区片价!C3:F3=E2)*(区片价!C158:F205))</f>
        <v>0</v>
      </c>
      <c r="N7" s="2139">
        <f>SUMPRODUCT((因素修正幅度!B158:B205=I2)*(因素修正幅度!C3:F3=E2)*(因素修正幅度!C158:F205))</f>
        <v>0</v>
      </c>
      <c r="O7" s="2381"/>
      <c r="P7" s="2381"/>
      <c r="Q7" s="2381"/>
      <c r="R7" s="3079">
        <v>6</v>
      </c>
      <c r="S7" s="3079" t="e">
        <f>ROUND(IF(G3&gt;1,IF(R7&lt;7,SUMPRODUCT((B93:B98=R7)*(C92:N92=G2)*(C93:N98)),SUMIF(C92:N92,G2,C100:N100)),IF(R7&lt;7,SUMPRODUCT((B102:B107=R7)*(C92:N92=G2)*(C102:N107)),SUMIF(C92:N92,G2,C109:N109))),4)</f>
        <v>#DIV/0!</v>
      </c>
      <c r="T7" s="3079" t="e">
        <f t="shared" si="0"/>
        <v>#DIV/0!</v>
      </c>
      <c r="U7" s="3080"/>
      <c r="V7" s="3079" t="e">
        <f t="shared" si="1"/>
        <v>#DIV/0!</v>
      </c>
      <c r="W7" s="3084" t="s">
        <v>2895</v>
      </c>
      <c r="X7" s="3085">
        <f>G2</f>
        <v>0</v>
      </c>
      <c r="Y7" s="3085" t="s">
        <v>2896</v>
      </c>
      <c r="Z7" s="3086" t="e">
        <f>G3</f>
        <v>#DIV/0!</v>
      </c>
      <c r="AA7" s="3087"/>
      <c r="AB7" s="3087"/>
      <c r="AC7" s="3088"/>
      <c r="AD7" s="3089"/>
      <c r="AE7" s="3089"/>
      <c r="AF7" s="3089"/>
      <c r="AG7" s="3089"/>
      <c r="AH7" s="3089"/>
      <c r="AI7" s="3089"/>
      <c r="AJ7" s="3090"/>
    </row>
    <row r="8" spans="1:36" ht="15">
      <c r="A8" s="3723"/>
      <c r="B8" s="1630" t="s">
        <v>1799</v>
      </c>
      <c r="C8" s="1787"/>
      <c r="D8" s="1651" t="s">
        <v>1136</v>
      </c>
      <c r="E8" s="1652" t="e">
        <f>ROUND(C11/E7,4)</f>
        <v>#DIV/0!</v>
      </c>
      <c r="F8" s="1653" t="s">
        <v>1800</v>
      </c>
      <c r="G8" s="1654"/>
      <c r="H8" s="1654"/>
      <c r="I8" s="1654"/>
      <c r="J8" s="1655"/>
      <c r="K8" s="2381"/>
      <c r="L8" s="1885" t="s">
        <v>1536</v>
      </c>
      <c r="M8" s="2137">
        <f>SUMPRODUCT((区片价!B206:B244=I2)*(区片价!C3:F3=E2)*(区片价!C206:F244))</f>
        <v>0</v>
      </c>
      <c r="N8" s="2139">
        <f>SUMPRODUCT((因素修正幅度!B206:B244=I2)*(因素修正幅度!C3:F3=E2)*(因素修正幅度!C206:F244))</f>
        <v>0</v>
      </c>
      <c r="O8" s="2381"/>
      <c r="P8" s="2381"/>
      <c r="Q8" s="2381"/>
      <c r="R8" s="3079">
        <v>7</v>
      </c>
      <c r="S8" s="3080"/>
      <c r="T8" s="3079" t="e">
        <f t="shared" si="0"/>
        <v>#DIV/0!</v>
      </c>
      <c r="U8" s="3080"/>
      <c r="V8" s="3079" t="e">
        <f t="shared" si="1"/>
        <v>#DIV/0!</v>
      </c>
      <c r="W8" s="3732" t="s">
        <v>2897</v>
      </c>
      <c r="X8" s="3733"/>
      <c r="Y8" s="3091" t="s">
        <v>162</v>
      </c>
      <c r="Z8" s="3091" t="s">
        <v>163</v>
      </c>
      <c r="AA8" s="3091" t="s">
        <v>158</v>
      </c>
      <c r="AB8" s="3091" t="s">
        <v>159</v>
      </c>
      <c r="AC8" s="3091" t="s">
        <v>160</v>
      </c>
      <c r="AD8" s="3091" t="s">
        <v>161</v>
      </c>
      <c r="AE8" s="3091" t="s">
        <v>1171</v>
      </c>
      <c r="AF8" s="3091" t="s">
        <v>1172</v>
      </c>
      <c r="AG8" s="3091" t="s">
        <v>1173</v>
      </c>
      <c r="AH8" s="3091" t="s">
        <v>1174</v>
      </c>
      <c r="AI8" s="3091" t="s">
        <v>1175</v>
      </c>
      <c r="AJ8" s="3091" t="s">
        <v>1176</v>
      </c>
    </row>
    <row r="9" spans="1:36" ht="15">
      <c r="A9" s="3723"/>
      <c r="B9" s="1630" t="s">
        <v>1801</v>
      </c>
      <c r="C9" s="1656">
        <f>SUMIF(修正!C59:C119,C8,修正!E59:E119)</f>
        <v>0</v>
      </c>
      <c r="D9" s="531" t="s">
        <v>1137</v>
      </c>
      <c r="E9" s="531" t="e">
        <f>ROUND(C11/E7,4)</f>
        <v>#DIV/0!</v>
      </c>
      <c r="F9" s="1653" t="s">
        <v>1802</v>
      </c>
      <c r="G9" s="1654"/>
      <c r="H9" s="1654"/>
      <c r="I9" s="1654"/>
      <c r="J9" s="1655"/>
      <c r="K9" s="2381"/>
      <c r="L9" s="1885" t="s">
        <v>1538</v>
      </c>
      <c r="M9" s="2137">
        <f>SUMPRODUCT((区片价!B245:B289=I2)*(区片价!C3:F3=E2)*(区片价!C245:F289))</f>
        <v>0</v>
      </c>
      <c r="N9" s="2139">
        <f>SUMPRODUCT((因素修正幅度!B245:B289=I2)*(因素修正幅度!C3:F3=E2)*(因素修正幅度!C245:F289))</f>
        <v>0</v>
      </c>
      <c r="O9" s="2381"/>
      <c r="P9" s="2381"/>
      <c r="Q9" s="2381"/>
      <c r="R9" s="3079">
        <v>8</v>
      </c>
      <c r="S9" s="3080"/>
      <c r="T9" s="3079" t="e">
        <f t="shared" si="0"/>
        <v>#DIV/0!</v>
      </c>
      <c r="U9" s="3080"/>
      <c r="V9" s="3079" t="e">
        <f t="shared" si="1"/>
        <v>#DIV/0!</v>
      </c>
      <c r="W9" s="3734" t="s">
        <v>2898</v>
      </c>
      <c r="X9" s="3092" t="s">
        <v>1758</v>
      </c>
      <c r="Y9" s="3316"/>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723"/>
      <c r="B10" s="1630" t="s">
        <v>1803</v>
      </c>
      <c r="C10" s="531">
        <f>SUMIF(修正!C59:C119,C8,修正!F59:F119)</f>
        <v>0</v>
      </c>
      <c r="D10" s="531" t="s">
        <v>1138</v>
      </c>
      <c r="E10" s="531" t="e">
        <f>ROUND(C11/E7,4)</f>
        <v>#DIV/0!</v>
      </c>
      <c r="F10" s="1653" t="s">
        <v>1804</v>
      </c>
      <c r="G10" s="1654"/>
      <c r="H10" s="1654"/>
      <c r="I10" s="1654"/>
      <c r="J10" s="1655"/>
      <c r="K10" s="2381"/>
      <c r="L10" s="1885" t="s">
        <v>1542</v>
      </c>
      <c r="M10" s="2137">
        <f>SUMPRODUCT((区片价!B290:B316=I2)*(区片价!C3:F3=E2)*(区片价!C290:F316))</f>
        <v>0</v>
      </c>
      <c r="N10" s="2139">
        <f>SUMPRODUCT((因素修正幅度!B290:B316=I2)*(因素修正幅度!C3:F3=E2)*(因素修正幅度!C290:F316))</f>
        <v>0</v>
      </c>
      <c r="O10" s="2381"/>
      <c r="P10" s="2381"/>
      <c r="Q10" s="2381"/>
      <c r="R10" s="3079">
        <v>9</v>
      </c>
      <c r="S10" s="3080"/>
      <c r="T10" s="3079" t="e">
        <f t="shared" si="0"/>
        <v>#DIV/0!</v>
      </c>
      <c r="U10" s="3080"/>
      <c r="V10" s="3079" t="e">
        <f t="shared" si="1"/>
        <v>#DIV/0!</v>
      </c>
      <c r="W10" s="3734"/>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723"/>
      <c r="B11" s="1657" t="s">
        <v>1805</v>
      </c>
      <c r="C11" s="1658">
        <f>C10/4</f>
        <v>0</v>
      </c>
      <c r="D11" s="1658" t="s">
        <v>1139</v>
      </c>
      <c r="E11" s="1658" t="e">
        <f>ROUND(C11/E7,4)</f>
        <v>#DIV/0!</v>
      </c>
      <c r="F11" s="1659" t="s">
        <v>1806</v>
      </c>
      <c r="G11" s="1660"/>
      <c r="H11" s="1660"/>
      <c r="I11" s="1660"/>
      <c r="J11" s="1661"/>
      <c r="K11" s="2381"/>
      <c r="L11" s="1885" t="s">
        <v>1941</v>
      </c>
      <c r="M11" s="2137">
        <f>SUMPRODUCT((区片价!B317:B337=I2)*(区片价!C3:F3=E2)*(区片价!C317:F337))</f>
        <v>0</v>
      </c>
      <c r="N11" s="2139">
        <f>SUMPRODUCT((因素修正幅度!B317:B337=I2)*(因素修正幅度!C3:F3=E2)*(因素修正幅度!C317:F337))</f>
        <v>0</v>
      </c>
      <c r="O11" s="2381"/>
      <c r="P11" s="2381"/>
      <c r="Q11" s="2381"/>
      <c r="R11" s="3079">
        <v>10</v>
      </c>
      <c r="S11" s="3080"/>
      <c r="T11" s="3079" t="e">
        <f t="shared" si="0"/>
        <v>#DIV/0!</v>
      </c>
      <c r="U11" s="3080"/>
      <c r="V11" s="3079" t="e">
        <f t="shared" si="1"/>
        <v>#DIV/0!</v>
      </c>
      <c r="W11" s="3734" t="s">
        <v>2899</v>
      </c>
      <c r="X11" s="3095" t="s">
        <v>2896</v>
      </c>
      <c r="Y11" s="3096" t="e">
        <f>$G$3</f>
        <v>#DIV/0!</v>
      </c>
      <c r="Z11" s="3096" t="e">
        <f t="shared" ref="Z11:AJ11" si="3">$G$3</f>
        <v>#DIV/0!</v>
      </c>
      <c r="AA11" s="3096" t="e">
        <f t="shared" si="3"/>
        <v>#DIV/0!</v>
      </c>
      <c r="AB11" s="3096" t="e">
        <f t="shared" si="3"/>
        <v>#DIV/0!</v>
      </c>
      <c r="AC11" s="3096" t="e">
        <f t="shared" si="3"/>
        <v>#DIV/0!</v>
      </c>
      <c r="AD11" s="3096" t="e">
        <f t="shared" si="3"/>
        <v>#DIV/0!</v>
      </c>
      <c r="AE11" s="3096" t="e">
        <f t="shared" si="3"/>
        <v>#DIV/0!</v>
      </c>
      <c r="AF11" s="3096" t="e">
        <f t="shared" si="3"/>
        <v>#DIV/0!</v>
      </c>
      <c r="AG11" s="3096" t="e">
        <f t="shared" si="3"/>
        <v>#DIV/0!</v>
      </c>
      <c r="AH11" s="3096" t="e">
        <f t="shared" si="3"/>
        <v>#DIV/0!</v>
      </c>
      <c r="AI11" s="3096" t="e">
        <f t="shared" si="3"/>
        <v>#DIV/0!</v>
      </c>
      <c r="AJ11" s="3096" t="e">
        <f t="shared" si="3"/>
        <v>#DIV/0!</v>
      </c>
    </row>
    <row r="12" spans="1:36" ht="26.25" thickBot="1">
      <c r="A12" s="3722" t="s">
        <v>1939</v>
      </c>
      <c r="B12" s="1662" t="s">
        <v>1807</v>
      </c>
      <c r="C12" s="1646">
        <f>ROUND(C15*D15*E15*F15*G15*H15*I15*J15,4)</f>
        <v>1</v>
      </c>
      <c r="D12" s="1663" t="s">
        <v>1808</v>
      </c>
      <c r="E12" s="1664"/>
      <c r="F12" s="1664"/>
      <c r="G12" s="1665"/>
      <c r="H12" s="1665"/>
      <c r="I12" s="1665"/>
      <c r="J12" s="1666"/>
      <c r="K12" s="2381"/>
      <c r="L12" s="1886" t="s">
        <v>1942</v>
      </c>
      <c r="M12" s="2138">
        <f>SUMPRODUCT((区片价!B338:B344=I2)*(区片价!C3:F3=E2)*(区片价!C338:F344))</f>
        <v>0</v>
      </c>
      <c r="N12" s="2139">
        <f>SUMPRODUCT((因素修正幅度!B338:B344=I2)*(因素修正幅度!C3:F3=E2)*(因素修正幅度!C338:F344))</f>
        <v>0</v>
      </c>
      <c r="O12" s="2381"/>
      <c r="P12" s="2381"/>
      <c r="Q12" s="2381"/>
      <c r="R12" s="3079">
        <v>11</v>
      </c>
      <c r="S12" s="3080"/>
      <c r="T12" s="3079" t="e">
        <f t="shared" si="0"/>
        <v>#DIV/0!</v>
      </c>
      <c r="U12" s="3080"/>
      <c r="V12" s="3079" t="e">
        <f t="shared" si="1"/>
        <v>#DIV/0!</v>
      </c>
      <c r="W12" s="3734"/>
      <c r="X12" s="3097" t="s">
        <v>1761</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739"/>
      <c r="B13" s="1667" t="s">
        <v>1809</v>
      </c>
      <c r="C13" s="1668" t="s">
        <v>1810</v>
      </c>
      <c r="D13" s="1669" t="s">
        <v>1811</v>
      </c>
      <c r="E13" s="1669" t="s">
        <v>1812</v>
      </c>
      <c r="F13" s="81" t="s">
        <v>1140</v>
      </c>
      <c r="G13" s="1788" t="s">
        <v>1863</v>
      </c>
      <c r="H13" s="1788" t="s">
        <v>1863</v>
      </c>
      <c r="I13" s="1788" t="s">
        <v>1863</v>
      </c>
      <c r="J13" s="1789" t="s">
        <v>1863</v>
      </c>
      <c r="K13" s="2381"/>
      <c r="L13" s="2381"/>
      <c r="M13" s="2381"/>
      <c r="N13" s="2381"/>
      <c r="O13" s="2381"/>
      <c r="P13" s="2381"/>
      <c r="Q13" s="2381"/>
      <c r="R13" s="3079">
        <v>12</v>
      </c>
      <c r="S13" s="3080"/>
      <c r="T13" s="3079" t="e">
        <f t="shared" si="0"/>
        <v>#DIV/0!</v>
      </c>
      <c r="U13" s="3080"/>
      <c r="V13" s="3079" t="e">
        <f t="shared" si="1"/>
        <v>#DIV/0!</v>
      </c>
      <c r="W13" s="3734"/>
      <c r="X13" s="3097"/>
      <c r="Y13" s="3094" t="e">
        <f>(-0.163*(Y12^2)-0.59*Y12+7617)*(10^(-4))/Y11</f>
        <v>#DIV/0!</v>
      </c>
      <c r="Z13" s="3094" t="e">
        <f t="shared" ref="Z13:AJ13" si="5">(-0.163*(Z12^2)-0.59*Z12+7617)*(10^(-4))/Z11</f>
        <v>#DIV/0!</v>
      </c>
      <c r="AA13" s="3094" t="e">
        <f t="shared" si="5"/>
        <v>#DIV/0!</v>
      </c>
      <c r="AB13" s="3094" t="e">
        <f t="shared" si="5"/>
        <v>#DIV/0!</v>
      </c>
      <c r="AC13" s="3094" t="e">
        <f t="shared" si="5"/>
        <v>#DIV/0!</v>
      </c>
      <c r="AD13" s="3094" t="e">
        <f t="shared" si="5"/>
        <v>#DIV/0!</v>
      </c>
      <c r="AE13" s="3094" t="e">
        <f t="shared" si="5"/>
        <v>#DIV/0!</v>
      </c>
      <c r="AF13" s="3094" t="e">
        <f t="shared" si="5"/>
        <v>#DIV/0!</v>
      </c>
      <c r="AG13" s="3094" t="e">
        <f t="shared" si="5"/>
        <v>#DIV/0!</v>
      </c>
      <c r="AH13" s="3094" t="e">
        <f t="shared" si="5"/>
        <v>#DIV/0!</v>
      </c>
      <c r="AI13" s="3094" t="e">
        <f t="shared" si="5"/>
        <v>#DIV/0!</v>
      </c>
      <c r="AJ13" s="3094" t="e">
        <f t="shared" si="5"/>
        <v>#DIV/0!</v>
      </c>
    </row>
    <row r="14" spans="1:36" ht="15">
      <c r="A14" s="3739"/>
      <c r="B14" s="1670"/>
      <c r="C14" s="1790"/>
      <c r="D14" s="1486"/>
      <c r="E14" s="1486"/>
      <c r="F14" s="1791"/>
      <c r="G14" s="1671" t="s">
        <v>1840</v>
      </c>
      <c r="H14" s="1672"/>
      <c r="I14" s="1673"/>
      <c r="J14" s="1674"/>
      <c r="K14" s="2381"/>
      <c r="L14" s="2381"/>
      <c r="M14" s="2381"/>
      <c r="N14" s="2381"/>
      <c r="O14" s="2381"/>
      <c r="P14" s="2381"/>
      <c r="Q14" s="2381"/>
      <c r="R14" s="3079">
        <v>13</v>
      </c>
      <c r="S14" s="3080"/>
      <c r="T14" s="3079" t="e">
        <f t="shared" si="0"/>
        <v>#DIV/0!</v>
      </c>
      <c r="U14" s="3080"/>
      <c r="V14" s="3079" t="e">
        <f t="shared" si="1"/>
        <v>#DIV/0!</v>
      </c>
      <c r="W14" s="3075"/>
      <c r="X14" s="3075"/>
      <c r="Y14" s="3075"/>
      <c r="Z14" s="3075"/>
      <c r="AA14" s="3075"/>
      <c r="AB14" s="3075"/>
      <c r="AC14" s="3076"/>
      <c r="AD14" s="3077"/>
      <c r="AE14" s="3077"/>
      <c r="AF14" s="3077"/>
      <c r="AG14" s="3077"/>
      <c r="AH14" s="3077"/>
      <c r="AI14" s="3077"/>
      <c r="AJ14" s="3078"/>
    </row>
    <row r="15" spans="1:36" ht="15.75" thickBot="1">
      <c r="A15" s="3740"/>
      <c r="B15" s="1675" t="s">
        <v>1813</v>
      </c>
      <c r="C15" s="560">
        <f>IF(C14="有",1.1,1)</f>
        <v>1</v>
      </c>
      <c r="D15" s="560">
        <f>IF(D14="有",1.1,1)</f>
        <v>1</v>
      </c>
      <c r="E15" s="560">
        <f>IF(E14="有",1.1,1)</f>
        <v>1</v>
      </c>
      <c r="F15" s="560">
        <f>IF(F14="500米范围内",1.2,IF(F14="500-1000米",1.1,1))</f>
        <v>1</v>
      </c>
      <c r="G15" s="1792">
        <v>1</v>
      </c>
      <c r="H15" s="1792">
        <v>1</v>
      </c>
      <c r="I15" s="1792">
        <v>1</v>
      </c>
      <c r="J15" s="1793">
        <v>1</v>
      </c>
      <c r="K15" s="2381"/>
      <c r="L15" s="1706" t="s">
        <v>1829</v>
      </c>
      <c r="M15" s="1707" t="s">
        <v>1830</v>
      </c>
      <c r="N15" s="1707" t="s">
        <v>1831</v>
      </c>
      <c r="O15" s="1707" t="s">
        <v>977</v>
      </c>
      <c r="P15" s="1708" t="s">
        <v>1832</v>
      </c>
      <c r="Q15" s="2381"/>
      <c r="R15" s="3079">
        <v>14</v>
      </c>
      <c r="S15" s="3080"/>
      <c r="T15" s="3079" t="e">
        <f t="shared" si="0"/>
        <v>#DIV/0!</v>
      </c>
      <c r="U15" s="3080"/>
      <c r="V15" s="3079" t="e">
        <f t="shared" si="1"/>
        <v>#DIV/0!</v>
      </c>
      <c r="W15" s="3075"/>
      <c r="X15" s="3075"/>
      <c r="Y15" s="3075"/>
      <c r="Z15" s="3075"/>
      <c r="AA15" s="3075"/>
      <c r="AB15" s="3075"/>
      <c r="AC15" s="3076"/>
      <c r="AD15" s="3077"/>
      <c r="AE15" s="3077"/>
      <c r="AF15" s="3077"/>
      <c r="AG15" s="3077"/>
      <c r="AH15" s="3077"/>
      <c r="AI15" s="3077"/>
      <c r="AJ15" s="3078"/>
    </row>
    <row r="16" spans="1:36" ht="24">
      <c r="A16" s="3722" t="s">
        <v>1940</v>
      </c>
      <c r="B16" s="1645" t="s">
        <v>1814</v>
      </c>
      <c r="C16" s="1778" t="e">
        <f>ROUND(SUM(G17:J17)/C17,0)</f>
        <v>#DIV/0!</v>
      </c>
      <c r="D16" s="1676" t="s">
        <v>1815</v>
      </c>
      <c r="E16" s="1794"/>
      <c r="F16" s="1795"/>
      <c r="G16" s="1796"/>
      <c r="H16" s="1796"/>
      <c r="I16" s="1796"/>
      <c r="J16" s="1797"/>
      <c r="K16" s="2381"/>
      <c r="L16" s="1712" t="s">
        <v>1834</v>
      </c>
      <c r="M16" s="1656">
        <v>0.25</v>
      </c>
      <c r="N16" s="1656">
        <v>0.2</v>
      </c>
      <c r="O16" s="1656">
        <v>0.15</v>
      </c>
      <c r="P16" s="2730">
        <v>0.1</v>
      </c>
      <c r="Q16" s="2731"/>
      <c r="R16" s="3079">
        <v>15</v>
      </c>
      <c r="S16" s="3080"/>
      <c r="T16" s="3079" t="e">
        <f t="shared" si="0"/>
        <v>#DIV/0!</v>
      </c>
      <c r="U16" s="3080"/>
      <c r="V16" s="3079" t="e">
        <f t="shared" si="1"/>
        <v>#DIV/0!</v>
      </c>
      <c r="W16" s="3087"/>
      <c r="X16" s="3087"/>
      <c r="Y16" s="3087"/>
      <c r="Z16" s="3087"/>
      <c r="AA16" s="3087"/>
      <c r="AB16" s="3087"/>
      <c r="AC16" s="3088"/>
      <c r="AD16" s="3077"/>
      <c r="AE16" s="3077"/>
      <c r="AF16" s="3077"/>
      <c r="AG16" s="3077"/>
      <c r="AH16" s="3077"/>
      <c r="AI16" s="3077"/>
      <c r="AJ16" s="3078"/>
    </row>
    <row r="17" spans="1:37" ht="13.5" thickBot="1">
      <c r="A17" s="3723"/>
      <c r="B17" s="1677" t="s">
        <v>1816</v>
      </c>
      <c r="C17" s="1678">
        <f>SUMPRODUCT((修正!A2:A5=E2)*(修正!B1:M1=G2)*(修正!B2:M5))</f>
        <v>0</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1823</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3"/>
      <c r="AF17" s="1623"/>
      <c r="AG17" s="1626"/>
      <c r="AH17" s="1626"/>
      <c r="AI17" s="1626"/>
      <c r="AJ17" s="1626"/>
    </row>
    <row r="18" spans="1:37" s="1638" customFormat="1" ht="15.75" thickBot="1">
      <c r="A18" s="1879" t="s">
        <v>1932</v>
      </c>
      <c r="B18" s="1682" t="s">
        <v>1819</v>
      </c>
      <c r="C18" s="1683">
        <f>SUMIF(修正!C18:C39,E3,修正!E18:E39)</f>
        <v>0</v>
      </c>
      <c r="D18" s="1684"/>
      <c r="E18" s="1685"/>
      <c r="F18" s="1686"/>
      <c r="G18" s="1687"/>
      <c r="H18" s="1687"/>
      <c r="I18" s="1687"/>
      <c r="J18" s="1688"/>
      <c r="K18" s="2388"/>
      <c r="O18" s="2736"/>
      <c r="P18" s="2736"/>
      <c r="Q18" s="2737"/>
      <c r="R18" s="2737"/>
      <c r="S18" s="2737"/>
      <c r="T18" s="2732"/>
      <c r="U18" s="2732"/>
      <c r="V18" s="2732"/>
      <c r="W18" s="2731"/>
      <c r="X18" s="2731"/>
      <c r="Y18" s="2731"/>
      <c r="Z18" s="2738"/>
      <c r="AA18" s="2739"/>
      <c r="AB18" s="2739"/>
      <c r="AC18" s="2739"/>
      <c r="AD18" s="2739"/>
      <c r="AE18" s="1624"/>
      <c r="AF18" s="1624"/>
      <c r="AG18" s="1625"/>
      <c r="AH18" s="1625"/>
      <c r="AI18" s="1625"/>
    </row>
    <row r="19" spans="1:37" s="1638" customFormat="1" ht="27.75" thickBot="1">
      <c r="A19" s="1879" t="s">
        <v>1933</v>
      </c>
      <c r="B19" s="1682" t="s">
        <v>1820</v>
      </c>
      <c r="C19" s="1691" t="e">
        <f>ROUND(IF(H19="按公示增长率计算",SUMPRODUCT((地价!A3:A19=YEAR(G19)&amp;"-"&amp;ROUNDUP(MONTH(G19)/3,0))*(地价!X2:AB2=E2)*(地价!X3:AB19)),IF(H19="地价指数",M20/M19,(1+I19)^O19)),4)</f>
        <v>#DIV/0!</v>
      </c>
      <c r="D19" s="1692" t="s">
        <v>1141</v>
      </c>
      <c r="E19" s="1693">
        <v>41640</v>
      </c>
      <c r="F19" s="1692" t="s">
        <v>1142</v>
      </c>
      <c r="G19" s="1694">
        <f>'数据-取费表'!B2</f>
        <v>43003</v>
      </c>
      <c r="H19" s="3021" t="s">
        <v>2958</v>
      </c>
      <c r="I19" s="1695" t="str">
        <f>IF(H19="季度增幅（自定义）",SUMIF(N21:N24,E2,O21:O24),"")</f>
        <v/>
      </c>
      <c r="J19" s="1688"/>
      <c r="K19" s="2388"/>
      <c r="L19" s="3248" t="s">
        <v>2956</v>
      </c>
      <c r="M19" s="3250">
        <f>ROUND(SUMIF(地价!B2:F2,E2,地价!B19:F19),0)</f>
        <v>0</v>
      </c>
      <c r="N19" s="3246" t="s">
        <v>1865</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5"/>
      <c r="AI19" s="1637"/>
      <c r="AJ19" s="1637"/>
      <c r="AK19" s="1637"/>
    </row>
    <row r="20" spans="1:37" s="1638" customFormat="1" ht="27.75" thickBot="1">
      <c r="A20" s="1880" t="s">
        <v>1934</v>
      </c>
      <c r="B20" s="1751" t="s">
        <v>1821</v>
      </c>
      <c r="C20" s="1698" t="e">
        <f>ROUND(POWER(1+G20,J20-I20)*(POWER(1+G20,I20)-1)/(POWER(1+G20,J20)-1),4)</f>
        <v>#DIV/0!</v>
      </c>
      <c r="D20" s="1752" t="s">
        <v>1822</v>
      </c>
      <c r="E20" s="3304">
        <f ca="1">存贷款利率!D4/100</f>
        <v>4.3499999999999997E-2</v>
      </c>
      <c r="F20" s="1752" t="s">
        <v>1823</v>
      </c>
      <c r="G20" s="1753">
        <f>SUMIF(M15:P15,E2,M17:P17)</f>
        <v>0</v>
      </c>
      <c r="H20" s="1752" t="s">
        <v>1824</v>
      </c>
      <c r="I20" s="1754" t="e">
        <f>SUMIF('数据-取费表'!C6:C15,E2,'数据-取费表'!F6:F15)/COUNTIF('数据-取费表'!C6:C15,E2)</f>
        <v>#DIV/0!</v>
      </c>
      <c r="J20" s="1755">
        <f>IF(E2="住宅",70,IF(E2="商业",40,50))</f>
        <v>50</v>
      </c>
      <c r="K20" s="2388"/>
      <c r="L20" s="3249" t="s">
        <v>2957</v>
      </c>
      <c r="M20" s="3251">
        <f>ROUND(SUMPRODUCT((地价!A4:A19=YEAR(G19)&amp;"-"&amp;ROUNDUP(MONTH(G19)/3,0))*(地价!B2:F2=E2)*(地价!B4:F19)),0)</f>
        <v>0</v>
      </c>
      <c r="N20" s="3247" t="s">
        <v>2784</v>
      </c>
      <c r="O20" s="3022" t="s">
        <v>2785</v>
      </c>
      <c r="P20" s="3023" t="s">
        <v>2794</v>
      </c>
      <c r="R20" s="2737"/>
      <c r="S20" s="2737"/>
      <c r="T20" s="2732"/>
      <c r="U20" s="2732"/>
      <c r="V20" s="2732"/>
      <c r="W20" s="2731"/>
      <c r="X20" s="2731"/>
      <c r="Y20" s="2731"/>
      <c r="Z20" s="2738"/>
      <c r="AA20" s="2739"/>
      <c r="AB20" s="2739"/>
      <c r="AC20" s="2739"/>
      <c r="AD20" s="2739"/>
      <c r="AE20" s="1689"/>
      <c r="AF20" s="1689"/>
    </row>
    <row r="21" spans="1:37" s="1638" customFormat="1" ht="14.25">
      <c r="A21" s="1881" t="s">
        <v>1935</v>
      </c>
      <c r="B21" s="1798" t="s">
        <v>2495</v>
      </c>
      <c r="C21" s="1756" t="e">
        <f>IF(B21="容积率修正",IF(G3&lt;=10,D22,J22),C23)</f>
        <v>#DIV/0!</v>
      </c>
      <c r="D21" s="1757"/>
      <c r="E21" s="1757"/>
      <c r="F21" s="1757"/>
      <c r="G21" s="1757"/>
      <c r="H21" s="1757"/>
      <c r="I21" s="1757"/>
      <c r="J21" s="1758"/>
      <c r="K21" s="2388"/>
      <c r="N21" s="3024" t="s">
        <v>2786</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9"/>
      <c r="AF21" s="1689"/>
    </row>
    <row r="22" spans="1:37" s="1638" customFormat="1" ht="14.25">
      <c r="A22" s="190" t="s">
        <v>1938</v>
      </c>
      <c r="B22" s="1700" t="s">
        <v>1825</v>
      </c>
      <c r="C22" s="1779" t="s">
        <v>1838</v>
      </c>
      <c r="D22" s="1779" t="e">
        <f>IF(E22=G22,F22,IF(G3&lt;=10,ROUND(F22+(H22-F22)*(G3-E22)/(G22-E22),4),"——"))</f>
        <v>#DIV/0!</v>
      </c>
      <c r="E22" s="1629" t="e">
        <f>ROUNDDOWN(G3,1)</f>
        <v>#DIV/0!</v>
      </c>
      <c r="F22" s="177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9" t="e">
        <f>ROUNDUP(G3,1)</f>
        <v>#DIV/0!</v>
      </c>
      <c r="H22" s="177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9" t="s">
        <v>1155</v>
      </c>
      <c r="J22" s="1759" t="e">
        <f>IF(G3&gt;10,D113,"——")</f>
        <v>#DIV/0!</v>
      </c>
      <c r="K22" s="2388"/>
      <c r="N22" s="3024" t="s">
        <v>2787</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9"/>
      <c r="AF22" s="1689"/>
    </row>
    <row r="23" spans="1:37" ht="27.75" thickBot="1">
      <c r="A23" s="190" t="s">
        <v>1939</v>
      </c>
      <c r="B23" s="1871" t="s">
        <v>1826</v>
      </c>
      <c r="C23" s="1872" t="e">
        <f>ROUND(IF(G3&gt;1,IF(I3&lt;7,SUMPRODUCT((B93:B98=I3)*(C92:N92=G2)*(C93:N98)),SUMIF(C92:N92,G2,C100:N100)),IF(I3&lt;7,SUMPRODUCT((B102:B107=I3)*(C92:N92=G2)*(C102:N107)),SUMIF(C92:N92,G2,C109:N109))),4)</f>
        <v>#DIV/0!</v>
      </c>
      <c r="D23" s="1672"/>
      <c r="E23" s="1672"/>
      <c r="F23" s="1701"/>
      <c r="G23" s="1702"/>
      <c r="H23" s="1873"/>
      <c r="I23" s="1874"/>
      <c r="J23" s="1875"/>
      <c r="K23" s="2381"/>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5"/>
    </row>
    <row r="24" spans="1:37" s="1638" customFormat="1" ht="15.75" thickBot="1">
      <c r="A24" s="1880" t="s">
        <v>1936</v>
      </c>
      <c r="B24" s="1682" t="s">
        <v>1827</v>
      </c>
      <c r="C24" s="1691">
        <f>SUMIF(A45:A88,E2,B45:B88)</f>
        <v>0</v>
      </c>
      <c r="D24" s="1686"/>
      <c r="E24" s="1876"/>
      <c r="F24" s="1876"/>
      <c r="G24" s="1876"/>
      <c r="H24" s="1876"/>
      <c r="I24" s="1876"/>
      <c r="J24" s="1877"/>
      <c r="K24" s="2388"/>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9"/>
      <c r="AF24" s="1689"/>
    </row>
    <row r="25" spans="1:37" ht="15" thickBot="1">
      <c r="A25" s="1880" t="s">
        <v>1937</v>
      </c>
      <c r="B25" s="1703" t="s">
        <v>1828</v>
      </c>
      <c r="C25" s="1704"/>
      <c r="D25" s="1649"/>
      <c r="E25" s="1649"/>
      <c r="F25" s="1705"/>
      <c r="G25" s="1649"/>
      <c r="H25" s="1649"/>
      <c r="I25" s="1649"/>
      <c r="J25" s="1650"/>
      <c r="K25" s="2381"/>
      <c r="N25" s="3031" t="s">
        <v>2788</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3"/>
      <c r="B26" s="1700" t="s">
        <v>1859</v>
      </c>
      <c r="C26" s="537" t="e">
        <f>E29+SUM(E33:E39)</f>
        <v>#DIV/0!</v>
      </c>
      <c r="D26" s="1709"/>
      <c r="E26" s="1672"/>
      <c r="F26" s="1710"/>
      <c r="G26" s="1672"/>
      <c r="H26" s="1672"/>
      <c r="I26" s="1672"/>
      <c r="J26" s="1711"/>
      <c r="K26" s="2381"/>
      <c r="R26" s="2737"/>
      <c r="S26" s="2737"/>
      <c r="T26" s="2732"/>
      <c r="U26" s="2732"/>
      <c r="V26" s="2732"/>
      <c r="W26" s="2731"/>
      <c r="X26" s="2731"/>
      <c r="Y26" s="2731"/>
      <c r="Z26" s="2738"/>
      <c r="AA26" s="2739"/>
      <c r="AB26" s="2739"/>
      <c r="AC26" s="2739"/>
      <c r="AD26" s="2739"/>
    </row>
    <row r="27" spans="1:37" ht="15" thickBot="1">
      <c r="A27" s="1883"/>
      <c r="B27" s="1713" t="s">
        <v>1860</v>
      </c>
      <c r="C27" s="1714" t="e">
        <f>E30+SUM(I33:I39)</f>
        <v>#DIV/0!</v>
      </c>
      <c r="D27" s="1715"/>
      <c r="E27" s="1716"/>
      <c r="F27" s="1717"/>
      <c r="G27" s="1716"/>
      <c r="H27" s="1716"/>
      <c r="I27" s="1716"/>
      <c r="J27" s="1718"/>
      <c r="K27" s="2381"/>
      <c r="L27" s="2381"/>
      <c r="M27" s="2381"/>
      <c r="N27" s="2381"/>
      <c r="O27" s="2736"/>
      <c r="P27" s="2736"/>
      <c r="Q27" s="2737"/>
      <c r="R27" s="2737"/>
      <c r="S27" s="2737"/>
      <c r="T27" s="2732"/>
      <c r="U27" s="2732"/>
      <c r="V27" s="2732"/>
      <c r="W27" s="2731"/>
      <c r="X27" s="2731"/>
      <c r="Y27" s="2731"/>
      <c r="Z27" s="2738"/>
      <c r="AA27" s="2739"/>
      <c r="AB27" s="2739"/>
      <c r="AC27" s="2739"/>
      <c r="AD27" s="2739"/>
    </row>
    <row r="28" spans="1:37" ht="14.25">
      <c r="A28" s="1870"/>
      <c r="B28" s="1720" t="s">
        <v>1858</v>
      </c>
      <c r="C28" s="1721" t="s">
        <v>1833</v>
      </c>
      <c r="D28" s="1721" t="s">
        <v>1849</v>
      </c>
      <c r="E28" s="1722" t="s">
        <v>1850</v>
      </c>
      <c r="F28" s="1723"/>
      <c r="G28" s="1665"/>
      <c r="H28" s="1665"/>
      <c r="I28" s="1665"/>
      <c r="J28" s="1666"/>
      <c r="K28" s="2381"/>
      <c r="L28" s="2381"/>
      <c r="M28" s="2381"/>
      <c r="N28" s="2381"/>
      <c r="O28" s="2736"/>
      <c r="P28" s="2736"/>
      <c r="Q28" s="2737"/>
      <c r="R28" s="2737"/>
      <c r="S28" s="2737"/>
      <c r="T28" s="2732"/>
      <c r="U28" s="2732"/>
      <c r="V28" s="2732"/>
      <c r="W28" s="2731"/>
      <c r="X28" s="2731"/>
      <c r="Y28" s="2731"/>
      <c r="Z28" s="2738"/>
      <c r="AA28" s="2739"/>
      <c r="AB28" s="2739"/>
      <c r="AC28" s="2739"/>
      <c r="AD28" s="2739"/>
    </row>
    <row r="29" spans="1:37" ht="24">
      <c r="A29" s="1780"/>
      <c r="B29" s="1724" t="s">
        <v>1853</v>
      </c>
      <c r="C29" s="537" t="e">
        <f>ROUND(C5*C18*C19*C20*C21*C24,0)</f>
        <v>#DIV/0!</v>
      </c>
      <c r="D29" s="1747"/>
      <c r="E29" s="1781" t="e">
        <f>ROUND(C29*D29/10000,0)</f>
        <v>#DIV/0!</v>
      </c>
      <c r="F29" s="1725" t="s">
        <v>1835</v>
      </c>
      <c r="G29" s="1726"/>
      <c r="H29" s="1726"/>
      <c r="I29" s="1726"/>
      <c r="J29" s="1727"/>
      <c r="K29" s="2381"/>
      <c r="L29" s="2381"/>
      <c r="M29" s="2381"/>
      <c r="N29" s="2381"/>
      <c r="O29" s="2736"/>
      <c r="P29" s="2736"/>
      <c r="Q29" s="2737"/>
      <c r="R29" s="2737"/>
      <c r="S29" s="2737"/>
      <c r="T29" s="2732"/>
      <c r="U29" s="2732"/>
      <c r="V29" s="2732"/>
      <c r="W29" s="2731"/>
      <c r="X29" s="2731"/>
      <c r="Y29" s="2731"/>
      <c r="Z29" s="2738"/>
      <c r="AA29" s="2739"/>
      <c r="AB29" s="2739"/>
      <c r="AC29" s="2739"/>
      <c r="AD29" s="2739"/>
      <c r="AE29" s="1623"/>
      <c r="AF29" s="1623"/>
      <c r="AG29" s="1626"/>
      <c r="AH29" s="1626"/>
      <c r="AI29" s="1626"/>
      <c r="AJ29" s="1626"/>
    </row>
    <row r="30" spans="1:37" ht="24.75" thickBot="1">
      <c r="A30" s="1728"/>
      <c r="B30" s="1729" t="s">
        <v>1854</v>
      </c>
      <c r="C30" s="560" t="e">
        <f>ROUND(IF(E2="工业",C29*M39,C29*M38),0)</f>
        <v>#DIV/0!</v>
      </c>
      <c r="D30" s="1748"/>
      <c r="E30" s="1781" t="e">
        <f>ROUND(C30*D30/10000,0)</f>
        <v>#DIV/0!</v>
      </c>
      <c r="F30" s="1730" t="s">
        <v>1851</v>
      </c>
      <c r="G30" s="1731"/>
      <c r="H30" s="1731"/>
      <c r="I30" s="1731"/>
      <c r="J30" s="1732"/>
      <c r="K30" s="2381"/>
      <c r="L30" s="2381"/>
      <c r="M30" s="2381"/>
      <c r="N30" s="2381"/>
      <c r="O30" s="2736"/>
      <c r="P30" s="2736"/>
      <c r="Q30" s="2737"/>
      <c r="R30" s="2737"/>
      <c r="S30" s="2737"/>
      <c r="T30" s="2732"/>
      <c r="U30" s="2732"/>
      <c r="V30" s="2732"/>
      <c r="W30" s="2731"/>
      <c r="X30" s="2731"/>
      <c r="Y30" s="2731"/>
      <c r="Z30" s="2738"/>
      <c r="AA30" s="2739"/>
      <c r="AB30" s="2739"/>
      <c r="AC30" s="2739"/>
      <c r="AD30" s="2739"/>
      <c r="AE30" s="1623"/>
      <c r="AF30" s="1623"/>
      <c r="AG30" s="1626"/>
      <c r="AH30" s="1626"/>
      <c r="AI30" s="1626"/>
      <c r="AJ30" s="1626"/>
    </row>
    <row r="31" spans="1:37" ht="14.25">
      <c r="A31" s="1733"/>
      <c r="B31" s="1734" t="s">
        <v>1855</v>
      </c>
      <c r="C31" s="1735" t="s">
        <v>1856</v>
      </c>
      <c r="D31" s="1665"/>
      <c r="E31" s="1735"/>
      <c r="F31" s="1735"/>
      <c r="G31" s="1663" t="s">
        <v>1857</v>
      </c>
      <c r="H31" s="1665"/>
      <c r="I31" s="1736"/>
      <c r="J31" s="1666"/>
      <c r="K31" s="2381"/>
      <c r="L31" s="2381"/>
      <c r="M31" s="2381"/>
      <c r="N31" s="2381"/>
      <c r="O31" s="2736"/>
      <c r="P31" s="2736"/>
      <c r="Q31" s="2737"/>
      <c r="R31" s="2737"/>
      <c r="S31" s="2737"/>
      <c r="T31" s="2732"/>
      <c r="U31" s="2732"/>
      <c r="V31" s="2732"/>
      <c r="W31" s="2731"/>
      <c r="X31" s="2731"/>
      <c r="Y31" s="2731"/>
      <c r="Z31" s="2738"/>
      <c r="AA31" s="2739"/>
      <c r="AB31" s="2739"/>
      <c r="AC31" s="2739"/>
      <c r="AD31" s="2739"/>
      <c r="AE31" s="1623"/>
      <c r="AF31" s="1623"/>
      <c r="AG31" s="1626"/>
      <c r="AH31" s="1626"/>
      <c r="AI31" s="1626"/>
      <c r="AJ31" s="1626"/>
    </row>
    <row r="32" spans="1:37" ht="24">
      <c r="A32" s="1780"/>
      <c r="B32" s="1737"/>
      <c r="C32" s="171" t="s">
        <v>1833</v>
      </c>
      <c r="D32" s="168" t="s">
        <v>1849</v>
      </c>
      <c r="E32" s="168" t="s">
        <v>1850</v>
      </c>
      <c r="F32" s="1738" t="s">
        <v>1837</v>
      </c>
      <c r="G32" s="1699" t="s">
        <v>1833</v>
      </c>
      <c r="H32" s="1699" t="s">
        <v>1849</v>
      </c>
      <c r="I32" s="1699" t="s">
        <v>1850</v>
      </c>
      <c r="J32" s="1739"/>
      <c r="K32" s="2381"/>
      <c r="L32" s="2381"/>
      <c r="M32" s="2381"/>
      <c r="N32" s="2381"/>
      <c r="O32" s="2736"/>
      <c r="P32" s="2736"/>
      <c r="Q32" s="2737"/>
      <c r="R32" s="2737"/>
      <c r="S32" s="2737"/>
      <c r="T32" s="2732"/>
      <c r="U32" s="2732"/>
      <c r="V32" s="2732"/>
      <c r="W32" s="2731"/>
      <c r="X32" s="2731"/>
      <c r="Y32" s="2731"/>
      <c r="Z32" s="2738"/>
      <c r="AA32" s="2739"/>
      <c r="AB32" s="2739"/>
      <c r="AC32" s="2739"/>
      <c r="AD32" s="2739"/>
      <c r="AE32" s="1623"/>
      <c r="AF32" s="1623"/>
      <c r="AG32" s="1626"/>
      <c r="AH32" s="1626"/>
      <c r="AI32" s="1626"/>
      <c r="AJ32" s="1626"/>
    </row>
    <row r="33" spans="1:37" ht="14.25">
      <c r="A33" s="1740"/>
      <c r="B33" s="1741" t="s">
        <v>1157</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36"/>
      <c r="P33" s="2736"/>
      <c r="Q33" s="2737"/>
      <c r="R33" s="2737"/>
      <c r="S33" s="2737"/>
      <c r="T33" s="2732"/>
      <c r="U33" s="2732"/>
      <c r="V33" s="2732"/>
      <c r="W33" s="2731"/>
      <c r="X33" s="2731"/>
      <c r="Y33" s="2731"/>
      <c r="Z33" s="2738"/>
      <c r="AA33" s="2739"/>
      <c r="AB33" s="2739"/>
      <c r="AC33" s="2739"/>
      <c r="AD33" s="2739"/>
    </row>
    <row r="34" spans="1:37" ht="14.25">
      <c r="A34" s="1740"/>
      <c r="B34" s="1668" t="s">
        <v>1158</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36"/>
      <c r="P34" s="2736"/>
      <c r="Q34" s="2737"/>
      <c r="R34" s="2737"/>
      <c r="S34" s="2737"/>
      <c r="T34" s="2732"/>
      <c r="U34" s="2732"/>
      <c r="V34" s="2732"/>
      <c r="W34" s="2731"/>
      <c r="X34" s="2731"/>
      <c r="Y34" s="2731"/>
      <c r="Z34" s="2738"/>
      <c r="AA34" s="2739"/>
      <c r="AB34" s="2739"/>
      <c r="AC34" s="2739"/>
      <c r="AD34" s="2739"/>
    </row>
    <row r="35" spans="1:37" ht="12.75">
      <c r="A35" s="1740"/>
      <c r="B35" s="1668" t="s">
        <v>1159</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1740"/>
      <c r="B36" s="1668" t="s">
        <v>1160</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1161</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1852</v>
      </c>
      <c r="M37" s="2390"/>
      <c r="N37" s="2381"/>
      <c r="O37" s="2381"/>
      <c r="P37" s="2381"/>
      <c r="Q37" s="2381"/>
      <c r="R37" s="2381"/>
      <c r="S37" s="2381"/>
      <c r="T37" s="2381"/>
      <c r="U37" s="2381"/>
      <c r="V37" s="2381"/>
      <c r="W37" s="2381"/>
      <c r="X37" s="2381"/>
      <c r="Y37" s="2381"/>
      <c r="Z37" s="2382"/>
    </row>
    <row r="38" spans="1:37" ht="12.75">
      <c r="A38" s="1740"/>
      <c r="B38" s="1668" t="s">
        <v>1162</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1836</v>
      </c>
      <c r="M38" s="1763">
        <v>0.25</v>
      </c>
      <c r="N38" s="2381"/>
      <c r="O38" s="2381"/>
      <c r="P38" s="2381"/>
      <c r="Q38" s="2381"/>
      <c r="R38" s="2381"/>
      <c r="S38" s="2381"/>
      <c r="T38" s="2381"/>
      <c r="U38" s="2381"/>
      <c r="V38" s="2381"/>
      <c r="W38" s="2381"/>
      <c r="X38" s="2381"/>
      <c r="Y38" s="2381"/>
      <c r="Z38" s="2382"/>
    </row>
    <row r="39" spans="1:37" ht="13.5" thickBot="1">
      <c r="A39" s="1728"/>
      <c r="B39" s="1743" t="s">
        <v>1163</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1832</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1772</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1773</v>
      </c>
      <c r="B47" s="1497" t="s">
        <v>1774</v>
      </c>
      <c r="C47" s="1498" t="s">
        <v>1775</v>
      </c>
      <c r="D47" s="1499" t="s">
        <v>1846</v>
      </c>
      <c r="E47" s="1500" t="s">
        <v>1848</v>
      </c>
      <c r="F47" s="2602" t="s">
        <v>2493</v>
      </c>
      <c r="G47" s="1499" t="s">
        <v>1844</v>
      </c>
      <c r="H47" s="2603" t="s">
        <v>2494</v>
      </c>
      <c r="I47" s="1499" t="s">
        <v>1847</v>
      </c>
      <c r="J47" s="945" t="s">
        <v>422</v>
      </c>
      <c r="K47" s="945" t="s">
        <v>423</v>
      </c>
      <c r="L47" s="945" t="s">
        <v>424</v>
      </c>
      <c r="M47" s="945" t="s">
        <v>425</v>
      </c>
      <c r="N47" s="945" t="s">
        <v>426</v>
      </c>
      <c r="AA47" s="2382"/>
      <c r="AB47" s="2382"/>
      <c r="AC47" s="2382"/>
      <c r="AD47" s="2382"/>
      <c r="AE47" s="2382"/>
      <c r="AF47" s="2382"/>
      <c r="AG47" s="2382"/>
      <c r="AH47" s="2382"/>
      <c r="AI47" s="2382"/>
      <c r="AJ47" s="2382"/>
      <c r="AK47" s="2382"/>
    </row>
    <row r="48" spans="1:37" s="2381" customFormat="1" ht="36">
      <c r="A48" s="1496" t="s">
        <v>1776</v>
      </c>
      <c r="B48" s="1501" t="str">
        <f>估价对象房地状况!C4</f>
        <v>估价对象位于开发区，周边商业氛围一般，人流量一般，商业繁华度一般</v>
      </c>
      <c r="C48" s="1486"/>
      <c r="D48" s="2601">
        <f t="shared" ref="D48:D56" si="10">SUMIF($J$47:$N$47,C48,J48:N48)</f>
        <v>0</v>
      </c>
      <c r="E48" s="1503">
        <f>ROUND(SUM(D48:D56),4)</f>
        <v>0</v>
      </c>
      <c r="F48" s="1504" t="str">
        <f>IF(E2="商业",SUMIF(L1:L12,G2,N1:N12),"——")</f>
        <v>——</v>
      </c>
      <c r="G48" s="2599"/>
      <c r="H48" s="2617" t="str">
        <f t="shared" ref="H48:H56" si="11">IFERROR(ROUNDDOWN($F$48*I48/2,4),"——")</f>
        <v>——</v>
      </c>
      <c r="I48" s="1502">
        <v>0.33</v>
      </c>
      <c r="J48" s="2600">
        <f t="shared" ref="J48:J56" si="12">K48+$G48</f>
        <v>0</v>
      </c>
      <c r="K48" s="2600">
        <f t="shared" ref="K48:K56" si="13">$L48+$G48</f>
        <v>0</v>
      </c>
      <c r="L48" s="2600">
        <v>0</v>
      </c>
      <c r="M48" s="2600">
        <f t="shared" ref="M48:N56" si="14">L48-$G48</f>
        <v>0</v>
      </c>
      <c r="N48" s="2600">
        <f t="shared" si="14"/>
        <v>0</v>
      </c>
      <c r="AA48" s="2382"/>
      <c r="AB48" s="2382"/>
      <c r="AC48" s="2382"/>
      <c r="AD48" s="2382"/>
      <c r="AE48" s="2382"/>
      <c r="AF48" s="2382"/>
      <c r="AG48" s="2382"/>
      <c r="AH48" s="2382"/>
      <c r="AI48" s="2382"/>
      <c r="AJ48" s="2382"/>
      <c r="AK48" s="2382"/>
    </row>
    <row r="49" spans="1:37" s="2381" customFormat="1" ht="48">
      <c r="A49" s="1496" t="s">
        <v>89</v>
      </c>
      <c r="B49" s="1505" t="str">
        <f>估价对象房地状况!C18</f>
        <v>估价对象周边道路状况、公共交通通达情况、停车便捷程度，综合评价交通便捷度较好</v>
      </c>
      <c r="C49" s="1486"/>
      <c r="D49" s="2601">
        <f t="shared" si="10"/>
        <v>0</v>
      </c>
      <c r="E49" s="1506"/>
      <c r="F49" s="1504"/>
      <c r="G49" s="2599"/>
      <c r="H49" s="2617" t="str">
        <f t="shared" si="11"/>
        <v>——</v>
      </c>
      <c r="I49" s="1502">
        <v>0.25</v>
      </c>
      <c r="J49" s="2600">
        <f t="shared" si="12"/>
        <v>0</v>
      </c>
      <c r="K49" s="2600">
        <f t="shared" si="13"/>
        <v>0</v>
      </c>
      <c r="L49" s="2600">
        <v>0</v>
      </c>
      <c r="M49" s="2600">
        <f t="shared" si="14"/>
        <v>0</v>
      </c>
      <c r="N49" s="2600">
        <f t="shared" si="14"/>
        <v>0</v>
      </c>
      <c r="AA49" s="2382"/>
      <c r="AB49" s="2382"/>
      <c r="AC49" s="2382"/>
      <c r="AD49" s="2382"/>
      <c r="AE49" s="2382"/>
      <c r="AF49" s="2382"/>
      <c r="AG49" s="2382"/>
      <c r="AH49" s="2382"/>
      <c r="AI49" s="2382"/>
      <c r="AJ49" s="2382"/>
      <c r="AK49" s="2382"/>
    </row>
    <row r="50" spans="1:37" s="2381" customFormat="1" ht="24">
      <c r="A50" s="1496" t="s">
        <v>106</v>
      </c>
      <c r="B50" s="1505">
        <f>估价对象房地状况!C19</f>
        <v>0</v>
      </c>
      <c r="C50" s="1486"/>
      <c r="D50" s="2601">
        <f t="shared" si="10"/>
        <v>0</v>
      </c>
      <c r="E50" s="1506"/>
      <c r="F50" s="1504"/>
      <c r="G50" s="2599"/>
      <c r="H50" s="2617" t="str">
        <f t="shared" si="11"/>
        <v>——</v>
      </c>
      <c r="I50" s="1502">
        <v>0.05</v>
      </c>
      <c r="J50" s="2600">
        <f t="shared" si="12"/>
        <v>0</v>
      </c>
      <c r="K50" s="2600">
        <f t="shared" si="13"/>
        <v>0</v>
      </c>
      <c r="L50" s="2600">
        <v>0</v>
      </c>
      <c r="M50" s="2600">
        <f t="shared" si="14"/>
        <v>0</v>
      </c>
      <c r="N50" s="2600">
        <f t="shared" si="14"/>
        <v>0</v>
      </c>
      <c r="AA50" s="2382"/>
      <c r="AB50" s="2382"/>
      <c r="AC50" s="2382"/>
      <c r="AD50" s="2382"/>
      <c r="AE50" s="2382"/>
      <c r="AF50" s="2382"/>
      <c r="AG50" s="2382"/>
      <c r="AH50" s="2382"/>
      <c r="AI50" s="2382"/>
      <c r="AJ50" s="2382"/>
      <c r="AK50" s="2382"/>
    </row>
    <row r="51" spans="1:37" s="2381" customFormat="1" ht="36">
      <c r="A51" s="1496" t="s">
        <v>1777</v>
      </c>
      <c r="B51" s="3307" t="s">
        <v>3026</v>
      </c>
      <c r="C51" s="1486"/>
      <c r="D51" s="2601">
        <f t="shared" si="10"/>
        <v>0</v>
      </c>
      <c r="E51" s="1506"/>
      <c r="F51" s="1504"/>
      <c r="G51" s="2599"/>
      <c r="H51" s="2617" t="str">
        <f t="shared" si="11"/>
        <v>——</v>
      </c>
      <c r="I51" s="1502">
        <v>0.05</v>
      </c>
      <c r="J51" s="2600">
        <f t="shared" si="12"/>
        <v>0</v>
      </c>
      <c r="K51" s="2600">
        <f t="shared" si="13"/>
        <v>0</v>
      </c>
      <c r="L51" s="2600">
        <v>0</v>
      </c>
      <c r="M51" s="2600">
        <f t="shared" si="14"/>
        <v>0</v>
      </c>
      <c r="N51" s="2600">
        <f t="shared" si="14"/>
        <v>0</v>
      </c>
      <c r="AA51" s="2382"/>
      <c r="AB51" s="2382"/>
      <c r="AC51" s="2382"/>
      <c r="AD51" s="2382"/>
      <c r="AE51" s="2382"/>
      <c r="AF51" s="2382"/>
      <c r="AG51" s="2382"/>
      <c r="AH51" s="2382"/>
      <c r="AI51" s="2382"/>
      <c r="AJ51" s="2382"/>
      <c r="AK51" s="2382"/>
    </row>
    <row r="52" spans="1:37" s="2381" customFormat="1" ht="24">
      <c r="A52" s="1496" t="s">
        <v>1778</v>
      </c>
      <c r="B52" s="1505">
        <f>估价对象房地状况!C24</f>
        <v>0</v>
      </c>
      <c r="C52" s="1486"/>
      <c r="D52" s="2601">
        <f t="shared" si="10"/>
        <v>0</v>
      </c>
      <c r="E52" s="1506"/>
      <c r="F52" s="1504"/>
      <c r="G52" s="2599"/>
      <c r="H52" s="2617" t="str">
        <f t="shared" si="11"/>
        <v>——</v>
      </c>
      <c r="I52" s="1502">
        <v>0.08</v>
      </c>
      <c r="J52" s="2600">
        <f t="shared" si="12"/>
        <v>0</v>
      </c>
      <c r="K52" s="2600">
        <f t="shared" si="13"/>
        <v>0</v>
      </c>
      <c r="L52" s="2600">
        <v>0</v>
      </c>
      <c r="M52" s="2600">
        <f t="shared" si="14"/>
        <v>0</v>
      </c>
      <c r="N52" s="2600">
        <f t="shared" si="14"/>
        <v>0</v>
      </c>
      <c r="AA52" s="2382"/>
      <c r="AB52" s="2382"/>
      <c r="AC52" s="2382"/>
      <c r="AD52" s="2382"/>
      <c r="AE52" s="2382"/>
      <c r="AF52" s="2382"/>
      <c r="AG52" s="2382"/>
      <c r="AH52" s="2382"/>
      <c r="AI52" s="2382"/>
      <c r="AJ52" s="2382"/>
      <c r="AK52" s="2382"/>
    </row>
    <row r="53" spans="1:37" s="2381" customFormat="1" ht="24">
      <c r="A53" s="1496" t="s">
        <v>1779</v>
      </c>
      <c r="B53" s="3306" t="s">
        <v>3025</v>
      </c>
      <c r="C53" s="1486"/>
      <c r="D53" s="2601">
        <f t="shared" si="10"/>
        <v>0</v>
      </c>
      <c r="E53" s="1506"/>
      <c r="F53" s="1504"/>
      <c r="G53" s="2599"/>
      <c r="H53" s="2617" t="str">
        <f t="shared" si="11"/>
        <v>——</v>
      </c>
      <c r="I53" s="1502">
        <v>0.03</v>
      </c>
      <c r="J53" s="2600">
        <f t="shared" si="12"/>
        <v>0</v>
      </c>
      <c r="K53" s="2600">
        <f t="shared" si="13"/>
        <v>0</v>
      </c>
      <c r="L53" s="2600">
        <v>0</v>
      </c>
      <c r="M53" s="2600">
        <f t="shared" si="14"/>
        <v>0</v>
      </c>
      <c r="N53" s="2600">
        <f t="shared" si="14"/>
        <v>0</v>
      </c>
      <c r="AA53" s="2382"/>
      <c r="AB53" s="2382"/>
      <c r="AC53" s="2382"/>
      <c r="AD53" s="2382"/>
      <c r="AE53" s="2382"/>
      <c r="AF53" s="2382"/>
      <c r="AG53" s="2382"/>
      <c r="AH53" s="2382"/>
      <c r="AI53" s="2382"/>
      <c r="AJ53" s="2382"/>
      <c r="AK53" s="2382"/>
    </row>
    <row r="54" spans="1:37" s="2381" customFormat="1" ht="24">
      <c r="A54" s="1507" t="s">
        <v>1780</v>
      </c>
      <c r="B54" s="2597" t="str">
        <f>估价对象房地状况!C21</f>
        <v>估价对象所在区域公共配套设施齐备情况</v>
      </c>
      <c r="C54" s="1486"/>
      <c r="D54" s="2601">
        <f t="shared" si="10"/>
        <v>0</v>
      </c>
      <c r="E54" s="1506"/>
      <c r="F54" s="1504"/>
      <c r="G54" s="2599"/>
      <c r="H54" s="2617" t="str">
        <f t="shared" si="11"/>
        <v>——</v>
      </c>
      <c r="I54" s="1502">
        <v>0.05</v>
      </c>
      <c r="J54" s="2600">
        <f t="shared" si="12"/>
        <v>0</v>
      </c>
      <c r="K54" s="2600">
        <f t="shared" si="13"/>
        <v>0</v>
      </c>
      <c r="L54" s="2600">
        <v>0</v>
      </c>
      <c r="M54" s="2600">
        <f t="shared" si="14"/>
        <v>0</v>
      </c>
      <c r="N54" s="2600">
        <f t="shared" si="14"/>
        <v>0</v>
      </c>
      <c r="AA54" s="2382"/>
      <c r="AB54" s="2382"/>
      <c r="AC54" s="2382"/>
      <c r="AD54" s="2382"/>
      <c r="AE54" s="2382"/>
      <c r="AF54" s="2382"/>
      <c r="AG54" s="2382"/>
      <c r="AH54" s="2382"/>
      <c r="AI54" s="2382"/>
      <c r="AJ54" s="2382"/>
      <c r="AK54" s="2382"/>
    </row>
    <row r="55" spans="1:37" s="2381" customFormat="1" ht="24">
      <c r="A55" s="1507" t="s">
        <v>1781</v>
      </c>
      <c r="B55" s="1505" t="str">
        <f>估价对象房地状况!C22</f>
        <v>估价对象所在区域基础设施水平</v>
      </c>
      <c r="C55" s="1486"/>
      <c r="D55" s="2601">
        <f t="shared" si="10"/>
        <v>0</v>
      </c>
      <c r="E55" s="1506"/>
      <c r="F55" s="1504"/>
      <c r="G55" s="2599"/>
      <c r="H55" s="2617" t="str">
        <f t="shared" si="11"/>
        <v>——</v>
      </c>
      <c r="I55" s="1502">
        <v>0.1</v>
      </c>
      <c r="J55" s="2600">
        <f t="shared" si="12"/>
        <v>0</v>
      </c>
      <c r="K55" s="2600">
        <f t="shared" si="13"/>
        <v>0</v>
      </c>
      <c r="L55" s="2600">
        <v>0</v>
      </c>
      <c r="M55" s="2600">
        <f t="shared" si="14"/>
        <v>0</v>
      </c>
      <c r="N55" s="2600">
        <f t="shared" si="14"/>
        <v>0</v>
      </c>
      <c r="AA55" s="2382"/>
      <c r="AB55" s="2382"/>
      <c r="AC55" s="2382"/>
      <c r="AD55" s="2382"/>
      <c r="AE55" s="2382"/>
      <c r="AF55" s="2382"/>
      <c r="AG55" s="2382"/>
      <c r="AH55" s="2382"/>
      <c r="AI55" s="2382"/>
      <c r="AJ55" s="2382"/>
      <c r="AK55" s="2382"/>
    </row>
    <row r="56" spans="1:37" s="2381" customFormat="1" ht="36.75" thickBot="1">
      <c r="A56" s="1509" t="s">
        <v>1782</v>
      </c>
      <c r="B56" s="1510" t="str">
        <f>估价对象房地状况!C20</f>
        <v>区域自然环境：；人文环境；综合评价环境状况一般</v>
      </c>
      <c r="C56" s="1486"/>
      <c r="D56" s="2601">
        <f t="shared" si="10"/>
        <v>0</v>
      </c>
      <c r="E56" s="1512"/>
      <c r="F56" s="1504"/>
      <c r="G56" s="2599"/>
      <c r="H56" s="2617" t="str">
        <f t="shared" si="11"/>
        <v>——</v>
      </c>
      <c r="I56" s="1511">
        <v>0.06</v>
      </c>
      <c r="J56" s="2600">
        <f t="shared" si="12"/>
        <v>0</v>
      </c>
      <c r="K56" s="2600">
        <f t="shared" si="13"/>
        <v>0</v>
      </c>
      <c r="L56" s="2600">
        <v>0</v>
      </c>
      <c r="M56" s="2600">
        <f t="shared" si="14"/>
        <v>0</v>
      </c>
      <c r="N56" s="2600">
        <f t="shared" si="14"/>
        <v>0</v>
      </c>
      <c r="AA56" s="2382"/>
      <c r="AB56" s="2382"/>
      <c r="AC56" s="2382"/>
      <c r="AD56" s="2382"/>
      <c r="AE56" s="2382"/>
      <c r="AF56" s="2382"/>
      <c r="AG56" s="2382"/>
      <c r="AH56" s="2382"/>
      <c r="AI56" s="2382"/>
      <c r="AJ56" s="2382"/>
      <c r="AK56" s="2382"/>
    </row>
    <row r="57" spans="1:37" s="2381" customFormat="1" ht="15">
      <c r="A57" s="1490" t="s">
        <v>1156</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1773</v>
      </c>
      <c r="B58" s="1497"/>
      <c r="C58" s="1498" t="s">
        <v>1775</v>
      </c>
      <c r="D58" s="1499" t="s">
        <v>1846</v>
      </c>
      <c r="E58" s="1500" t="s">
        <v>1848</v>
      </c>
      <c r="F58" s="2602" t="s">
        <v>2290</v>
      </c>
      <c r="G58" s="1499" t="s">
        <v>1844</v>
      </c>
      <c r="H58" s="2603" t="s">
        <v>2494</v>
      </c>
      <c r="I58" s="1499" t="s">
        <v>1847</v>
      </c>
      <c r="J58" s="945" t="s">
        <v>422</v>
      </c>
      <c r="K58" s="945" t="s">
        <v>423</v>
      </c>
      <c r="L58" s="945" t="s">
        <v>424</v>
      </c>
      <c r="M58" s="945" t="s">
        <v>425</v>
      </c>
      <c r="N58" s="945" t="s">
        <v>426</v>
      </c>
      <c r="AA58" s="2382"/>
      <c r="AB58" s="2382"/>
      <c r="AC58" s="2382"/>
      <c r="AD58" s="2382"/>
      <c r="AE58" s="2382"/>
      <c r="AF58" s="2382"/>
      <c r="AG58" s="2382"/>
      <c r="AH58" s="2382"/>
      <c r="AI58" s="2382"/>
      <c r="AJ58" s="2382"/>
      <c r="AK58" s="2382"/>
    </row>
    <row r="59" spans="1:37" s="2381" customFormat="1" ht="36">
      <c r="A59" s="1496" t="s">
        <v>1087</v>
      </c>
      <c r="B59" s="1501" t="str">
        <f>估价对象房地状况!C17</f>
        <v>估价对象位于开发区，周边办公楼项目较多，入驻率高，办公集聚程度一般</v>
      </c>
      <c r="C59" s="1486"/>
      <c r="D59" s="2601">
        <f t="shared" ref="D59:D67" si="15">SUMIF($J$58:$N$58,C59,J59:N59)</f>
        <v>0</v>
      </c>
      <c r="E59" s="1503">
        <f>ROUND(SUM(D59:D67),4)</f>
        <v>0</v>
      </c>
      <c r="F59" s="1504" t="str">
        <f>IF(E2="办公",SUMIF(L1:L12,G2,N1:N12),"——")</f>
        <v>——</v>
      </c>
      <c r="G59" s="2599"/>
      <c r="H59" s="2617" t="str">
        <f t="shared" ref="H59:H67" si="16">IFERROR(ROUNDDOWN($F$59*I59/2,4),"——")</f>
        <v>——</v>
      </c>
      <c r="I59" s="1502">
        <v>0.24</v>
      </c>
      <c r="J59" s="2600">
        <f t="shared" ref="J59:J67" si="17">K59+$G59</f>
        <v>0</v>
      </c>
      <c r="K59" s="2600">
        <f t="shared" ref="K59:K67" si="18">$L59+$G59</f>
        <v>0</v>
      </c>
      <c r="L59" s="2600">
        <v>0</v>
      </c>
      <c r="M59" s="2600">
        <f t="shared" ref="M59:N67" si="19">L59-$G59</f>
        <v>0</v>
      </c>
      <c r="N59" s="2600">
        <f t="shared" si="19"/>
        <v>0</v>
      </c>
      <c r="AA59" s="2382"/>
      <c r="AB59" s="2382"/>
      <c r="AC59" s="2382"/>
      <c r="AD59" s="2382"/>
      <c r="AE59" s="2382"/>
      <c r="AF59" s="2382"/>
      <c r="AG59" s="2382"/>
      <c r="AH59" s="2382"/>
      <c r="AI59" s="2382"/>
      <c r="AJ59" s="2382"/>
      <c r="AK59" s="2382"/>
    </row>
    <row r="60" spans="1:37" s="2381" customFormat="1" ht="48">
      <c r="A60" s="1496" t="s">
        <v>89</v>
      </c>
      <c r="B60" s="1505" t="str">
        <f>估价对象房地状况!C18</f>
        <v>估价对象周边道路状况、公共交通通达情况、停车便捷程度，综合评价交通便捷度较好</v>
      </c>
      <c r="C60" s="1486"/>
      <c r="D60" s="2601">
        <f t="shared" si="15"/>
        <v>0</v>
      </c>
      <c r="E60" s="1506"/>
      <c r="F60" s="1504"/>
      <c r="G60" s="2599"/>
      <c r="H60" s="2617" t="str">
        <f t="shared" si="16"/>
        <v>——</v>
      </c>
      <c r="I60" s="1502">
        <v>0.3</v>
      </c>
      <c r="J60" s="2600">
        <f t="shared" si="17"/>
        <v>0</v>
      </c>
      <c r="K60" s="2600">
        <f t="shared" si="18"/>
        <v>0</v>
      </c>
      <c r="L60" s="2600">
        <v>0</v>
      </c>
      <c r="M60" s="2600">
        <f t="shared" si="19"/>
        <v>0</v>
      </c>
      <c r="N60" s="2600">
        <f t="shared" si="19"/>
        <v>0</v>
      </c>
      <c r="AA60" s="2382"/>
      <c r="AB60" s="2382"/>
      <c r="AC60" s="2382"/>
      <c r="AD60" s="2382"/>
      <c r="AE60" s="2382"/>
      <c r="AF60" s="2382"/>
      <c r="AG60" s="2382"/>
      <c r="AH60" s="2382"/>
      <c r="AI60" s="2382"/>
      <c r="AJ60" s="2382"/>
      <c r="AK60" s="2382"/>
    </row>
    <row r="61" spans="1:37" s="2381" customFormat="1" ht="24">
      <c r="A61" s="1496" t="s">
        <v>106</v>
      </c>
      <c r="B61" s="1505">
        <f>估价对象房地状况!C19</f>
        <v>0</v>
      </c>
      <c r="C61" s="1486"/>
      <c r="D61" s="2601">
        <f t="shared" si="15"/>
        <v>0</v>
      </c>
      <c r="E61" s="1506"/>
      <c r="F61" s="1504"/>
      <c r="G61" s="2599"/>
      <c r="H61" s="2617" t="str">
        <f t="shared" si="16"/>
        <v>——</v>
      </c>
      <c r="I61" s="1502">
        <v>0.08</v>
      </c>
      <c r="J61" s="2600">
        <f t="shared" si="17"/>
        <v>0</v>
      </c>
      <c r="K61" s="2600">
        <f t="shared" si="18"/>
        <v>0</v>
      </c>
      <c r="L61" s="2600">
        <v>0</v>
      </c>
      <c r="M61" s="2600">
        <f t="shared" si="19"/>
        <v>0</v>
      </c>
      <c r="N61" s="2600">
        <f t="shared" si="19"/>
        <v>0</v>
      </c>
      <c r="AA61" s="2382"/>
      <c r="AB61" s="2382"/>
      <c r="AC61" s="2382"/>
      <c r="AD61" s="2382"/>
      <c r="AE61" s="2382"/>
      <c r="AF61" s="2382"/>
      <c r="AG61" s="2382"/>
      <c r="AH61" s="2382"/>
      <c r="AI61" s="2382"/>
      <c r="AJ61" s="2382"/>
      <c r="AK61" s="2382"/>
    </row>
    <row r="62" spans="1:37" s="2381" customFormat="1" ht="36">
      <c r="A62" s="1496" t="s">
        <v>1777</v>
      </c>
      <c r="B62" s="3307" t="s">
        <v>3026</v>
      </c>
      <c r="C62" s="1486"/>
      <c r="D62" s="2601">
        <f t="shared" si="15"/>
        <v>0</v>
      </c>
      <c r="E62" s="1506"/>
      <c r="F62" s="1504"/>
      <c r="G62" s="2599"/>
      <c r="H62" s="2617" t="str">
        <f t="shared" si="16"/>
        <v>——</v>
      </c>
      <c r="I62" s="1502">
        <v>0.04</v>
      </c>
      <c r="J62" s="2600">
        <f t="shared" si="17"/>
        <v>0</v>
      </c>
      <c r="K62" s="2600">
        <f t="shared" si="18"/>
        <v>0</v>
      </c>
      <c r="L62" s="2600">
        <v>0</v>
      </c>
      <c r="M62" s="2600">
        <f t="shared" si="19"/>
        <v>0</v>
      </c>
      <c r="N62" s="2600">
        <f t="shared" si="19"/>
        <v>0</v>
      </c>
      <c r="AA62" s="2382"/>
      <c r="AB62" s="2382"/>
      <c r="AC62" s="2382"/>
      <c r="AD62" s="2382"/>
      <c r="AE62" s="2382"/>
      <c r="AF62" s="2382"/>
      <c r="AG62" s="2382"/>
      <c r="AH62" s="2382"/>
      <c r="AI62" s="2382"/>
      <c r="AJ62" s="2382"/>
      <c r="AK62" s="2382"/>
    </row>
    <row r="63" spans="1:37" s="2381" customFormat="1" ht="24">
      <c r="A63" s="1496" t="s">
        <v>1778</v>
      </c>
      <c r="B63" s="1505">
        <f>估价对象房地状况!C24</f>
        <v>0</v>
      </c>
      <c r="C63" s="1486"/>
      <c r="D63" s="2601">
        <f t="shared" si="15"/>
        <v>0</v>
      </c>
      <c r="E63" s="1506"/>
      <c r="F63" s="1504"/>
      <c r="G63" s="2599"/>
      <c r="H63" s="2617" t="str">
        <f t="shared" si="16"/>
        <v>——</v>
      </c>
      <c r="I63" s="1502">
        <v>0.05</v>
      </c>
      <c r="J63" s="2600">
        <f t="shared" si="17"/>
        <v>0</v>
      </c>
      <c r="K63" s="2600">
        <f t="shared" si="18"/>
        <v>0</v>
      </c>
      <c r="L63" s="2600">
        <v>0</v>
      </c>
      <c r="M63" s="2600">
        <f t="shared" si="19"/>
        <v>0</v>
      </c>
      <c r="N63" s="2600">
        <f t="shared" si="19"/>
        <v>0</v>
      </c>
      <c r="AA63" s="2382"/>
      <c r="AB63" s="2382"/>
      <c r="AC63" s="2382"/>
      <c r="AD63" s="2382"/>
      <c r="AE63" s="2382"/>
      <c r="AF63" s="2382"/>
      <c r="AG63" s="2382"/>
      <c r="AH63" s="2382"/>
      <c r="AI63" s="2382"/>
      <c r="AJ63" s="2382"/>
      <c r="AK63" s="2382"/>
    </row>
    <row r="64" spans="1:37" s="2381" customFormat="1" ht="24">
      <c r="A64" s="1496" t="s">
        <v>1779</v>
      </c>
      <c r="B64" s="3306" t="s">
        <v>3025</v>
      </c>
      <c r="C64" s="1486"/>
      <c r="D64" s="2601">
        <f t="shared" si="15"/>
        <v>0</v>
      </c>
      <c r="E64" s="1506"/>
      <c r="F64" s="1504"/>
      <c r="G64" s="2599"/>
      <c r="H64" s="2617" t="str">
        <f t="shared" si="16"/>
        <v>——</v>
      </c>
      <c r="I64" s="1502">
        <v>0.05</v>
      </c>
      <c r="J64" s="2600">
        <f t="shared" si="17"/>
        <v>0</v>
      </c>
      <c r="K64" s="2600">
        <f t="shared" si="18"/>
        <v>0</v>
      </c>
      <c r="L64" s="2600">
        <v>0</v>
      </c>
      <c r="M64" s="2600">
        <f t="shared" si="19"/>
        <v>0</v>
      </c>
      <c r="N64" s="2600">
        <f t="shared" si="19"/>
        <v>0</v>
      </c>
      <c r="AA64" s="2382"/>
      <c r="AB64" s="2382"/>
      <c r="AC64" s="2382"/>
      <c r="AD64" s="2382"/>
      <c r="AE64" s="2382"/>
      <c r="AF64" s="2382"/>
      <c r="AG64" s="2382"/>
      <c r="AH64" s="2382"/>
      <c r="AI64" s="2382"/>
      <c r="AJ64" s="2382"/>
      <c r="AK64" s="2382"/>
    </row>
    <row r="65" spans="1:37" s="2381" customFormat="1" ht="24">
      <c r="A65" s="1496" t="s">
        <v>1780</v>
      </c>
      <c r="B65" s="2597" t="str">
        <f>估价对象房地状况!C21</f>
        <v>估价对象所在区域公共配套设施齐备情况</v>
      </c>
      <c r="C65" s="1486"/>
      <c r="D65" s="2601">
        <f t="shared" si="15"/>
        <v>0</v>
      </c>
      <c r="E65" s="1506"/>
      <c r="F65" s="1504"/>
      <c r="G65" s="2599"/>
      <c r="H65" s="2617" t="str">
        <f t="shared" si="16"/>
        <v>——</v>
      </c>
      <c r="I65" s="1502">
        <v>0.06</v>
      </c>
      <c r="J65" s="2600">
        <f t="shared" si="17"/>
        <v>0</v>
      </c>
      <c r="K65" s="2600">
        <f t="shared" si="18"/>
        <v>0</v>
      </c>
      <c r="L65" s="2600">
        <v>0</v>
      </c>
      <c r="M65" s="2600">
        <f t="shared" si="19"/>
        <v>0</v>
      </c>
      <c r="N65" s="2600">
        <f t="shared" si="19"/>
        <v>0</v>
      </c>
      <c r="AA65" s="2382"/>
      <c r="AB65" s="2382"/>
      <c r="AC65" s="2382"/>
      <c r="AD65" s="2382"/>
      <c r="AE65" s="2382"/>
      <c r="AF65" s="2382"/>
      <c r="AG65" s="2382"/>
      <c r="AH65" s="2382"/>
      <c r="AI65" s="2382"/>
      <c r="AJ65" s="2382"/>
      <c r="AK65" s="2382"/>
    </row>
    <row r="66" spans="1:37" s="2381" customFormat="1" ht="24">
      <c r="A66" s="1496" t="s">
        <v>1781</v>
      </c>
      <c r="B66" s="2597" t="str">
        <f>估价对象房地状况!C22</f>
        <v>估价对象所在区域基础设施水平</v>
      </c>
      <c r="C66" s="1486"/>
      <c r="D66" s="2601">
        <f t="shared" si="15"/>
        <v>0</v>
      </c>
      <c r="E66" s="1506"/>
      <c r="F66" s="1504"/>
      <c r="G66" s="2599"/>
      <c r="H66" s="2617" t="str">
        <f t="shared" si="16"/>
        <v>——</v>
      </c>
      <c r="I66" s="1502">
        <v>0.12</v>
      </c>
      <c r="J66" s="2600">
        <f t="shared" si="17"/>
        <v>0</v>
      </c>
      <c r="K66" s="2600">
        <f t="shared" si="18"/>
        <v>0</v>
      </c>
      <c r="L66" s="2600">
        <v>0</v>
      </c>
      <c r="M66" s="2600">
        <f t="shared" si="19"/>
        <v>0</v>
      </c>
      <c r="N66" s="2600">
        <f t="shared" si="19"/>
        <v>0</v>
      </c>
      <c r="AA66" s="2382"/>
      <c r="AB66" s="2382"/>
      <c r="AC66" s="2382"/>
      <c r="AD66" s="2382"/>
      <c r="AE66" s="2382"/>
      <c r="AF66" s="2382"/>
      <c r="AG66" s="2382"/>
      <c r="AH66" s="2382"/>
      <c r="AI66" s="2382"/>
      <c r="AJ66" s="2382"/>
      <c r="AK66" s="2382"/>
    </row>
    <row r="67" spans="1:37" s="2381" customFormat="1" ht="36.75" thickBot="1">
      <c r="A67" s="1509" t="s">
        <v>1782</v>
      </c>
      <c r="B67" s="1514" t="str">
        <f>估价对象房地状况!C20</f>
        <v>区域自然环境：；人文环境；综合评价环境状况一般</v>
      </c>
      <c r="C67" s="1486"/>
      <c r="D67" s="2601">
        <f t="shared" si="15"/>
        <v>0</v>
      </c>
      <c r="E67" s="1512"/>
      <c r="F67" s="1504"/>
      <c r="G67" s="2599"/>
      <c r="H67" s="2617" t="str">
        <f t="shared" si="16"/>
        <v>——</v>
      </c>
      <c r="I67" s="1511">
        <v>0.06</v>
      </c>
      <c r="J67" s="2600">
        <f t="shared" si="17"/>
        <v>0</v>
      </c>
      <c r="K67" s="2600">
        <f t="shared" si="18"/>
        <v>0</v>
      </c>
      <c r="L67" s="2600">
        <v>0</v>
      </c>
      <c r="M67" s="2600">
        <f t="shared" si="19"/>
        <v>0</v>
      </c>
      <c r="N67" s="2600">
        <f t="shared" si="19"/>
        <v>0</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1773</v>
      </c>
      <c r="B69" s="1497"/>
      <c r="C69" s="1498" t="s">
        <v>1775</v>
      </c>
      <c r="D69" s="1499" t="s">
        <v>1846</v>
      </c>
      <c r="E69" s="1500" t="s">
        <v>1848</v>
      </c>
      <c r="F69" s="2602" t="s">
        <v>2290</v>
      </c>
      <c r="G69" s="1499" t="s">
        <v>1844</v>
      </c>
      <c r="H69" s="2603" t="s">
        <v>2494</v>
      </c>
      <c r="I69" s="1499" t="s">
        <v>1847</v>
      </c>
      <c r="J69" s="945" t="s">
        <v>422</v>
      </c>
      <c r="K69" s="945" t="s">
        <v>423</v>
      </c>
      <c r="L69" s="945" t="s">
        <v>424</v>
      </c>
      <c r="M69" s="945" t="s">
        <v>425</v>
      </c>
      <c r="N69" s="945" t="s">
        <v>426</v>
      </c>
      <c r="AA69" s="2382"/>
      <c r="AB69" s="2382"/>
      <c r="AC69" s="2382"/>
      <c r="AD69" s="2382"/>
      <c r="AE69" s="2382"/>
      <c r="AF69" s="2382"/>
      <c r="AG69" s="2382"/>
      <c r="AH69" s="2382"/>
      <c r="AI69" s="2382"/>
      <c r="AJ69" s="2382"/>
      <c r="AK69" s="2382"/>
    </row>
    <row r="70" spans="1:37" s="2381" customFormat="1" ht="48">
      <c r="A70" s="1496" t="s">
        <v>107</v>
      </c>
      <c r="B70" s="1501" t="str">
        <f>估价对象房地状况!C15</f>
        <v>估价对象周边居住用地比例、居住小区规模和社区发展完善程度，综合评价居住社区成熟度一般</v>
      </c>
      <c r="C70" s="1486"/>
      <c r="D70" s="2601">
        <f t="shared" ref="D70:D78" si="20">SUMIF($J$69:$N$69,C70,J70:N70)</f>
        <v>0</v>
      </c>
      <c r="E70" s="1503">
        <f>ROUND(SUM(D70:D78),4)</f>
        <v>0</v>
      </c>
      <c r="F70" s="1504" t="str">
        <f>IF(E2="住宅",SUMIF(L1:L12,G2,N1:N12),"——")</f>
        <v>——</v>
      </c>
      <c r="G70" s="2599"/>
      <c r="H70" s="2617" t="str">
        <f t="shared" ref="H70:H78" si="21">IFERROR(ROUNDDOWN($F$70*I70/2,4),"——")</f>
        <v>——</v>
      </c>
      <c r="I70" s="1502">
        <v>0.14000000000000001</v>
      </c>
      <c r="J70" s="2600">
        <f t="shared" ref="J70:J78" si="22">K70+$G70</f>
        <v>0</v>
      </c>
      <c r="K70" s="2600">
        <f t="shared" ref="K70:K78" si="23">$L70+$G70</f>
        <v>0</v>
      </c>
      <c r="L70" s="2600">
        <v>0</v>
      </c>
      <c r="M70" s="2600">
        <f t="shared" ref="M70:N78" si="24">L70-$G70</f>
        <v>0</v>
      </c>
      <c r="N70" s="2600">
        <f t="shared" si="24"/>
        <v>0</v>
      </c>
      <c r="AA70" s="2382"/>
      <c r="AB70" s="2382"/>
      <c r="AC70" s="2382"/>
      <c r="AD70" s="2382"/>
      <c r="AE70" s="2382"/>
      <c r="AF70" s="2382"/>
      <c r="AG70" s="2382"/>
      <c r="AH70" s="2382"/>
      <c r="AI70" s="2382"/>
      <c r="AJ70" s="2382"/>
      <c r="AK70" s="2382"/>
    </row>
    <row r="71" spans="1:37" s="2381" customFormat="1" ht="48">
      <c r="A71" s="1496" t="s">
        <v>89</v>
      </c>
      <c r="B71" s="1505" t="str">
        <f>估价对象房地状况!C18</f>
        <v>估价对象周边道路状况、公共交通通达情况、停车便捷程度，综合评价交通便捷度较好</v>
      </c>
      <c r="C71" s="1486"/>
      <c r="D71" s="2601">
        <f t="shared" si="20"/>
        <v>0</v>
      </c>
      <c r="E71" s="1515"/>
      <c r="F71" s="1504"/>
      <c r="G71" s="2599"/>
      <c r="H71" s="2617" t="str">
        <f t="shared" si="21"/>
        <v>——</v>
      </c>
      <c r="I71" s="1502">
        <v>0.3</v>
      </c>
      <c r="J71" s="2600">
        <f t="shared" si="22"/>
        <v>0</v>
      </c>
      <c r="K71" s="2600">
        <f t="shared" si="23"/>
        <v>0</v>
      </c>
      <c r="L71" s="2600">
        <v>0</v>
      </c>
      <c r="M71" s="2600">
        <f t="shared" si="24"/>
        <v>0</v>
      </c>
      <c r="N71" s="2600">
        <f t="shared" si="24"/>
        <v>0</v>
      </c>
      <c r="AA71" s="2382"/>
      <c r="AB71" s="2382"/>
      <c r="AC71" s="2382"/>
      <c r="AD71" s="2382"/>
      <c r="AE71" s="2382"/>
      <c r="AF71" s="2382"/>
      <c r="AG71" s="2382"/>
      <c r="AH71" s="2382"/>
      <c r="AI71" s="2382"/>
      <c r="AJ71" s="2382"/>
      <c r="AK71" s="2382"/>
    </row>
    <row r="72" spans="1:37" s="2381" customFormat="1" ht="24">
      <c r="A72" s="1496" t="s">
        <v>106</v>
      </c>
      <c r="B72" s="1505">
        <f>估价对象房地状况!C19</f>
        <v>0</v>
      </c>
      <c r="C72" s="1486"/>
      <c r="D72" s="2601">
        <f t="shared" si="20"/>
        <v>0</v>
      </c>
      <c r="E72" s="1515"/>
      <c r="F72" s="1504"/>
      <c r="G72" s="2599"/>
      <c r="H72" s="2617" t="str">
        <f t="shared" si="21"/>
        <v>——</v>
      </c>
      <c r="I72" s="1502">
        <v>0.08</v>
      </c>
      <c r="J72" s="2600">
        <f t="shared" si="22"/>
        <v>0</v>
      </c>
      <c r="K72" s="2600">
        <f t="shared" si="23"/>
        <v>0</v>
      </c>
      <c r="L72" s="2600">
        <v>0</v>
      </c>
      <c r="M72" s="2600">
        <f t="shared" si="24"/>
        <v>0</v>
      </c>
      <c r="N72" s="2600">
        <f t="shared" si="24"/>
        <v>0</v>
      </c>
      <c r="AA72" s="2382"/>
      <c r="AB72" s="2382"/>
      <c r="AC72" s="2382"/>
      <c r="AD72" s="2382"/>
      <c r="AE72" s="2382"/>
      <c r="AF72" s="2382"/>
      <c r="AG72" s="2382"/>
      <c r="AH72" s="2382"/>
      <c r="AI72" s="2382"/>
      <c r="AJ72" s="2382"/>
      <c r="AK72" s="2382"/>
    </row>
    <row r="73" spans="1:37" s="2381" customFormat="1" ht="14.25">
      <c r="A73" s="1496" t="s">
        <v>1783</v>
      </c>
      <c r="B73" s="1505">
        <f>估价对象房地状况!C24</f>
        <v>0</v>
      </c>
      <c r="C73" s="1486"/>
      <c r="D73" s="2601">
        <f t="shared" si="20"/>
        <v>0</v>
      </c>
      <c r="E73" s="1515"/>
      <c r="F73" s="1504"/>
      <c r="G73" s="2599"/>
      <c r="H73" s="2617" t="str">
        <f t="shared" si="21"/>
        <v>——</v>
      </c>
      <c r="I73" s="1502">
        <v>0.04</v>
      </c>
      <c r="J73" s="2600">
        <f t="shared" si="22"/>
        <v>0</v>
      </c>
      <c r="K73" s="2600">
        <f t="shared" si="23"/>
        <v>0</v>
      </c>
      <c r="L73" s="2600">
        <v>0</v>
      </c>
      <c r="M73" s="2600">
        <f t="shared" si="24"/>
        <v>0</v>
      </c>
      <c r="N73" s="2600">
        <f t="shared" si="24"/>
        <v>0</v>
      </c>
      <c r="AA73" s="2382"/>
      <c r="AB73" s="2382"/>
      <c r="AC73" s="2382"/>
      <c r="AD73" s="2382"/>
      <c r="AE73" s="2382"/>
      <c r="AF73" s="2382"/>
      <c r="AG73" s="2382"/>
      <c r="AH73" s="2382"/>
      <c r="AI73" s="2382"/>
      <c r="AJ73" s="2382"/>
      <c r="AK73" s="2382"/>
    </row>
    <row r="74" spans="1:37" s="2381" customFormat="1" ht="24">
      <c r="A74" s="1496" t="s">
        <v>1780</v>
      </c>
      <c r="B74" s="2597" t="str">
        <f>估价对象房地状况!C21</f>
        <v>估价对象所在区域公共配套设施齐备情况</v>
      </c>
      <c r="C74" s="1486"/>
      <c r="D74" s="2601">
        <f t="shared" si="20"/>
        <v>0</v>
      </c>
      <c r="E74" s="1515"/>
      <c r="F74" s="1504"/>
      <c r="G74" s="2599"/>
      <c r="H74" s="2617" t="str">
        <f t="shared" si="21"/>
        <v>——</v>
      </c>
      <c r="I74" s="1502">
        <v>0.08</v>
      </c>
      <c r="J74" s="2600">
        <f t="shared" si="22"/>
        <v>0</v>
      </c>
      <c r="K74" s="2600">
        <f t="shared" si="23"/>
        <v>0</v>
      </c>
      <c r="L74" s="2600">
        <v>0</v>
      </c>
      <c r="M74" s="2600">
        <f t="shared" si="24"/>
        <v>0</v>
      </c>
      <c r="N74" s="2600">
        <f t="shared" si="24"/>
        <v>0</v>
      </c>
      <c r="AA74" s="2382"/>
      <c r="AB74" s="2382"/>
      <c r="AC74" s="2382"/>
      <c r="AD74" s="2382"/>
      <c r="AE74" s="2382"/>
      <c r="AF74" s="2382"/>
      <c r="AG74" s="2382"/>
      <c r="AH74" s="2382"/>
      <c r="AI74" s="2382"/>
      <c r="AJ74" s="2382"/>
      <c r="AK74" s="2382"/>
    </row>
    <row r="75" spans="1:37" s="2381" customFormat="1" ht="24">
      <c r="A75" s="1496" t="s">
        <v>1781</v>
      </c>
      <c r="B75" s="2597" t="str">
        <f>估价对象房地状况!C22</f>
        <v>估价对象所在区域基础设施水平</v>
      </c>
      <c r="C75" s="1486"/>
      <c r="D75" s="2601">
        <f t="shared" si="20"/>
        <v>0</v>
      </c>
      <c r="E75" s="1515"/>
      <c r="F75" s="1504"/>
      <c r="G75" s="2599"/>
      <c r="H75" s="2617" t="str">
        <f t="shared" si="21"/>
        <v>——</v>
      </c>
      <c r="I75" s="1502">
        <v>0.12</v>
      </c>
      <c r="J75" s="2600">
        <f t="shared" si="22"/>
        <v>0</v>
      </c>
      <c r="K75" s="2600">
        <f t="shared" si="23"/>
        <v>0</v>
      </c>
      <c r="L75" s="2600">
        <v>0</v>
      </c>
      <c r="M75" s="2600">
        <f t="shared" si="24"/>
        <v>0</v>
      </c>
      <c r="N75" s="2600">
        <f t="shared" si="24"/>
        <v>0</v>
      </c>
      <c r="AA75" s="2382"/>
      <c r="AB75" s="2382"/>
      <c r="AC75" s="2382"/>
      <c r="AD75" s="2382"/>
      <c r="AE75" s="2382"/>
      <c r="AF75" s="2382"/>
      <c r="AG75" s="2382"/>
      <c r="AH75" s="2382"/>
      <c r="AI75" s="2382"/>
      <c r="AJ75" s="2382"/>
      <c r="AK75" s="2382"/>
    </row>
    <row r="76" spans="1:37" s="2385" customFormat="1" ht="24">
      <c r="A76" s="1496" t="s">
        <v>1779</v>
      </c>
      <c r="B76" s="3306" t="s">
        <v>3025</v>
      </c>
      <c r="C76" s="1486"/>
      <c r="D76" s="2601">
        <f t="shared" si="20"/>
        <v>0</v>
      </c>
      <c r="E76" s="1515"/>
      <c r="F76" s="1504"/>
      <c r="G76" s="2599"/>
      <c r="H76" s="2617" t="str">
        <f t="shared" si="21"/>
        <v>——</v>
      </c>
      <c r="I76" s="1502">
        <v>0.05</v>
      </c>
      <c r="J76" s="2600">
        <f t="shared" si="22"/>
        <v>0</v>
      </c>
      <c r="K76" s="2600">
        <f t="shared" si="23"/>
        <v>0</v>
      </c>
      <c r="L76" s="2600">
        <v>0</v>
      </c>
      <c r="M76" s="2600">
        <f t="shared" si="24"/>
        <v>0</v>
      </c>
      <c r="N76" s="2600">
        <f t="shared" si="24"/>
        <v>0</v>
      </c>
      <c r="AA76" s="2384"/>
      <c r="AB76" s="2382"/>
      <c r="AC76" s="2382"/>
      <c r="AD76" s="2382"/>
      <c r="AE76" s="2382"/>
      <c r="AF76" s="2382"/>
      <c r="AG76" s="2382"/>
      <c r="AH76" s="2384"/>
      <c r="AI76" s="2384"/>
      <c r="AJ76" s="2384"/>
      <c r="AK76" s="2384"/>
    </row>
    <row r="77" spans="1:37" ht="36">
      <c r="A77" s="1496" t="s">
        <v>1782</v>
      </c>
      <c r="B77" s="1501" t="str">
        <f>估价对象房地状况!C20</f>
        <v>区域自然环境：；人文环境；综合评价环境状况一般</v>
      </c>
      <c r="C77" s="1486"/>
      <c r="D77" s="2601">
        <f t="shared" si="20"/>
        <v>0</v>
      </c>
      <c r="E77" s="1515"/>
      <c r="F77" s="1504"/>
      <c r="G77" s="2599"/>
      <c r="H77" s="2617" t="str">
        <f t="shared" si="21"/>
        <v>——</v>
      </c>
      <c r="I77" s="1502">
        <v>0.15</v>
      </c>
      <c r="J77" s="2600">
        <f t="shared" si="22"/>
        <v>0</v>
      </c>
      <c r="K77" s="2600">
        <f t="shared" si="23"/>
        <v>0</v>
      </c>
      <c r="L77" s="2600">
        <v>0</v>
      </c>
      <c r="M77" s="2600">
        <f t="shared" si="24"/>
        <v>0</v>
      </c>
      <c r="N77" s="2600">
        <f t="shared" si="24"/>
        <v>0</v>
      </c>
      <c r="Z77" s="1626"/>
      <c r="AA77" s="1625"/>
      <c r="AG77" s="1624"/>
      <c r="AK77" s="1625"/>
    </row>
    <row r="78" spans="1:37" ht="24.75" thickBot="1">
      <c r="A78" s="1509" t="s">
        <v>1784</v>
      </c>
      <c r="B78" s="3305"/>
      <c r="C78" s="1486"/>
      <c r="D78" s="2601">
        <f t="shared" si="20"/>
        <v>0</v>
      </c>
      <c r="E78" s="1516"/>
      <c r="F78" s="1504"/>
      <c r="G78" s="2599"/>
      <c r="H78" s="2617" t="str">
        <f t="shared" si="21"/>
        <v>——</v>
      </c>
      <c r="I78" s="1511">
        <v>0.04</v>
      </c>
      <c r="J78" s="2600">
        <f t="shared" si="22"/>
        <v>0</v>
      </c>
      <c r="K78" s="2600">
        <f t="shared" si="23"/>
        <v>0</v>
      </c>
      <c r="L78" s="2600">
        <v>0</v>
      </c>
      <c r="M78" s="2600">
        <f t="shared" si="24"/>
        <v>0</v>
      </c>
      <c r="N78" s="2600">
        <f t="shared" si="24"/>
        <v>0</v>
      </c>
      <c r="Z78" s="1626"/>
      <c r="AA78" s="1625"/>
      <c r="AG78" s="1624"/>
      <c r="AK78" s="1625"/>
    </row>
    <row r="79" spans="1:37" ht="15">
      <c r="A79" s="1490" t="s">
        <v>1098</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1773</v>
      </c>
      <c r="B80" s="1497"/>
      <c r="C80" s="1498" t="s">
        <v>1775</v>
      </c>
      <c r="D80" s="1499" t="s">
        <v>1846</v>
      </c>
      <c r="E80" s="1500" t="s">
        <v>1848</v>
      </c>
      <c r="F80" s="2602" t="s">
        <v>2290</v>
      </c>
      <c r="G80" s="1499" t="s">
        <v>1844</v>
      </c>
      <c r="H80" s="2603" t="s">
        <v>2494</v>
      </c>
      <c r="I80" s="1499" t="s">
        <v>1847</v>
      </c>
      <c r="J80" s="945" t="s">
        <v>422</v>
      </c>
      <c r="K80" s="945" t="s">
        <v>423</v>
      </c>
      <c r="L80" s="945" t="s">
        <v>424</v>
      </c>
      <c r="M80" s="945" t="s">
        <v>425</v>
      </c>
      <c r="N80" s="945" t="s">
        <v>426</v>
      </c>
      <c r="Z80" s="1626"/>
      <c r="AA80" s="1625"/>
      <c r="AG80" s="1624"/>
      <c r="AK80" s="1625"/>
    </row>
    <row r="81" spans="1:37" ht="36">
      <c r="A81" s="1496" t="s">
        <v>156</v>
      </c>
      <c r="B81" s="1505" t="str">
        <f>估价对象房地状况!G15</f>
        <v>估价对象位于XX开发区，园区建设成熟度XX，产业集聚程度XX</v>
      </c>
      <c r="C81" s="1486"/>
      <c r="D81" s="2601">
        <f t="shared" ref="D81:D88" si="25">SUMIF($J$80:$N$80,C81,J81:N81)</f>
        <v>0</v>
      </c>
      <c r="E81" s="1503">
        <f>ROUND(SUM(D81:D88),4)</f>
        <v>0</v>
      </c>
      <c r="F81" s="1504" t="str">
        <f>IF(E2="工业",SUMIF(L1:L12,G2,N1:N12),"——")</f>
        <v>——</v>
      </c>
      <c r="G81" s="2599"/>
      <c r="H81" s="2617" t="str">
        <f t="shared" ref="H81:H88" si="26">IFERROR(ROUNDDOWN($F$81*I81/2,4),"——")</f>
        <v>——</v>
      </c>
      <c r="I81" s="1502">
        <v>0.26</v>
      </c>
      <c r="J81" s="2600">
        <f t="shared" ref="J81:J88" si="27">K81+$G81</f>
        <v>0</v>
      </c>
      <c r="K81" s="2600">
        <f t="shared" ref="K81:K88" si="28">$L81+$G81</f>
        <v>0</v>
      </c>
      <c r="L81" s="2600">
        <v>0</v>
      </c>
      <c r="M81" s="2600">
        <f t="shared" ref="M81:N88" si="29">L81-$G81</f>
        <v>0</v>
      </c>
      <c r="N81" s="2600">
        <f t="shared" si="29"/>
        <v>0</v>
      </c>
      <c r="Z81" s="1626"/>
      <c r="AA81" s="1625"/>
      <c r="AG81" s="1624"/>
      <c r="AK81" s="1625"/>
    </row>
    <row r="82" spans="1:37" ht="48">
      <c r="A82" s="1496" t="s">
        <v>89</v>
      </c>
      <c r="B82" s="1505" t="str">
        <f>估价对象房地状况!G16</f>
        <v>估价对象周边道路状况、公共交通通达情况、停车便捷程度，综合评价交通便捷度较好</v>
      </c>
      <c r="C82" s="1486"/>
      <c r="D82" s="2601">
        <f t="shared" si="25"/>
        <v>0</v>
      </c>
      <c r="E82" s="1515"/>
      <c r="F82" s="1504"/>
      <c r="G82" s="2599"/>
      <c r="H82" s="2617" t="str">
        <f t="shared" si="26"/>
        <v>——</v>
      </c>
      <c r="I82" s="1502">
        <v>0.33</v>
      </c>
      <c r="J82" s="2600">
        <f t="shared" si="27"/>
        <v>0</v>
      </c>
      <c r="K82" s="2600">
        <f t="shared" si="28"/>
        <v>0</v>
      </c>
      <c r="L82" s="2600">
        <v>0</v>
      </c>
      <c r="M82" s="2600">
        <f t="shared" si="29"/>
        <v>0</v>
      </c>
      <c r="N82" s="2600">
        <f t="shared" si="29"/>
        <v>0</v>
      </c>
      <c r="Z82" s="1626"/>
      <c r="AA82" s="1625"/>
      <c r="AG82" s="1624"/>
      <c r="AK82" s="1625"/>
    </row>
    <row r="83" spans="1:37" ht="24">
      <c r="A83" s="1496" t="s">
        <v>106</v>
      </c>
      <c r="B83" s="1505">
        <f>估价对象房地状况!G17</f>
        <v>0</v>
      </c>
      <c r="C83" s="1486"/>
      <c r="D83" s="2601">
        <f t="shared" si="25"/>
        <v>0</v>
      </c>
      <c r="E83" s="1515"/>
      <c r="F83" s="1504"/>
      <c r="G83" s="2599"/>
      <c r="H83" s="2617" t="str">
        <f t="shared" si="26"/>
        <v>——</v>
      </c>
      <c r="I83" s="1502">
        <v>0.05</v>
      </c>
      <c r="J83" s="2600">
        <f t="shared" si="27"/>
        <v>0</v>
      </c>
      <c r="K83" s="2600">
        <f t="shared" si="28"/>
        <v>0</v>
      </c>
      <c r="L83" s="2600">
        <v>0</v>
      </c>
      <c r="M83" s="2600">
        <f t="shared" si="29"/>
        <v>0</v>
      </c>
      <c r="N83" s="2600">
        <f t="shared" si="29"/>
        <v>0</v>
      </c>
      <c r="Z83" s="1626"/>
      <c r="AA83" s="1625"/>
      <c r="AG83" s="1624"/>
      <c r="AK83" s="1625"/>
    </row>
    <row r="84" spans="1:37" ht="14.25">
      <c r="A84" s="1496" t="s">
        <v>1783</v>
      </c>
      <c r="B84" s="1505">
        <f>估价对象房地状况!G22</f>
        <v>0</v>
      </c>
      <c r="C84" s="1486"/>
      <c r="D84" s="2601">
        <f t="shared" si="25"/>
        <v>0</v>
      </c>
      <c r="E84" s="1515"/>
      <c r="F84" s="1504"/>
      <c r="G84" s="2599"/>
      <c r="H84" s="2617" t="str">
        <f t="shared" si="26"/>
        <v>——</v>
      </c>
      <c r="I84" s="1502">
        <v>0.04</v>
      </c>
      <c r="J84" s="2600">
        <f t="shared" si="27"/>
        <v>0</v>
      </c>
      <c r="K84" s="2600">
        <f t="shared" si="28"/>
        <v>0</v>
      </c>
      <c r="L84" s="2600">
        <v>0</v>
      </c>
      <c r="M84" s="2600">
        <f t="shared" si="29"/>
        <v>0</v>
      </c>
      <c r="N84" s="2600">
        <f t="shared" si="29"/>
        <v>0</v>
      </c>
      <c r="Z84" s="1626"/>
      <c r="AA84" s="1625"/>
      <c r="AG84" s="1624"/>
      <c r="AK84" s="1625"/>
    </row>
    <row r="85" spans="1:37" ht="24">
      <c r="A85" s="1496" t="s">
        <v>1780</v>
      </c>
      <c r="B85" s="2597" t="str">
        <f>估价对象房地状况!G19</f>
        <v>估价对象所在区域公共配套设施齐备情况</v>
      </c>
      <c r="C85" s="1486"/>
      <c r="D85" s="2601">
        <f t="shared" si="25"/>
        <v>0</v>
      </c>
      <c r="E85" s="1515"/>
      <c r="F85" s="1504"/>
      <c r="G85" s="2599"/>
      <c r="H85" s="2617" t="str">
        <f t="shared" si="26"/>
        <v>——</v>
      </c>
      <c r="I85" s="1502">
        <v>0.06</v>
      </c>
      <c r="J85" s="2600">
        <f t="shared" si="27"/>
        <v>0</v>
      </c>
      <c r="K85" s="2600">
        <f t="shared" si="28"/>
        <v>0</v>
      </c>
      <c r="L85" s="2600">
        <v>0</v>
      </c>
      <c r="M85" s="2600">
        <f t="shared" si="29"/>
        <v>0</v>
      </c>
      <c r="N85" s="2600">
        <f t="shared" si="29"/>
        <v>0</v>
      </c>
      <c r="Z85" s="1626"/>
      <c r="AA85" s="1625"/>
      <c r="AG85" s="1624"/>
      <c r="AK85" s="1625"/>
    </row>
    <row r="86" spans="1:37" ht="24">
      <c r="A86" s="1496" t="s">
        <v>1781</v>
      </c>
      <c r="B86" s="2597" t="str">
        <f>估价对象房地状况!G20</f>
        <v>估价对象所在区域基础设施水平</v>
      </c>
      <c r="C86" s="1486"/>
      <c r="D86" s="2601">
        <f t="shared" si="25"/>
        <v>0</v>
      </c>
      <c r="E86" s="1515"/>
      <c r="F86" s="1504"/>
      <c r="G86" s="2599"/>
      <c r="H86" s="2617" t="str">
        <f t="shared" si="26"/>
        <v>——</v>
      </c>
      <c r="I86" s="1502">
        <v>0.15</v>
      </c>
      <c r="J86" s="2600">
        <f t="shared" si="27"/>
        <v>0</v>
      </c>
      <c r="K86" s="2600">
        <f t="shared" si="28"/>
        <v>0</v>
      </c>
      <c r="L86" s="2600">
        <v>0</v>
      </c>
      <c r="M86" s="2600">
        <f t="shared" si="29"/>
        <v>0</v>
      </c>
      <c r="N86" s="2600">
        <f t="shared" si="29"/>
        <v>0</v>
      </c>
      <c r="Z86" s="1626"/>
      <c r="AA86" s="1625"/>
      <c r="AG86" s="1624"/>
      <c r="AK86" s="1625"/>
    </row>
    <row r="87" spans="1:37" ht="24">
      <c r="A87" s="1496" t="s">
        <v>1779</v>
      </c>
      <c r="B87" s="3306" t="s">
        <v>2492</v>
      </c>
      <c r="C87" s="1486"/>
      <c r="D87" s="2601">
        <f t="shared" si="25"/>
        <v>0</v>
      </c>
      <c r="E87" s="1515"/>
      <c r="F87" s="1504"/>
      <c r="G87" s="2599"/>
      <c r="H87" s="2617" t="str">
        <f t="shared" si="26"/>
        <v>——</v>
      </c>
      <c r="I87" s="1502">
        <v>0.05</v>
      </c>
      <c r="J87" s="2600">
        <f t="shared" si="27"/>
        <v>0</v>
      </c>
      <c r="K87" s="2600">
        <f t="shared" si="28"/>
        <v>0</v>
      </c>
      <c r="L87" s="2600">
        <v>0</v>
      </c>
      <c r="M87" s="2600">
        <f t="shared" si="29"/>
        <v>0</v>
      </c>
      <c r="N87" s="2600">
        <f t="shared" si="29"/>
        <v>0</v>
      </c>
      <c r="Z87" s="1626"/>
      <c r="AA87" s="1625"/>
      <c r="AG87" s="1624"/>
      <c r="AK87" s="1625"/>
    </row>
    <row r="88" spans="1:37" ht="36.75" thickBot="1">
      <c r="A88" s="1509" t="s">
        <v>1785</v>
      </c>
      <c r="B88" s="2598" t="str">
        <f>估价对象房地状况!G18</f>
        <v>该园区内是否有污染型企业，绿化情况，卫生条件，整体环境状况判断</v>
      </c>
      <c r="C88" s="1486"/>
      <c r="D88" s="2601">
        <f t="shared" si="25"/>
        <v>0</v>
      </c>
      <c r="E88" s="1516"/>
      <c r="F88" s="1504"/>
      <c r="G88" s="2599"/>
      <c r="H88" s="2617" t="str">
        <f t="shared" si="26"/>
        <v>——</v>
      </c>
      <c r="I88" s="1511">
        <v>0.06</v>
      </c>
      <c r="J88" s="2600">
        <f t="shared" si="27"/>
        <v>0</v>
      </c>
      <c r="K88" s="2600">
        <f t="shared" si="28"/>
        <v>0</v>
      </c>
      <c r="L88" s="2600">
        <v>0</v>
      </c>
      <c r="M88" s="2600">
        <f t="shared" si="29"/>
        <v>0</v>
      </c>
      <c r="N88" s="2600">
        <f t="shared" si="29"/>
        <v>0</v>
      </c>
      <c r="Z88" s="1626"/>
      <c r="AA88" s="1625"/>
      <c r="AG88" s="1624"/>
      <c r="AK88" s="1625"/>
    </row>
    <row r="90" spans="1:37">
      <c r="A90" s="3724" t="s">
        <v>1754</v>
      </c>
      <c r="B90" s="3724"/>
      <c r="C90" s="3724"/>
      <c r="D90" s="3724"/>
      <c r="E90" s="3724"/>
      <c r="F90" s="3724"/>
      <c r="G90" s="3724"/>
      <c r="H90" s="3724"/>
      <c r="I90" s="3724"/>
      <c r="J90" s="3724"/>
      <c r="K90" s="2606"/>
      <c r="L90" s="2606"/>
      <c r="M90" s="2606"/>
      <c r="N90" s="2606"/>
    </row>
    <row r="91" spans="1:37">
      <c r="A91" s="3726" t="s">
        <v>65</v>
      </c>
      <c r="B91" s="3726" t="s">
        <v>1755</v>
      </c>
      <c r="C91" s="1585" t="s">
        <v>1756</v>
      </c>
      <c r="D91" s="1586"/>
      <c r="E91" s="1586"/>
      <c r="F91" s="1586"/>
      <c r="G91" s="1586"/>
      <c r="H91" s="1586"/>
      <c r="I91" s="1586"/>
      <c r="J91" s="1587"/>
      <c r="K91" s="1575"/>
      <c r="L91" s="1575"/>
      <c r="M91" s="1575"/>
      <c r="N91" s="1575"/>
    </row>
    <row r="92" spans="1:37">
      <c r="A92" s="3726"/>
      <c r="B92" s="3726"/>
      <c r="C92" s="2605" t="s">
        <v>162</v>
      </c>
      <c r="D92" s="2605" t="s">
        <v>163</v>
      </c>
      <c r="E92" s="2605" t="s">
        <v>158</v>
      </c>
      <c r="F92" s="2605" t="s">
        <v>159</v>
      </c>
      <c r="G92" s="2605" t="s">
        <v>160</v>
      </c>
      <c r="H92" s="2605" t="s">
        <v>161</v>
      </c>
      <c r="I92" s="2605" t="s">
        <v>1171</v>
      </c>
      <c r="J92" s="2605" t="s">
        <v>1172</v>
      </c>
      <c r="K92" s="2605" t="s">
        <v>1173</v>
      </c>
      <c r="L92" s="2605" t="s">
        <v>1174</v>
      </c>
      <c r="M92" s="2605" t="s">
        <v>1175</v>
      </c>
      <c r="N92" s="2605" t="s">
        <v>1176</v>
      </c>
    </row>
    <row r="93" spans="1:37">
      <c r="A93" s="3727" t="s">
        <v>1757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28"/>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28"/>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28"/>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28"/>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28"/>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28"/>
      <c r="B99" s="1588" t="s">
        <v>1758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29"/>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27" t="s">
        <v>1759</v>
      </c>
      <c r="B101" s="1592" t="s">
        <v>90</v>
      </c>
      <c r="C101" s="1593" t="e">
        <f>$G$3</f>
        <v>#DIV/0!</v>
      </c>
      <c r="D101" s="1593" t="e">
        <f t="shared" ref="D101:N101" si="31">$G$3</f>
        <v>#DIV/0!</v>
      </c>
      <c r="E101" s="1593" t="e">
        <f t="shared" si="31"/>
        <v>#DIV/0!</v>
      </c>
      <c r="F101" s="1593" t="e">
        <f t="shared" si="31"/>
        <v>#DIV/0!</v>
      </c>
      <c r="G101" s="1593" t="e">
        <f t="shared" si="31"/>
        <v>#DIV/0!</v>
      </c>
      <c r="H101" s="1593" t="e">
        <f t="shared" si="31"/>
        <v>#DIV/0!</v>
      </c>
      <c r="I101" s="1593" t="e">
        <f t="shared" si="31"/>
        <v>#DIV/0!</v>
      </c>
      <c r="J101" s="1593" t="e">
        <f t="shared" si="31"/>
        <v>#DIV/0!</v>
      </c>
      <c r="K101" s="1593" t="e">
        <f t="shared" si="31"/>
        <v>#DIV/0!</v>
      </c>
      <c r="L101" s="1593" t="e">
        <f t="shared" si="31"/>
        <v>#DIV/0!</v>
      </c>
      <c r="M101" s="1593" t="e">
        <f t="shared" si="31"/>
        <v>#DIV/0!</v>
      </c>
      <c r="N101" s="1593" t="e">
        <f t="shared" si="31"/>
        <v>#DIV/0!</v>
      </c>
    </row>
    <row r="102" spans="1:14">
      <c r="A102" s="3728"/>
      <c r="B102" s="1588">
        <v>1</v>
      </c>
      <c r="C102" s="1589" t="e">
        <f>1.9362/C101</f>
        <v>#DIV/0!</v>
      </c>
      <c r="D102" s="1589" t="e">
        <f>1.9362/D101</f>
        <v>#DIV/0!</v>
      </c>
      <c r="E102" s="1589" t="e">
        <f>1.8629/E101</f>
        <v>#DIV/0!</v>
      </c>
      <c r="F102" s="1589" t="e">
        <f>1.8629/F101</f>
        <v>#DIV/0!</v>
      </c>
      <c r="G102" s="1589" t="e">
        <f>1.8629/G101</f>
        <v>#DIV/0!</v>
      </c>
      <c r="H102" s="1589" t="e">
        <f>1.8629/H101</f>
        <v>#DIV/0!</v>
      </c>
      <c r="I102" s="1589" t="e">
        <f>1.8629/I101</f>
        <v>#DIV/0!</v>
      </c>
      <c r="J102" s="1589" t="e">
        <f>1.942/J101</f>
        <v>#DIV/0!</v>
      </c>
      <c r="K102" s="1589" t="e">
        <f>1.942/K101</f>
        <v>#DIV/0!</v>
      </c>
      <c r="L102" s="1589" t="e">
        <f>1.942/L101</f>
        <v>#DIV/0!</v>
      </c>
      <c r="M102" s="1589" t="e">
        <f>1.942/M101</f>
        <v>#DIV/0!</v>
      </c>
      <c r="N102" s="1589" t="e">
        <f>1.942/N101</f>
        <v>#DIV/0!</v>
      </c>
    </row>
    <row r="103" spans="1:14">
      <c r="A103" s="3728"/>
      <c r="B103" s="1588">
        <v>2</v>
      </c>
      <c r="C103" s="1589" t="e">
        <f>1.4198/C101</f>
        <v>#DIV/0!</v>
      </c>
      <c r="D103" s="1589" t="e">
        <f>1.4198/D101</f>
        <v>#DIV/0!</v>
      </c>
      <c r="E103" s="1589" t="e">
        <f>1.3372/E101</f>
        <v>#DIV/0!</v>
      </c>
      <c r="F103" s="1589" t="e">
        <f>1.3372/F101</f>
        <v>#DIV/0!</v>
      </c>
      <c r="G103" s="1589" t="e">
        <f>1.3372/G101</f>
        <v>#DIV/0!</v>
      </c>
      <c r="H103" s="1589" t="e">
        <f>1.3372/H101</f>
        <v>#DIV/0!</v>
      </c>
      <c r="I103" s="1589" t="e">
        <f>1.3372/I101</f>
        <v>#DIV/0!</v>
      </c>
      <c r="J103" s="1589" t="e">
        <f>1.2799/J101</f>
        <v>#DIV/0!</v>
      </c>
      <c r="K103" s="1589" t="e">
        <f>1.2799/K101</f>
        <v>#DIV/0!</v>
      </c>
      <c r="L103" s="1589" t="e">
        <f>1.2799/L101</f>
        <v>#DIV/0!</v>
      </c>
      <c r="M103" s="1589" t="e">
        <f>1.2799/M101</f>
        <v>#DIV/0!</v>
      </c>
      <c r="N103" s="1589" t="e">
        <f>1.2799/N101</f>
        <v>#DIV/0!</v>
      </c>
    </row>
    <row r="104" spans="1:14">
      <c r="A104" s="3728"/>
      <c r="B104" s="1588">
        <v>3</v>
      </c>
      <c r="C104" s="1589" t="e">
        <f>1.1594/C101</f>
        <v>#DIV/0!</v>
      </c>
      <c r="D104" s="1589" t="e">
        <f>1.1594/D101</f>
        <v>#DIV/0!</v>
      </c>
      <c r="E104" s="1589" t="e">
        <f>1.0788/E101</f>
        <v>#DIV/0!</v>
      </c>
      <c r="F104" s="1589" t="e">
        <f>1.0788/F101</f>
        <v>#DIV/0!</v>
      </c>
      <c r="G104" s="1589" t="e">
        <f>1.0788/G101</f>
        <v>#DIV/0!</v>
      </c>
      <c r="H104" s="1589" t="e">
        <f>1.0788/H101</f>
        <v>#DIV/0!</v>
      </c>
      <c r="I104" s="1589" t="e">
        <f>1.0788/I101</f>
        <v>#DIV/0!</v>
      </c>
      <c r="J104" s="1589" t="e">
        <f>1.0072/J101</f>
        <v>#DIV/0!</v>
      </c>
      <c r="K104" s="1589" t="e">
        <f>1.0072/K101</f>
        <v>#DIV/0!</v>
      </c>
      <c r="L104" s="1589" t="e">
        <f>1.0072/L101</f>
        <v>#DIV/0!</v>
      </c>
      <c r="M104" s="1589" t="e">
        <f>1.0072/M101</f>
        <v>#DIV/0!</v>
      </c>
      <c r="N104" s="1589" t="e">
        <f>1.0072/N101</f>
        <v>#DIV/0!</v>
      </c>
    </row>
    <row r="105" spans="1:14">
      <c r="A105" s="3728"/>
      <c r="B105" s="1588">
        <v>4</v>
      </c>
      <c r="C105" s="1589" t="e">
        <f>0.9622/C101</f>
        <v>#DIV/0!</v>
      </c>
      <c r="D105" s="1589" t="e">
        <f>0.9622/D101</f>
        <v>#DIV/0!</v>
      </c>
      <c r="E105" s="1589" t="e">
        <f>0.8656/E101</f>
        <v>#DIV/0!</v>
      </c>
      <c r="F105" s="1589" t="e">
        <f>0.8656/F101</f>
        <v>#DIV/0!</v>
      </c>
      <c r="G105" s="1589" t="e">
        <f>0.8656/G101</f>
        <v>#DIV/0!</v>
      </c>
      <c r="H105" s="1589" t="e">
        <f>0.8656/H101</f>
        <v>#DIV/0!</v>
      </c>
      <c r="I105" s="1589" t="e">
        <f>0.8656/I101</f>
        <v>#DIV/0!</v>
      </c>
      <c r="J105" s="1589" t="e">
        <f>0.7525/J101</f>
        <v>#DIV/0!</v>
      </c>
      <c r="K105" s="1589" t="e">
        <f>0.7525/K101</f>
        <v>#DIV/0!</v>
      </c>
      <c r="L105" s="1589" t="e">
        <f>0.7525/L101</f>
        <v>#DIV/0!</v>
      </c>
      <c r="M105" s="1589" t="e">
        <f>0.7525/M101</f>
        <v>#DIV/0!</v>
      </c>
      <c r="N105" s="1589" t="e">
        <f>0.7525/N101</f>
        <v>#DIV/0!</v>
      </c>
    </row>
    <row r="106" spans="1:14">
      <c r="A106" s="3728"/>
      <c r="B106" s="1588">
        <v>5</v>
      </c>
      <c r="C106" s="1589" t="e">
        <f>0.8417/C101</f>
        <v>#DIV/0!</v>
      </c>
      <c r="D106" s="1589" t="e">
        <f>0.8417/D101</f>
        <v>#DIV/0!</v>
      </c>
      <c r="E106" s="1589" t="e">
        <f>0.7371/E101</f>
        <v>#DIV/0!</v>
      </c>
      <c r="F106" s="1589" t="e">
        <f>0.7371/F101</f>
        <v>#DIV/0!</v>
      </c>
      <c r="G106" s="1589" t="e">
        <f>0.7371/G101</f>
        <v>#DIV/0!</v>
      </c>
      <c r="H106" s="1589" t="e">
        <f>0.7371/H101</f>
        <v>#DIV/0!</v>
      </c>
      <c r="I106" s="1589" t="e">
        <f>0.7371/I101</f>
        <v>#DIV/0!</v>
      </c>
      <c r="J106" s="1589" t="e">
        <f>0.5659/J101</f>
        <v>#DIV/0!</v>
      </c>
      <c r="K106" s="1589" t="e">
        <f>0.5659/K101</f>
        <v>#DIV/0!</v>
      </c>
      <c r="L106" s="1589" t="e">
        <f>0.5659/L101</f>
        <v>#DIV/0!</v>
      </c>
      <c r="M106" s="1589" t="e">
        <f>0.5659/M101</f>
        <v>#DIV/0!</v>
      </c>
      <c r="N106" s="1589" t="e">
        <f>0.5659/N101</f>
        <v>#DIV/0!</v>
      </c>
    </row>
    <row r="107" spans="1:14">
      <c r="A107" s="3728"/>
      <c r="B107" s="1588">
        <v>6</v>
      </c>
      <c r="C107" s="1589" t="e">
        <f>0.7608/C101</f>
        <v>#DIV/0!</v>
      </c>
      <c r="D107" s="1589" t="e">
        <f>0.7608/D101</f>
        <v>#DIV/0!</v>
      </c>
      <c r="E107" s="1589" t="e">
        <f>0.6482/E101</f>
        <v>#DIV/0!</v>
      </c>
      <c r="F107" s="1589" t="e">
        <f>0.6482/F101</f>
        <v>#DIV/0!</v>
      </c>
      <c r="G107" s="1589" t="e">
        <f>0.6482/G101</f>
        <v>#DIV/0!</v>
      </c>
      <c r="H107" s="1589" t="e">
        <f>0.6482/H101</f>
        <v>#DIV/0!</v>
      </c>
      <c r="I107" s="1589" t="e">
        <f>0.6482/I101</f>
        <v>#DIV/0!</v>
      </c>
      <c r="J107" s="1589" t="e">
        <f>0.4525/J101</f>
        <v>#DIV/0!</v>
      </c>
      <c r="K107" s="1589" t="e">
        <f>0.4525/K101</f>
        <v>#DIV/0!</v>
      </c>
      <c r="L107" s="1589" t="e">
        <f>0.4525/L101</f>
        <v>#DIV/0!</v>
      </c>
      <c r="M107" s="1589" t="e">
        <f>0.4525/M101</f>
        <v>#DIV/0!</v>
      </c>
      <c r="N107" s="1589" t="e">
        <f>0.4525/N101</f>
        <v>#DIV/0!</v>
      </c>
    </row>
    <row r="108" spans="1:14">
      <c r="A108" s="3728"/>
      <c r="B108" s="3730" t="s">
        <v>1761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29"/>
      <c r="B109" s="3731"/>
      <c r="C109" s="1591" t="e">
        <f>(-0.163*(C108^2)-0.59*C108+7617)*(10^(-4))/C101</f>
        <v>#DIV/0!</v>
      </c>
      <c r="D109" s="1591" t="e">
        <f>(-0.163*(D108^2)-0.59*D108+7617)*(10^(-4))/D101</f>
        <v>#DIV/0!</v>
      </c>
      <c r="E109" s="1591" t="e">
        <f>(-0.161*(E108^2)-7.509*E108+6533)*(10^(-4))/E101</f>
        <v>#DIV/0!</v>
      </c>
      <c r="F109" s="1591" t="e">
        <f>(-0.161*(F108^2)-7.509*F108+6533)*(10^(-4))/F101</f>
        <v>#DIV/0!</v>
      </c>
      <c r="G109" s="1591" t="e">
        <f>(-0.161*(G108^2)-7.509*G108+6533)*(10^(-4))/G101</f>
        <v>#DIV/0!</v>
      </c>
      <c r="H109" s="1591" t="e">
        <f>(-0.161*(H108^2)-7.509*H108+6533)*(10^(-4))/H101</f>
        <v>#DIV/0!</v>
      </c>
      <c r="I109" s="1591" t="e">
        <f>(-0.161*(I108^2)-7.509*I108+6533)*(10^(-4))/I101</f>
        <v>#DIV/0!</v>
      </c>
      <c r="J109" s="1591" t="e">
        <f>(-0.214*(J108^2)-21.991*J108+4665)*(10^(-4))/J101</f>
        <v>#DIV/0!</v>
      </c>
      <c r="K109" s="1591" t="e">
        <f>(-0.214*(K108^2)-21.991*K108+4665)*(10^(-4))/K101</f>
        <v>#DIV/0!</v>
      </c>
      <c r="L109" s="1591" t="e">
        <f>(-0.214*(L108^2)-21.991*L108+4665)*(10^(-4))/L101</f>
        <v>#DIV/0!</v>
      </c>
      <c r="M109" s="1591" t="e">
        <f>(-0.214*(M108^2)-21.991*M108+4665)*(10^(-4))/M101</f>
        <v>#DIV/0!</v>
      </c>
      <c r="N109" s="1591" t="e">
        <f>(-0.214*(N108^2)-21.991*N108+4665)*(10^(-4))/N101</f>
        <v>#DIV/0!</v>
      </c>
    </row>
    <row r="110" spans="1:14">
      <c r="A110" s="3725" t="s">
        <v>1762</v>
      </c>
      <c r="B110" s="3725"/>
      <c r="C110" s="3725"/>
      <c r="D110" s="3725"/>
      <c r="E110" s="3725"/>
      <c r="F110" s="3725"/>
      <c r="G110" s="3725"/>
      <c r="H110" s="3725"/>
      <c r="I110" s="3725"/>
      <c r="J110" s="3725"/>
      <c r="K110" s="2604"/>
      <c r="L110" s="2604"/>
      <c r="M110" s="2604"/>
      <c r="N110" s="2604"/>
    </row>
    <row r="112" spans="1:14" ht="12.75" thickBot="1"/>
    <row r="113" spans="1:13" ht="25.5" thickBot="1">
      <c r="A113" s="1601" t="s">
        <v>1764</v>
      </c>
      <c r="B113" s="2607" t="e">
        <f>G3</f>
        <v>#DIV/0!</v>
      </c>
      <c r="C113" s="1602" t="s">
        <v>1765</v>
      </c>
      <c r="D113" s="1603" t="e">
        <f>SUMPRODUCT((A115:A118=F113)*(B114:M114=H113)*B115:M118)</f>
        <v>#DIV/0!</v>
      </c>
      <c r="E113" s="1604" t="s">
        <v>65</v>
      </c>
      <c r="F113" s="1605">
        <f>E2</f>
        <v>0</v>
      </c>
      <c r="G113" s="1604" t="s">
        <v>1554</v>
      </c>
      <c r="H113" s="1605">
        <f>G2</f>
        <v>0</v>
      </c>
      <c r="I113" s="1604"/>
      <c r="J113" s="1596"/>
      <c r="K113" s="1596"/>
      <c r="L113" s="1596"/>
      <c r="M113" s="1596"/>
    </row>
    <row r="114" spans="1:13" ht="12.75">
      <c r="A114" s="1608"/>
      <c r="B114" s="1609" t="s">
        <v>162</v>
      </c>
      <c r="C114" s="1609" t="s">
        <v>163</v>
      </c>
      <c r="D114" s="1609" t="s">
        <v>158</v>
      </c>
      <c r="E114" s="1610" t="s">
        <v>159</v>
      </c>
      <c r="F114" s="1610" t="s">
        <v>160</v>
      </c>
      <c r="G114" s="1610" t="s">
        <v>161</v>
      </c>
      <c r="H114" s="1611" t="s">
        <v>1171</v>
      </c>
      <c r="I114" s="1611" t="s">
        <v>1172</v>
      </c>
      <c r="J114" s="1612" t="s">
        <v>1173</v>
      </c>
      <c r="K114" s="1612" t="s">
        <v>1174</v>
      </c>
      <c r="L114" s="1612" t="s">
        <v>1175</v>
      </c>
      <c r="M114" s="1613" t="s">
        <v>1176</v>
      </c>
    </row>
    <row r="115" spans="1:13" ht="12.75">
      <c r="A115" s="1614" t="s">
        <v>1766</v>
      </c>
      <c r="B115" s="1615" t="e">
        <f>ROUND(0.9335-0.0094*B113,4)</f>
        <v>#DIV/0!</v>
      </c>
      <c r="C115" s="1615" t="e">
        <f>B115</f>
        <v>#DIV/0!</v>
      </c>
      <c r="D115" s="1615" t="e">
        <f>ROUND(0.8331-0.0109*B113,4)</f>
        <v>#DIV/0!</v>
      </c>
      <c r="E115" s="1615" t="e">
        <f>D115</f>
        <v>#DIV/0!</v>
      </c>
      <c r="F115" s="1615" t="e">
        <f>E115</f>
        <v>#DIV/0!</v>
      </c>
      <c r="G115" s="1615" t="e">
        <f>F115</f>
        <v>#DIV/0!</v>
      </c>
      <c r="H115" s="1615" t="e">
        <f>G115</f>
        <v>#DIV/0!</v>
      </c>
      <c r="I115" s="1615" t="e">
        <f>ROUND(0.689-0.0155*B113,4)</f>
        <v>#DIV/0!</v>
      </c>
      <c r="J115" s="1615" t="e">
        <f t="shared" ref="J115:M118" si="33">I115</f>
        <v>#DIV/0!</v>
      </c>
      <c r="K115" s="1615" t="e">
        <f t="shared" si="33"/>
        <v>#DIV/0!</v>
      </c>
      <c r="L115" s="1615" t="e">
        <f t="shared" si="33"/>
        <v>#DIV/0!</v>
      </c>
      <c r="M115" s="1616" t="e">
        <f t="shared" si="33"/>
        <v>#DIV/0!</v>
      </c>
    </row>
    <row r="116" spans="1:13" ht="12.75">
      <c r="A116" s="1614" t="s">
        <v>1767</v>
      </c>
      <c r="B116" s="1615" t="e">
        <f>ROUND(0.949-0.012*B113,4)</f>
        <v>#DIV/0!</v>
      </c>
      <c r="C116" s="1615" t="e">
        <f>B116</f>
        <v>#DIV/0!</v>
      </c>
      <c r="D116" s="1615" t="e">
        <f>ROUND(0.8567-0.013*B113,4)</f>
        <v>#DIV/0!</v>
      </c>
      <c r="E116" s="1615" t="e">
        <f t="shared" ref="E116:H117" si="34">D116</f>
        <v>#DIV/0!</v>
      </c>
      <c r="F116" s="1615" t="e">
        <f t="shared" si="34"/>
        <v>#DIV/0!</v>
      </c>
      <c r="G116" s="1615" t="e">
        <f t="shared" si="34"/>
        <v>#DIV/0!</v>
      </c>
      <c r="H116" s="1615" t="e">
        <f t="shared" si="34"/>
        <v>#DIV/0!</v>
      </c>
      <c r="I116" s="1615" t="e">
        <f>ROUND(0.7694-0.014*B113,4)</f>
        <v>#DIV/0!</v>
      </c>
      <c r="J116" s="1615" t="e">
        <f t="shared" si="33"/>
        <v>#DIV/0!</v>
      </c>
      <c r="K116" s="1615" t="e">
        <f t="shared" si="33"/>
        <v>#DIV/0!</v>
      </c>
      <c r="L116" s="1615" t="e">
        <f t="shared" si="33"/>
        <v>#DIV/0!</v>
      </c>
      <c r="M116" s="1616" t="e">
        <f t="shared" si="33"/>
        <v>#DIV/0!</v>
      </c>
    </row>
    <row r="117" spans="1:13" ht="12.75">
      <c r="A117" s="1617" t="s">
        <v>977</v>
      </c>
      <c r="B117" s="1615" t="e">
        <f>ROUND(0.8808-0.006*B113,4)</f>
        <v>#DIV/0!</v>
      </c>
      <c r="C117" s="1615" t="e">
        <f>B117</f>
        <v>#DIV/0!</v>
      </c>
      <c r="D117" s="1615" t="e">
        <f>ROUND(0.8748-0.008*B113,4)</f>
        <v>#DIV/0!</v>
      </c>
      <c r="E117" s="1615" t="e">
        <f t="shared" si="34"/>
        <v>#DIV/0!</v>
      </c>
      <c r="F117" s="1615" t="e">
        <f t="shared" si="34"/>
        <v>#DIV/0!</v>
      </c>
      <c r="G117" s="1615" t="e">
        <f t="shared" si="34"/>
        <v>#DIV/0!</v>
      </c>
      <c r="H117" s="1615" t="e">
        <f t="shared" si="34"/>
        <v>#DIV/0!</v>
      </c>
      <c r="I117" s="1615" t="e">
        <f>ROUND(0.7412-0.0095*B113,4)</f>
        <v>#DIV/0!</v>
      </c>
      <c r="J117" s="1615" t="e">
        <f t="shared" si="33"/>
        <v>#DIV/0!</v>
      </c>
      <c r="K117" s="1615" t="e">
        <f t="shared" si="33"/>
        <v>#DIV/0!</v>
      </c>
      <c r="L117" s="1615" t="e">
        <f t="shared" si="33"/>
        <v>#DIV/0!</v>
      </c>
      <c r="M117" s="1616" t="e">
        <f t="shared" si="33"/>
        <v>#DIV/0!</v>
      </c>
    </row>
    <row r="118" spans="1:13" ht="13.5" thickBot="1">
      <c r="A118" s="1121" t="s">
        <v>1768</v>
      </c>
      <c r="B118" s="1618" t="e">
        <f>ROUND(0.7275-0.01*B113,4)</f>
        <v>#DIV/0!</v>
      </c>
      <c r="C118" s="1618" t="e">
        <f>B118</f>
        <v>#DIV/0!</v>
      </c>
      <c r="D118" s="1618" t="e">
        <f>ROUND(0.7043-0.012*B113,4)</f>
        <v>#DIV/0!</v>
      </c>
      <c r="E118" s="1618" t="e">
        <f>D118</f>
        <v>#DIV/0!</v>
      </c>
      <c r="F118" s="1618" t="e">
        <f>E118</f>
        <v>#DIV/0!</v>
      </c>
      <c r="G118" s="1618" t="e">
        <f>ROUND(0.6299-0.0122*B113,4)</f>
        <v>#DIV/0!</v>
      </c>
      <c r="H118" s="1618" t="e">
        <f>G118</f>
        <v>#DIV/0!</v>
      </c>
      <c r="I118" s="1618" t="e">
        <f>ROUND(0.5667-0.0136*B113,4)</f>
        <v>#DIV/0!</v>
      </c>
      <c r="J118" s="1618" t="e">
        <f t="shared" si="33"/>
        <v>#DIV/0!</v>
      </c>
      <c r="K118" s="1618" t="e">
        <f t="shared" si="33"/>
        <v>#DIV/0!</v>
      </c>
      <c r="L118" s="1618" t="e">
        <f t="shared" si="33"/>
        <v>#DIV/0!</v>
      </c>
      <c r="M118" s="1619" t="e">
        <f t="shared" si="33"/>
        <v>#DIV/0!</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1554</v>
      </c>
      <c r="B1" s="1520" t="s">
        <v>1165</v>
      </c>
      <c r="C1" s="1520" t="s">
        <v>1166</v>
      </c>
      <c r="D1" s="1520" t="s">
        <v>1167</v>
      </c>
      <c r="E1" s="1520" t="s">
        <v>1168</v>
      </c>
      <c r="F1" s="1520" t="s">
        <v>1169</v>
      </c>
      <c r="G1" s="1520" t="s">
        <v>1170</v>
      </c>
      <c r="H1" s="1520" t="s">
        <v>1171</v>
      </c>
      <c r="I1" s="1520" t="s">
        <v>1172</v>
      </c>
      <c r="J1" s="1520" t="s">
        <v>1173</v>
      </c>
      <c r="K1" s="1520" t="s">
        <v>1174</v>
      </c>
      <c r="L1" s="1520" t="s">
        <v>1175</v>
      </c>
      <c r="M1" s="1521" t="s">
        <v>1176</v>
      </c>
    </row>
    <row r="2" spans="1:13" ht="19.5" customHeight="1">
      <c r="A2" s="1546" t="s">
        <v>1191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1194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1555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1556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1557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1558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1559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1564</v>
      </c>
      <c r="B16" s="1565"/>
      <c r="C16" s="1566"/>
      <c r="D16" s="1566"/>
      <c r="E16" s="1565"/>
      <c r="F16" s="1566"/>
      <c r="G16" s="1566"/>
    </row>
    <row r="17" spans="1:9" ht="19.5" customHeight="1">
      <c r="A17" s="1497" t="s">
        <v>1565</v>
      </c>
      <c r="B17" s="1568" t="s">
        <v>1566</v>
      </c>
      <c r="C17" s="1750" t="s">
        <v>1864</v>
      </c>
      <c r="D17" s="1569"/>
      <c r="E17" s="1497" t="s">
        <v>1567</v>
      </c>
      <c r="F17" s="1570"/>
      <c r="G17" s="1570"/>
    </row>
    <row r="18" spans="1:9" s="1576" customFormat="1" ht="19.5" customHeight="1">
      <c r="A18" s="3726" t="s">
        <v>1191</v>
      </c>
      <c r="B18" s="1571" t="s">
        <v>1568</v>
      </c>
      <c r="C18" s="1572" t="s">
        <v>1569</v>
      </c>
      <c r="D18" s="1573"/>
      <c r="E18" s="1571">
        <v>1</v>
      </c>
      <c r="F18" s="1574" t="s">
        <v>1570</v>
      </c>
      <c r="G18" s="1575"/>
      <c r="H18" s="1567"/>
      <c r="I18" s="1567"/>
    </row>
    <row r="19" spans="1:9" s="1576" customFormat="1" ht="19.5" customHeight="1">
      <c r="A19" s="3726"/>
      <c r="B19" s="3726" t="s">
        <v>1571</v>
      </c>
      <c r="C19" s="1572" t="s">
        <v>1572</v>
      </c>
      <c r="D19" s="1573"/>
      <c r="E19" s="1571">
        <v>0.9</v>
      </c>
      <c r="F19" s="1574" t="s">
        <v>1573</v>
      </c>
      <c r="G19" s="1575"/>
      <c r="H19" s="1567"/>
      <c r="I19" s="1567"/>
    </row>
    <row r="20" spans="1:9" s="1576" customFormat="1" ht="19.5" customHeight="1">
      <c r="A20" s="3726"/>
      <c r="B20" s="3726"/>
      <c r="C20" s="1572" t="s">
        <v>1574</v>
      </c>
      <c r="D20" s="1573"/>
      <c r="E20" s="1571">
        <v>1.1000000000000001</v>
      </c>
      <c r="F20" s="1574" t="s">
        <v>1575</v>
      </c>
      <c r="G20" s="1575"/>
      <c r="H20" s="1567"/>
      <c r="I20" s="1567"/>
    </row>
    <row r="21" spans="1:9" s="1576" customFormat="1" ht="19.5" customHeight="1">
      <c r="A21" s="3726"/>
      <c r="B21" s="3726"/>
      <c r="C21" s="1572" t="s">
        <v>1576</v>
      </c>
      <c r="D21" s="1573"/>
      <c r="E21" s="1571">
        <v>0.8</v>
      </c>
      <c r="F21" s="1574" t="s">
        <v>1577</v>
      </c>
      <c r="G21" s="1575"/>
      <c r="H21" s="1567"/>
      <c r="I21" s="1567"/>
    </row>
    <row r="22" spans="1:9" s="1576" customFormat="1" ht="19.5" customHeight="1">
      <c r="A22" s="3726"/>
      <c r="B22" s="3726"/>
      <c r="C22" s="1572" t="s">
        <v>1578</v>
      </c>
      <c r="D22" s="1573"/>
      <c r="E22" s="1571">
        <v>0.5</v>
      </c>
      <c r="F22" s="1574"/>
      <c r="G22" s="1575"/>
      <c r="H22" s="1567"/>
      <c r="I22" s="1567"/>
    </row>
    <row r="23" spans="1:9" s="1576" customFormat="1" ht="19.5" customHeight="1">
      <c r="A23" s="3726" t="s">
        <v>1192</v>
      </c>
      <c r="B23" s="1571" t="s">
        <v>1568</v>
      </c>
      <c r="C23" s="1572" t="s">
        <v>1579</v>
      </c>
      <c r="D23" s="1573"/>
      <c r="E23" s="1571">
        <v>1</v>
      </c>
      <c r="F23" s="1574" t="s">
        <v>1580</v>
      </c>
      <c r="G23" s="1575"/>
      <c r="H23" s="1567"/>
      <c r="I23" s="1567"/>
    </row>
    <row r="24" spans="1:9" s="1576" customFormat="1" ht="19.5" customHeight="1">
      <c r="A24" s="3726"/>
      <c r="B24" s="3726" t="s">
        <v>1571</v>
      </c>
      <c r="C24" s="1572" t="s">
        <v>1581</v>
      </c>
      <c r="D24" s="1573"/>
      <c r="E24" s="1571">
        <v>0.5</v>
      </c>
      <c r="F24" s="1574"/>
      <c r="G24" s="1575"/>
      <c r="H24" s="1567"/>
      <c r="I24" s="1567"/>
    </row>
    <row r="25" spans="1:9" s="1576" customFormat="1" ht="19.5" customHeight="1">
      <c r="A25" s="3726"/>
      <c r="B25" s="3726"/>
      <c r="C25" s="1572" t="s">
        <v>1582</v>
      </c>
      <c r="D25" s="1573"/>
      <c r="E25" s="1571">
        <v>1.1000000000000001</v>
      </c>
      <c r="F25" s="1574"/>
      <c r="G25" s="1575"/>
      <c r="H25" s="1567"/>
      <c r="I25" s="1567"/>
    </row>
    <row r="26" spans="1:9" s="1576" customFormat="1" ht="19.5" customHeight="1">
      <c r="A26" s="3726"/>
      <c r="B26" s="3726"/>
      <c r="C26" s="1572" t="s">
        <v>1583</v>
      </c>
      <c r="D26" s="1573"/>
      <c r="E26" s="1571">
        <v>1.1000000000000001</v>
      </c>
      <c r="F26" s="1574"/>
      <c r="G26" s="1575"/>
      <c r="H26" s="1567"/>
      <c r="I26" s="1567"/>
    </row>
    <row r="27" spans="1:9" s="1576" customFormat="1" ht="19.5" customHeight="1">
      <c r="A27" s="3726"/>
      <c r="B27" s="3726"/>
      <c r="C27" s="1572" t="s">
        <v>1584</v>
      </c>
      <c r="D27" s="1573"/>
      <c r="E27" s="1571">
        <v>0.9</v>
      </c>
      <c r="F27" s="1574" t="s">
        <v>1585</v>
      </c>
      <c r="G27" s="1575"/>
      <c r="H27" s="1567"/>
      <c r="I27" s="1567"/>
    </row>
    <row r="28" spans="1:9" s="1576" customFormat="1" ht="19.5" customHeight="1">
      <c r="A28" s="3726"/>
      <c r="B28" s="3726"/>
      <c r="C28" s="1572" t="s">
        <v>1586</v>
      </c>
      <c r="D28" s="1573"/>
      <c r="E28" s="1571">
        <v>0.9</v>
      </c>
      <c r="F28" s="1574" t="s">
        <v>1587</v>
      </c>
      <c r="G28" s="1575"/>
      <c r="H28" s="1567"/>
      <c r="I28" s="1567"/>
    </row>
    <row r="29" spans="1:9" s="1576" customFormat="1" ht="19.5" customHeight="1">
      <c r="A29" s="3726"/>
      <c r="B29" s="3726"/>
      <c r="C29" s="1572" t="s">
        <v>1588</v>
      </c>
      <c r="D29" s="1573"/>
      <c r="E29" s="1571">
        <v>0.9</v>
      </c>
      <c r="F29" s="1574" t="s">
        <v>1589</v>
      </c>
      <c r="G29" s="1575"/>
      <c r="H29" s="1567"/>
      <c r="I29" s="1567"/>
    </row>
    <row r="30" spans="1:9" s="1576" customFormat="1" ht="19.5" customHeight="1">
      <c r="A30" s="3726"/>
      <c r="B30" s="3726"/>
      <c r="C30" s="1572" t="s">
        <v>1590</v>
      </c>
      <c r="D30" s="1573"/>
      <c r="E30" s="1571">
        <v>0.9</v>
      </c>
      <c r="F30" s="1574" t="s">
        <v>1591</v>
      </c>
      <c r="G30" s="1575"/>
      <c r="H30" s="1567"/>
      <c r="I30" s="1567"/>
    </row>
    <row r="31" spans="1:9" s="1576" customFormat="1" ht="19.5" customHeight="1">
      <c r="A31" s="3726"/>
      <c r="B31" s="3726"/>
      <c r="C31" s="1572" t="s">
        <v>1592</v>
      </c>
      <c r="D31" s="1573"/>
      <c r="E31" s="1571">
        <v>0.8</v>
      </c>
      <c r="F31" s="1574" t="s">
        <v>1593</v>
      </c>
      <c r="G31" s="1575"/>
      <c r="H31" s="1567"/>
      <c r="I31" s="1567"/>
    </row>
    <row r="32" spans="1:9" s="1576" customFormat="1" ht="19.5" customHeight="1">
      <c r="A32" s="3726"/>
      <c r="B32" s="3726"/>
      <c r="C32" s="1572" t="s">
        <v>1594</v>
      </c>
      <c r="D32" s="1573"/>
      <c r="E32" s="1571">
        <v>0.8</v>
      </c>
      <c r="F32" s="1574" t="s">
        <v>1595</v>
      </c>
      <c r="G32" s="1575"/>
      <c r="H32" s="1567"/>
      <c r="I32" s="1567"/>
    </row>
    <row r="33" spans="1:9" s="1576" customFormat="1" ht="19.5" customHeight="1">
      <c r="A33" s="3726" t="s">
        <v>1193</v>
      </c>
      <c r="B33" s="1571" t="s">
        <v>1568</v>
      </c>
      <c r="C33" s="1572" t="s">
        <v>1596</v>
      </c>
      <c r="D33" s="1573"/>
      <c r="E33" s="1571">
        <v>1</v>
      </c>
      <c r="F33" s="1574" t="s">
        <v>1597</v>
      </c>
      <c r="G33" s="1575"/>
      <c r="H33" s="1567"/>
      <c r="I33" s="1567"/>
    </row>
    <row r="34" spans="1:9" s="1576" customFormat="1" ht="19.5" customHeight="1">
      <c r="A34" s="3726"/>
      <c r="B34" s="1571" t="s">
        <v>1571</v>
      </c>
      <c r="C34" s="1572" t="s">
        <v>1598</v>
      </c>
      <c r="D34" s="1573"/>
      <c r="E34" s="1571">
        <v>1.5</v>
      </c>
      <c r="F34" s="1574" t="s">
        <v>1599</v>
      </c>
      <c r="G34" s="1575"/>
      <c r="H34" s="1567"/>
      <c r="I34" s="1567"/>
    </row>
    <row r="35" spans="1:9" s="1576" customFormat="1" ht="19.5" customHeight="1">
      <c r="A35" s="3726" t="s">
        <v>1194</v>
      </c>
      <c r="B35" s="1571" t="s">
        <v>1568</v>
      </c>
      <c r="C35" s="1572" t="s">
        <v>1600</v>
      </c>
      <c r="D35" s="1573"/>
      <c r="E35" s="1571">
        <v>1</v>
      </c>
      <c r="F35" s="1574" t="s">
        <v>1601</v>
      </c>
      <c r="G35" s="1575"/>
      <c r="H35" s="1567"/>
      <c r="I35" s="1567"/>
    </row>
    <row r="36" spans="1:9" s="1576" customFormat="1" ht="19.5" customHeight="1">
      <c r="A36" s="3726"/>
      <c r="B36" s="3726" t="s">
        <v>1571</v>
      </c>
      <c r="C36" s="1572" t="s">
        <v>1602</v>
      </c>
      <c r="D36" s="1573"/>
      <c r="E36" s="1571">
        <v>1</v>
      </c>
      <c r="F36" s="1574" t="s">
        <v>1603</v>
      </c>
      <c r="G36" s="1575"/>
      <c r="H36" s="1567"/>
      <c r="I36" s="1567"/>
    </row>
    <row r="37" spans="1:9" s="1576" customFormat="1" ht="19.5" customHeight="1">
      <c r="A37" s="3726"/>
      <c r="B37" s="3726"/>
      <c r="C37" s="1572" t="s">
        <v>1604</v>
      </c>
      <c r="D37" s="1573"/>
      <c r="E37" s="1571">
        <v>1.5</v>
      </c>
      <c r="F37" s="1574" t="s">
        <v>1605</v>
      </c>
      <c r="G37" s="1575"/>
      <c r="H37" s="1567"/>
      <c r="I37" s="1567"/>
    </row>
    <row r="38" spans="1:9" s="1576" customFormat="1" ht="19.5" customHeight="1">
      <c r="A38" s="3726"/>
      <c r="B38" s="3726"/>
      <c r="C38" s="1572" t="s">
        <v>1606</v>
      </c>
      <c r="D38" s="1573"/>
      <c r="E38" s="1571">
        <v>1</v>
      </c>
      <c r="F38" s="1574" t="s">
        <v>1607</v>
      </c>
      <c r="G38" s="1575"/>
      <c r="H38" s="1567"/>
      <c r="I38" s="1567"/>
    </row>
    <row r="39" spans="1:9" s="1576" customFormat="1" ht="19.5" customHeight="1">
      <c r="A39" s="3726"/>
      <c r="B39" s="3726"/>
      <c r="C39" s="1572" t="s">
        <v>1608</v>
      </c>
      <c r="D39" s="1573"/>
      <c r="E39" s="1571">
        <v>1</v>
      </c>
      <c r="F39" s="1574" t="s">
        <v>1609</v>
      </c>
      <c r="G39" s="1575"/>
      <c r="H39" s="1567"/>
      <c r="I39" s="1567"/>
    </row>
    <row r="40" spans="1:9" s="1576" customFormat="1" ht="19.5" customHeight="1">
      <c r="A40" s="1577" t="s">
        <v>1610</v>
      </c>
      <c r="B40" s="1577"/>
      <c r="C40" s="1577"/>
      <c r="D40" s="1577"/>
      <c r="E40" s="1577"/>
      <c r="F40" s="1578"/>
      <c r="G40" s="1578"/>
      <c r="H40" s="1567"/>
      <c r="I40" s="1567"/>
    </row>
    <row r="42" spans="1:9" ht="19.5" customHeight="1">
      <c r="A42" s="1579"/>
      <c r="B42" s="1497" t="s">
        <v>1611</v>
      </c>
      <c r="C42" s="1497" t="s">
        <v>1611</v>
      </c>
      <c r="D42" s="1497" t="s">
        <v>1611</v>
      </c>
      <c r="E42" s="1508" t="s">
        <v>1611</v>
      </c>
      <c r="F42" s="1508" t="s">
        <v>1611</v>
      </c>
      <c r="G42" s="1508" t="s">
        <v>1612</v>
      </c>
      <c r="H42" s="1508" t="s">
        <v>1611</v>
      </c>
    </row>
    <row r="43" spans="1:9" ht="19.5" customHeight="1">
      <c r="A43" s="1580"/>
      <c r="B43" s="1508" t="s">
        <v>1191</v>
      </c>
      <c r="C43" s="1508" t="s">
        <v>1191</v>
      </c>
      <c r="D43" s="1508" t="s">
        <v>1191</v>
      </c>
      <c r="E43" s="1508" t="s">
        <v>1191</v>
      </c>
      <c r="F43" s="1497" t="s">
        <v>1192</v>
      </c>
      <c r="G43" s="1497" t="s">
        <v>1194</v>
      </c>
      <c r="H43" s="1497" t="s">
        <v>1613</v>
      </c>
    </row>
    <row r="44" spans="1:9" ht="19.5" customHeight="1">
      <c r="A44" s="1581"/>
      <c r="B44" s="1497">
        <v>1</v>
      </c>
      <c r="C44" s="1497">
        <v>2</v>
      </c>
      <c r="D44" s="1497">
        <v>3</v>
      </c>
      <c r="E44" s="1508">
        <v>4</v>
      </c>
      <c r="F44" s="1569" t="s">
        <v>1614</v>
      </c>
      <c r="G44" s="1569" t="s">
        <v>1614</v>
      </c>
      <c r="H44" s="1569" t="s">
        <v>1614</v>
      </c>
    </row>
    <row r="45" spans="1:9" ht="19.5" customHeight="1">
      <c r="A45" s="1582" t="s">
        <v>1165</v>
      </c>
      <c r="B45" s="1497">
        <v>0.8</v>
      </c>
      <c r="C45" s="1497">
        <v>0.5</v>
      </c>
      <c r="D45" s="1497">
        <v>0.36</v>
      </c>
      <c r="E45" s="1497">
        <v>0.3</v>
      </c>
      <c r="F45" s="1569">
        <v>0.3</v>
      </c>
      <c r="G45" s="1497">
        <v>0.3</v>
      </c>
      <c r="H45" s="1497">
        <v>0.25</v>
      </c>
    </row>
    <row r="46" spans="1:9" ht="19.5" customHeight="1">
      <c r="A46" s="1582" t="s">
        <v>1166</v>
      </c>
      <c r="B46" s="1497">
        <v>0.8</v>
      </c>
      <c r="C46" s="1497">
        <v>0.5</v>
      </c>
      <c r="D46" s="1497">
        <v>0.36</v>
      </c>
      <c r="E46" s="1497">
        <v>0.3</v>
      </c>
      <c r="F46" s="1497">
        <v>0.3</v>
      </c>
      <c r="G46" s="1497">
        <v>0.3</v>
      </c>
      <c r="H46" s="1497">
        <v>0.25</v>
      </c>
    </row>
    <row r="47" spans="1:9" ht="19.5" customHeight="1">
      <c r="A47" s="1582" t="s">
        <v>1167</v>
      </c>
      <c r="B47" s="1497">
        <v>0.7</v>
      </c>
      <c r="C47" s="1497">
        <v>0.4</v>
      </c>
      <c r="D47" s="1497">
        <v>0.28000000000000003</v>
      </c>
      <c r="E47" s="1497">
        <v>0.25</v>
      </c>
      <c r="F47" s="1497">
        <v>0.25</v>
      </c>
      <c r="G47" s="1497">
        <v>0.25</v>
      </c>
      <c r="H47" s="1497">
        <v>0.2</v>
      </c>
    </row>
    <row r="48" spans="1:9" ht="19.5" customHeight="1">
      <c r="A48" s="1582" t="s">
        <v>1168</v>
      </c>
      <c r="B48" s="1497">
        <v>0.7</v>
      </c>
      <c r="C48" s="1497">
        <v>0.4</v>
      </c>
      <c r="D48" s="1497">
        <v>0.28000000000000003</v>
      </c>
      <c r="E48" s="1497">
        <v>0.25</v>
      </c>
      <c r="F48" s="1497">
        <v>0.25</v>
      </c>
      <c r="G48" s="1497">
        <v>0.25</v>
      </c>
      <c r="H48" s="1497">
        <v>0.2</v>
      </c>
    </row>
    <row r="49" spans="1:8" s="1567" customFormat="1" ht="19.5" customHeight="1">
      <c r="A49" s="1582" t="s">
        <v>1169</v>
      </c>
      <c r="B49" s="1497">
        <v>0.7</v>
      </c>
      <c r="C49" s="1497">
        <v>0.4</v>
      </c>
      <c r="D49" s="1497">
        <v>0.28000000000000003</v>
      </c>
      <c r="E49" s="1497">
        <v>0.25</v>
      </c>
      <c r="F49" s="1497">
        <v>0.25</v>
      </c>
      <c r="G49" s="1497">
        <v>0.25</v>
      </c>
      <c r="H49" s="1497">
        <v>0.2</v>
      </c>
    </row>
    <row r="50" spans="1:8" s="1567" customFormat="1" ht="19.5" customHeight="1">
      <c r="A50" s="1582" t="s">
        <v>1170</v>
      </c>
      <c r="B50" s="1497">
        <v>0.7</v>
      </c>
      <c r="C50" s="1497">
        <v>0.4</v>
      </c>
      <c r="D50" s="1497">
        <v>0.28000000000000003</v>
      </c>
      <c r="E50" s="1497">
        <v>0.25</v>
      </c>
      <c r="F50" s="1497">
        <v>0.25</v>
      </c>
      <c r="G50" s="1497">
        <v>0.25</v>
      </c>
      <c r="H50" s="1497">
        <v>0.2</v>
      </c>
    </row>
    <row r="51" spans="1:8" s="1567" customFormat="1" ht="19.5" customHeight="1">
      <c r="A51" s="1582" t="s">
        <v>1171</v>
      </c>
      <c r="B51" s="1497">
        <v>0.7</v>
      </c>
      <c r="C51" s="1497">
        <v>0.4</v>
      </c>
      <c r="D51" s="1497">
        <v>0.28000000000000003</v>
      </c>
      <c r="E51" s="1497">
        <v>0.25</v>
      </c>
      <c r="F51" s="1497">
        <v>0.25</v>
      </c>
      <c r="G51" s="1497">
        <v>0.25</v>
      </c>
      <c r="H51" s="1497">
        <v>0.2</v>
      </c>
    </row>
    <row r="52" spans="1:8" s="1567" customFormat="1" ht="19.5" customHeight="1">
      <c r="A52" s="1582" t="s">
        <v>1172</v>
      </c>
      <c r="B52" s="1497">
        <v>0.6</v>
      </c>
      <c r="C52" s="1497">
        <v>0.3</v>
      </c>
      <c r="D52" s="1497">
        <v>0.2</v>
      </c>
      <c r="E52" s="1497">
        <v>0.2</v>
      </c>
      <c r="F52" s="1497">
        <v>0.2</v>
      </c>
      <c r="G52" s="1497">
        <v>0.2</v>
      </c>
      <c r="H52" s="1497">
        <v>0.15</v>
      </c>
    </row>
    <row r="53" spans="1:8" s="1567" customFormat="1" ht="19.5" customHeight="1">
      <c r="A53" s="1582" t="s">
        <v>1173</v>
      </c>
      <c r="B53" s="1497">
        <v>0.6</v>
      </c>
      <c r="C53" s="1497">
        <v>0.3</v>
      </c>
      <c r="D53" s="1497">
        <v>0.2</v>
      </c>
      <c r="E53" s="1497">
        <v>0.2</v>
      </c>
      <c r="F53" s="1497">
        <v>0.2</v>
      </c>
      <c r="G53" s="1497">
        <v>0.2</v>
      </c>
      <c r="H53" s="1497">
        <v>0.15</v>
      </c>
    </row>
    <row r="54" spans="1:8" s="1567" customFormat="1" ht="19.5" customHeight="1">
      <c r="A54" s="1582" t="s">
        <v>1174</v>
      </c>
      <c r="B54" s="1497">
        <v>0.6</v>
      </c>
      <c r="C54" s="1497">
        <v>0.3</v>
      </c>
      <c r="D54" s="1497">
        <v>0.2</v>
      </c>
      <c r="E54" s="1497">
        <v>0.2</v>
      </c>
      <c r="F54" s="1497">
        <v>0.2</v>
      </c>
      <c r="G54" s="1497">
        <v>0.2</v>
      </c>
      <c r="H54" s="1497">
        <v>0.15</v>
      </c>
    </row>
    <row r="55" spans="1:8" s="1567" customFormat="1" ht="19.5" customHeight="1">
      <c r="A55" s="1582" t="s">
        <v>1175</v>
      </c>
      <c r="B55" s="1497">
        <v>0.6</v>
      </c>
      <c r="C55" s="1497">
        <v>0.3</v>
      </c>
      <c r="D55" s="1497">
        <v>0.2</v>
      </c>
      <c r="E55" s="1497">
        <v>0.2</v>
      </c>
      <c r="F55" s="1497">
        <v>0.2</v>
      </c>
      <c r="G55" s="1497">
        <v>0.2</v>
      </c>
      <c r="H55" s="1497">
        <v>0.15</v>
      </c>
    </row>
    <row r="56" spans="1:8" s="1567" customFormat="1" ht="19.5" customHeight="1">
      <c r="A56" s="1582" t="s">
        <v>1176</v>
      </c>
      <c r="B56" s="1497">
        <v>0.6</v>
      </c>
      <c r="C56" s="1497">
        <v>0.3</v>
      </c>
      <c r="D56" s="1497">
        <v>0.2</v>
      </c>
      <c r="E56" s="1497">
        <v>0.2</v>
      </c>
      <c r="F56" s="1497">
        <v>0.2</v>
      </c>
      <c r="G56" s="1497">
        <v>0.2</v>
      </c>
      <c r="H56" s="1497">
        <v>0.15</v>
      </c>
    </row>
    <row r="58" spans="1:8" s="1567" customFormat="1" ht="19.5" customHeight="1">
      <c r="A58" s="1583"/>
      <c r="B58" s="1565"/>
      <c r="C58" s="1565"/>
      <c r="D58" s="1565" t="s">
        <v>1615</v>
      </c>
      <c r="E58" s="1565"/>
      <c r="F58" s="1565"/>
    </row>
    <row r="59" spans="1:8" s="1567" customFormat="1" ht="19.5" customHeight="1">
      <c r="A59" s="1571" t="s">
        <v>1616</v>
      </c>
      <c r="B59" s="1571" t="s">
        <v>1617</v>
      </c>
      <c r="C59" s="1571" t="s">
        <v>1618</v>
      </c>
      <c r="D59" s="1571" t="s">
        <v>1619</v>
      </c>
      <c r="E59" s="1571" t="s">
        <v>1620</v>
      </c>
      <c r="F59" s="1571" t="s">
        <v>1621</v>
      </c>
    </row>
    <row r="60" spans="1:8" ht="13.5">
      <c r="A60" s="1767"/>
      <c r="B60" s="1767"/>
      <c r="C60" s="1767" t="s">
        <v>1753</v>
      </c>
      <c r="D60" s="1767"/>
      <c r="E60" s="1584" t="s">
        <v>23</v>
      </c>
      <c r="F60" s="1767" t="s">
        <v>23</v>
      </c>
    </row>
    <row r="61" spans="1:8" s="1567" customFormat="1" ht="24">
      <c r="A61" s="1571">
        <v>1</v>
      </c>
      <c r="B61" s="3726" t="s">
        <v>1622</v>
      </c>
      <c r="C61" s="1497" t="s">
        <v>1623</v>
      </c>
      <c r="D61" s="1497" t="s">
        <v>1624</v>
      </c>
      <c r="E61" s="1584">
        <v>0.5</v>
      </c>
      <c r="F61" s="1571">
        <v>80</v>
      </c>
    </row>
    <row r="62" spans="1:8" s="1567" customFormat="1" ht="24">
      <c r="A62" s="1571">
        <v>2</v>
      </c>
      <c r="B62" s="3726"/>
      <c r="C62" s="1497" t="s">
        <v>1625</v>
      </c>
      <c r="D62" s="1497" t="s">
        <v>1626</v>
      </c>
      <c r="E62" s="1584">
        <v>0.5</v>
      </c>
      <c r="F62" s="1571">
        <v>80</v>
      </c>
    </row>
    <row r="63" spans="1:8" s="1567" customFormat="1" ht="36">
      <c r="A63" s="1571">
        <v>3</v>
      </c>
      <c r="B63" s="3726"/>
      <c r="C63" s="1497" t="s">
        <v>1627</v>
      </c>
      <c r="D63" s="1497" t="s">
        <v>1628</v>
      </c>
      <c r="E63" s="1584">
        <v>0.5</v>
      </c>
      <c r="F63" s="1571">
        <v>80</v>
      </c>
    </row>
    <row r="64" spans="1:8" s="1567" customFormat="1" ht="36">
      <c r="A64" s="1571">
        <v>4</v>
      </c>
      <c r="B64" s="3726"/>
      <c r="C64" s="1497" t="s">
        <v>1629</v>
      </c>
      <c r="D64" s="1497" t="s">
        <v>1630</v>
      </c>
      <c r="E64" s="1584">
        <v>0.4</v>
      </c>
      <c r="F64" s="1571">
        <v>60</v>
      </c>
    </row>
    <row r="65" spans="1:6" s="1567" customFormat="1" ht="36">
      <c r="A65" s="1571">
        <v>5</v>
      </c>
      <c r="B65" s="3726"/>
      <c r="C65" s="1497" t="s">
        <v>1631</v>
      </c>
      <c r="D65" s="1497" t="s">
        <v>1632</v>
      </c>
      <c r="E65" s="1584">
        <v>0.2</v>
      </c>
      <c r="F65" s="1571">
        <v>30</v>
      </c>
    </row>
    <row r="66" spans="1:6" s="1567" customFormat="1" ht="36">
      <c r="A66" s="1571">
        <v>6</v>
      </c>
      <c r="B66" s="3726"/>
      <c r="C66" s="1497" t="s">
        <v>1633</v>
      </c>
      <c r="D66" s="1497" t="s">
        <v>1634</v>
      </c>
      <c r="E66" s="1584">
        <v>0.3</v>
      </c>
      <c r="F66" s="1571">
        <v>50</v>
      </c>
    </row>
    <row r="67" spans="1:6" s="1567" customFormat="1" ht="36">
      <c r="A67" s="1571">
        <v>7</v>
      </c>
      <c r="B67" s="3726"/>
      <c r="C67" s="1497" t="s">
        <v>1635</v>
      </c>
      <c r="D67" s="1497" t="s">
        <v>1636</v>
      </c>
      <c r="E67" s="1584">
        <v>0.2</v>
      </c>
      <c r="F67" s="1571">
        <v>30</v>
      </c>
    </row>
    <row r="68" spans="1:6" s="1567" customFormat="1" ht="36">
      <c r="A68" s="1571">
        <v>8</v>
      </c>
      <c r="B68" s="3726"/>
      <c r="C68" s="1497" t="s">
        <v>1637</v>
      </c>
      <c r="D68" s="1497" t="s">
        <v>1638</v>
      </c>
      <c r="E68" s="1584">
        <v>0.2</v>
      </c>
      <c r="F68" s="1571">
        <v>30</v>
      </c>
    </row>
    <row r="69" spans="1:6" s="1567" customFormat="1" ht="36">
      <c r="A69" s="1571">
        <v>9</v>
      </c>
      <c r="B69" s="3726"/>
      <c r="C69" s="1497" t="s">
        <v>1639</v>
      </c>
      <c r="D69" s="1497" t="s">
        <v>1640</v>
      </c>
      <c r="E69" s="1584">
        <v>0.2</v>
      </c>
      <c r="F69" s="1571">
        <v>30</v>
      </c>
    </row>
    <row r="70" spans="1:6" s="1567" customFormat="1" ht="48">
      <c r="A70" s="1571">
        <v>10</v>
      </c>
      <c r="B70" s="3726"/>
      <c r="C70" s="1497" t="s">
        <v>1641</v>
      </c>
      <c r="D70" s="1497" t="s">
        <v>1642</v>
      </c>
      <c r="E70" s="1584">
        <v>0.2</v>
      </c>
      <c r="F70" s="1571">
        <v>30</v>
      </c>
    </row>
    <row r="71" spans="1:6" s="1567" customFormat="1" ht="48">
      <c r="A71" s="1571">
        <v>11</v>
      </c>
      <c r="B71" s="3726"/>
      <c r="C71" s="1497" t="s">
        <v>1643</v>
      </c>
      <c r="D71" s="1497" t="s">
        <v>1644</v>
      </c>
      <c r="E71" s="1584">
        <v>0.2</v>
      </c>
      <c r="F71" s="1571">
        <v>30</v>
      </c>
    </row>
    <row r="72" spans="1:6" s="1567" customFormat="1" ht="36">
      <c r="A72" s="1571">
        <v>12</v>
      </c>
      <c r="B72" s="3726"/>
      <c r="C72" s="1497" t="s">
        <v>1645</v>
      </c>
      <c r="D72" s="1497" t="s">
        <v>1646</v>
      </c>
      <c r="E72" s="1584">
        <v>0.5</v>
      </c>
      <c r="F72" s="1571">
        <v>80</v>
      </c>
    </row>
    <row r="73" spans="1:6" s="1567" customFormat="1" ht="24">
      <c r="A73" s="1571">
        <v>13</v>
      </c>
      <c r="B73" s="3726"/>
      <c r="C73" s="1497" t="s">
        <v>1647</v>
      </c>
      <c r="D73" s="1497" t="s">
        <v>1648</v>
      </c>
      <c r="E73" s="1584">
        <v>0.4</v>
      </c>
      <c r="F73" s="1571">
        <v>60</v>
      </c>
    </row>
    <row r="74" spans="1:6" s="1567" customFormat="1" ht="24">
      <c r="A74" s="1571">
        <v>14</v>
      </c>
      <c r="B74" s="3726"/>
      <c r="C74" s="1497" t="s">
        <v>1649</v>
      </c>
      <c r="D74" s="1497" t="s">
        <v>1650</v>
      </c>
      <c r="E74" s="1584">
        <v>0.2</v>
      </c>
      <c r="F74" s="1571">
        <v>30</v>
      </c>
    </row>
    <row r="75" spans="1:6" s="1567" customFormat="1" ht="24">
      <c r="A75" s="1571">
        <v>15</v>
      </c>
      <c r="B75" s="3726"/>
      <c r="C75" s="1497" t="s">
        <v>1651</v>
      </c>
      <c r="D75" s="1497" t="s">
        <v>1652</v>
      </c>
      <c r="E75" s="1584">
        <v>0.2</v>
      </c>
      <c r="F75" s="1571">
        <v>30</v>
      </c>
    </row>
    <row r="76" spans="1:6" s="1567" customFormat="1" ht="24">
      <c r="A76" s="1571">
        <v>16</v>
      </c>
      <c r="B76" s="3726" t="s">
        <v>1653</v>
      </c>
      <c r="C76" s="1497" t="s">
        <v>1654</v>
      </c>
      <c r="D76" s="1497" t="s">
        <v>1655</v>
      </c>
      <c r="E76" s="1584">
        <v>0.5</v>
      </c>
      <c r="F76" s="1571">
        <v>80</v>
      </c>
    </row>
    <row r="77" spans="1:6" s="1567" customFormat="1" ht="24">
      <c r="A77" s="1571">
        <v>17</v>
      </c>
      <c r="B77" s="3726"/>
      <c r="C77" s="1497" t="s">
        <v>1656</v>
      </c>
      <c r="D77" s="1497" t="s">
        <v>1657</v>
      </c>
      <c r="E77" s="1584">
        <v>0.5</v>
      </c>
      <c r="F77" s="1571">
        <v>80</v>
      </c>
    </row>
    <row r="78" spans="1:6" s="1567" customFormat="1" ht="24">
      <c r="A78" s="1571">
        <v>18</v>
      </c>
      <c r="B78" s="3726"/>
      <c r="C78" s="1497" t="s">
        <v>1658</v>
      </c>
      <c r="D78" s="1497" t="s">
        <v>1659</v>
      </c>
      <c r="E78" s="1584">
        <v>0.2</v>
      </c>
      <c r="F78" s="1571">
        <v>30</v>
      </c>
    </row>
    <row r="79" spans="1:6" s="1567" customFormat="1" ht="24">
      <c r="A79" s="1571">
        <v>19</v>
      </c>
      <c r="B79" s="3726"/>
      <c r="C79" s="1497" t="s">
        <v>1660</v>
      </c>
      <c r="D79" s="1497" t="s">
        <v>1661</v>
      </c>
      <c r="E79" s="1584">
        <v>0.5</v>
      </c>
      <c r="F79" s="1571">
        <v>80</v>
      </c>
    </row>
    <row r="80" spans="1:6" s="1567" customFormat="1" ht="36">
      <c r="A80" s="1571">
        <v>20</v>
      </c>
      <c r="B80" s="3726"/>
      <c r="C80" s="1497" t="s">
        <v>1662</v>
      </c>
      <c r="D80" s="1497" t="s">
        <v>1663</v>
      </c>
      <c r="E80" s="1584">
        <v>0.2</v>
      </c>
      <c r="F80" s="1571">
        <v>30</v>
      </c>
    </row>
    <row r="81" spans="1:6" s="1567" customFormat="1" ht="36">
      <c r="A81" s="1571">
        <v>21</v>
      </c>
      <c r="B81" s="3726"/>
      <c r="C81" s="1497" t="s">
        <v>1664</v>
      </c>
      <c r="D81" s="1497" t="s">
        <v>1665</v>
      </c>
      <c r="E81" s="1584">
        <v>0.2</v>
      </c>
      <c r="F81" s="1571">
        <v>30</v>
      </c>
    </row>
    <row r="82" spans="1:6" s="1567" customFormat="1" ht="48">
      <c r="A82" s="1571">
        <v>22</v>
      </c>
      <c r="B82" s="3726"/>
      <c r="C82" s="1497" t="s">
        <v>1666</v>
      </c>
      <c r="D82" s="1497" t="s">
        <v>1667</v>
      </c>
      <c r="E82" s="1584">
        <v>0.2</v>
      </c>
      <c r="F82" s="1571">
        <v>30</v>
      </c>
    </row>
    <row r="83" spans="1:6" s="1567" customFormat="1" ht="48">
      <c r="A83" s="1571">
        <v>23</v>
      </c>
      <c r="B83" s="3726"/>
      <c r="C83" s="1497" t="s">
        <v>1668</v>
      </c>
      <c r="D83" s="1497" t="s">
        <v>1669</v>
      </c>
      <c r="E83" s="1584">
        <v>0.2</v>
      </c>
      <c r="F83" s="1571">
        <v>30</v>
      </c>
    </row>
    <row r="84" spans="1:6" s="1567" customFormat="1" ht="36">
      <c r="A84" s="1571">
        <v>24</v>
      </c>
      <c r="B84" s="3726"/>
      <c r="C84" s="1497" t="s">
        <v>1670</v>
      </c>
      <c r="D84" s="1497" t="s">
        <v>1671</v>
      </c>
      <c r="E84" s="1584">
        <v>0.2</v>
      </c>
      <c r="F84" s="1571">
        <v>30</v>
      </c>
    </row>
    <row r="85" spans="1:6" s="1567" customFormat="1" ht="36">
      <c r="A85" s="1571">
        <v>25</v>
      </c>
      <c r="B85" s="3726"/>
      <c r="C85" s="1497" t="s">
        <v>1672</v>
      </c>
      <c r="D85" s="1497" t="s">
        <v>1673</v>
      </c>
      <c r="E85" s="1584">
        <v>0.5</v>
      </c>
      <c r="F85" s="1571">
        <v>80</v>
      </c>
    </row>
    <row r="86" spans="1:6" s="1567" customFormat="1" ht="36">
      <c r="A86" s="1571">
        <v>26</v>
      </c>
      <c r="B86" s="3726"/>
      <c r="C86" s="1497" t="s">
        <v>1674</v>
      </c>
      <c r="D86" s="1497" t="s">
        <v>1675</v>
      </c>
      <c r="E86" s="1584">
        <v>0.2</v>
      </c>
      <c r="F86" s="1571">
        <v>30</v>
      </c>
    </row>
    <row r="87" spans="1:6" s="1567" customFormat="1" ht="36">
      <c r="A87" s="1571">
        <v>27</v>
      </c>
      <c r="B87" s="3726"/>
      <c r="C87" s="1497" t="s">
        <v>1676</v>
      </c>
      <c r="D87" s="1497" t="s">
        <v>1677</v>
      </c>
      <c r="E87" s="1584">
        <v>0.2</v>
      </c>
      <c r="F87" s="1571">
        <v>30</v>
      </c>
    </row>
    <row r="88" spans="1:6" s="1567" customFormat="1" ht="36">
      <c r="A88" s="1571">
        <v>28</v>
      </c>
      <c r="B88" s="3726"/>
      <c r="C88" s="1497" t="s">
        <v>1678</v>
      </c>
      <c r="D88" s="1497" t="s">
        <v>1679</v>
      </c>
      <c r="E88" s="1584">
        <v>0.2</v>
      </c>
      <c r="F88" s="1571">
        <v>30</v>
      </c>
    </row>
    <row r="89" spans="1:6" s="1567" customFormat="1" ht="24">
      <c r="A89" s="1571">
        <v>29</v>
      </c>
      <c r="B89" s="3726"/>
      <c r="C89" s="1497" t="s">
        <v>1680</v>
      </c>
      <c r="D89" s="1497" t="s">
        <v>1681</v>
      </c>
      <c r="E89" s="1584">
        <v>0.2</v>
      </c>
      <c r="F89" s="1571">
        <v>30</v>
      </c>
    </row>
    <row r="90" spans="1:6" s="1567" customFormat="1" ht="24">
      <c r="A90" s="1571">
        <v>30</v>
      </c>
      <c r="B90" s="3726"/>
      <c r="C90" s="1497" t="s">
        <v>1682</v>
      </c>
      <c r="D90" s="1497" t="s">
        <v>1683</v>
      </c>
      <c r="E90" s="1584">
        <v>0.2</v>
      </c>
      <c r="F90" s="1571">
        <v>30</v>
      </c>
    </row>
    <row r="91" spans="1:6" s="1567" customFormat="1" ht="36">
      <c r="A91" s="1571">
        <v>31</v>
      </c>
      <c r="B91" s="3726"/>
      <c r="C91" s="1497" t="s">
        <v>1684</v>
      </c>
      <c r="D91" s="1497" t="s">
        <v>1685</v>
      </c>
      <c r="E91" s="1584">
        <v>0.2</v>
      </c>
      <c r="F91" s="1571">
        <v>30</v>
      </c>
    </row>
    <row r="92" spans="1:6" s="1567" customFormat="1" ht="24">
      <c r="A92" s="1571">
        <v>32</v>
      </c>
      <c r="B92" s="3726" t="s">
        <v>1686</v>
      </c>
      <c r="C92" s="1571" t="s">
        <v>1687</v>
      </c>
      <c r="D92" s="1497" t="s">
        <v>1688</v>
      </c>
      <c r="E92" s="1584">
        <v>0.2</v>
      </c>
      <c r="F92" s="1571">
        <v>30</v>
      </c>
    </row>
    <row r="93" spans="1:6" s="1567" customFormat="1" ht="36">
      <c r="A93" s="1571">
        <v>33</v>
      </c>
      <c r="B93" s="3726"/>
      <c r="C93" s="1571" t="s">
        <v>1689</v>
      </c>
      <c r="D93" s="1497" t="s">
        <v>1690</v>
      </c>
      <c r="E93" s="1584">
        <v>0.2</v>
      </c>
      <c r="F93" s="1571">
        <v>30</v>
      </c>
    </row>
    <row r="94" spans="1:6" s="1567" customFormat="1" ht="48">
      <c r="A94" s="1571">
        <v>34</v>
      </c>
      <c r="B94" s="3726"/>
      <c r="C94" s="1571" t="s">
        <v>1691</v>
      </c>
      <c r="D94" s="1497" t="s">
        <v>1692</v>
      </c>
      <c r="E94" s="1584">
        <v>0.2</v>
      </c>
      <c r="F94" s="1571">
        <v>30</v>
      </c>
    </row>
    <row r="95" spans="1:6" s="1567" customFormat="1" ht="36">
      <c r="A95" s="1571">
        <v>35</v>
      </c>
      <c r="B95" s="3726"/>
      <c r="C95" s="1571" t="s">
        <v>1693</v>
      </c>
      <c r="D95" s="1497" t="s">
        <v>1694</v>
      </c>
      <c r="E95" s="1584">
        <v>0.2</v>
      </c>
      <c r="F95" s="1571">
        <v>30</v>
      </c>
    </row>
    <row r="96" spans="1:6" s="1567" customFormat="1" ht="48">
      <c r="A96" s="1571">
        <v>36</v>
      </c>
      <c r="B96" s="3726"/>
      <c r="C96" s="1497" t="s">
        <v>1695</v>
      </c>
      <c r="D96" s="1497" t="s">
        <v>1696</v>
      </c>
      <c r="E96" s="1584">
        <v>0.2</v>
      </c>
      <c r="F96" s="1571">
        <v>30</v>
      </c>
    </row>
    <row r="97" spans="1:6" s="1567" customFormat="1" ht="36">
      <c r="A97" s="1571">
        <v>37</v>
      </c>
      <c r="B97" s="3726"/>
      <c r="C97" s="1571" t="s">
        <v>1697</v>
      </c>
      <c r="D97" s="1497" t="s">
        <v>1698</v>
      </c>
      <c r="E97" s="1584">
        <v>0.2</v>
      </c>
      <c r="F97" s="1571">
        <v>30</v>
      </c>
    </row>
    <row r="98" spans="1:6" s="1567" customFormat="1" ht="36">
      <c r="A98" s="1571">
        <v>38</v>
      </c>
      <c r="B98" s="3726"/>
      <c r="C98" s="1571" t="s">
        <v>1699</v>
      </c>
      <c r="D98" s="1497" t="s">
        <v>1700</v>
      </c>
      <c r="E98" s="1584">
        <v>0.2</v>
      </c>
      <c r="F98" s="1571">
        <v>30</v>
      </c>
    </row>
    <row r="99" spans="1:6" s="1567" customFormat="1" ht="36">
      <c r="A99" s="1571">
        <v>39</v>
      </c>
      <c r="B99" s="3726" t="s">
        <v>1701</v>
      </c>
      <c r="C99" s="1571" t="s">
        <v>1702</v>
      </c>
      <c r="D99" s="1497" t="s">
        <v>1703</v>
      </c>
      <c r="E99" s="1584">
        <v>0.3</v>
      </c>
      <c r="F99" s="1571">
        <v>50</v>
      </c>
    </row>
    <row r="100" spans="1:6" s="1567" customFormat="1" ht="24">
      <c r="A100" s="1571">
        <v>40</v>
      </c>
      <c r="B100" s="3726"/>
      <c r="C100" s="1571" t="s">
        <v>1704</v>
      </c>
      <c r="D100" s="1497" t="s">
        <v>1705</v>
      </c>
      <c r="E100" s="1584">
        <v>0.2</v>
      </c>
      <c r="F100" s="1571">
        <v>30</v>
      </c>
    </row>
    <row r="101" spans="1:6" s="1567" customFormat="1" ht="36">
      <c r="A101" s="1571">
        <v>41</v>
      </c>
      <c r="B101" s="3726"/>
      <c r="C101" s="1571" t="s">
        <v>1706</v>
      </c>
      <c r="D101" s="1497" t="s">
        <v>1703</v>
      </c>
      <c r="E101" s="1584">
        <v>0.2</v>
      </c>
      <c r="F101" s="1571">
        <v>30</v>
      </c>
    </row>
    <row r="102" spans="1:6" s="1567" customFormat="1" ht="48">
      <c r="A102" s="1571">
        <v>42</v>
      </c>
      <c r="B102" s="1571" t="s">
        <v>1707</v>
      </c>
      <c r="C102" s="1497" t="s">
        <v>1708</v>
      </c>
      <c r="D102" s="1497" t="s">
        <v>1709</v>
      </c>
      <c r="E102" s="1584">
        <v>0.2</v>
      </c>
      <c r="F102" s="1571">
        <v>30</v>
      </c>
    </row>
    <row r="103" spans="1:6" s="1567" customFormat="1" ht="24">
      <c r="A103" s="1571">
        <v>43</v>
      </c>
      <c r="B103" s="1571" t="s">
        <v>1710</v>
      </c>
      <c r="C103" s="1571" t="s">
        <v>1711</v>
      </c>
      <c r="D103" s="1497" t="s">
        <v>1712</v>
      </c>
      <c r="E103" s="1584">
        <v>0.2</v>
      </c>
      <c r="F103" s="1571">
        <v>30</v>
      </c>
    </row>
    <row r="104" spans="1:6" s="1567" customFormat="1" ht="36">
      <c r="A104" s="1571">
        <v>44</v>
      </c>
      <c r="B104" s="1571" t="s">
        <v>1713</v>
      </c>
      <c r="C104" s="1571" t="s">
        <v>1714</v>
      </c>
      <c r="D104" s="1497" t="s">
        <v>1715</v>
      </c>
      <c r="E104" s="1584">
        <v>0.2</v>
      </c>
      <c r="F104" s="1571">
        <v>30</v>
      </c>
    </row>
    <row r="105" spans="1:6" s="1567" customFormat="1" ht="36">
      <c r="A105" s="1571">
        <v>45</v>
      </c>
      <c r="B105" s="3726" t="s">
        <v>1716</v>
      </c>
      <c r="C105" s="1571" t="s">
        <v>1717</v>
      </c>
      <c r="D105" s="1497" t="s">
        <v>1718</v>
      </c>
      <c r="E105" s="1584">
        <v>0.2</v>
      </c>
      <c r="F105" s="1571">
        <v>30</v>
      </c>
    </row>
    <row r="106" spans="1:6" s="1567" customFormat="1" ht="36">
      <c r="A106" s="1571">
        <v>46</v>
      </c>
      <c r="B106" s="3726"/>
      <c r="C106" s="1571" t="s">
        <v>1719</v>
      </c>
      <c r="D106" s="1497" t="s">
        <v>1720</v>
      </c>
      <c r="E106" s="1584">
        <v>0.2</v>
      </c>
      <c r="F106" s="1571">
        <v>30</v>
      </c>
    </row>
    <row r="107" spans="1:6" s="1567" customFormat="1" ht="36">
      <c r="A107" s="1571">
        <v>47</v>
      </c>
      <c r="B107" s="3726" t="s">
        <v>1721</v>
      </c>
      <c r="C107" s="1571" t="s">
        <v>1722</v>
      </c>
      <c r="D107" s="1497" t="s">
        <v>1723</v>
      </c>
      <c r="E107" s="1584">
        <v>0.3</v>
      </c>
      <c r="F107" s="1571">
        <v>50</v>
      </c>
    </row>
    <row r="108" spans="1:6" s="1567" customFormat="1" ht="36">
      <c r="A108" s="1571">
        <v>48</v>
      </c>
      <c r="B108" s="3726"/>
      <c r="C108" s="1571" t="s">
        <v>1724</v>
      </c>
      <c r="D108" s="1497" t="s">
        <v>1725</v>
      </c>
      <c r="E108" s="1584">
        <v>0.2</v>
      </c>
      <c r="F108" s="1571">
        <v>30</v>
      </c>
    </row>
    <row r="109" spans="1:6" s="1567" customFormat="1" ht="36">
      <c r="A109" s="1571">
        <v>49</v>
      </c>
      <c r="B109" s="1571" t="s">
        <v>1726</v>
      </c>
      <c r="C109" s="1571" t="s">
        <v>1727</v>
      </c>
      <c r="D109" s="1497" t="s">
        <v>1728</v>
      </c>
      <c r="E109" s="1584">
        <v>0.2</v>
      </c>
      <c r="F109" s="1571">
        <v>30</v>
      </c>
    </row>
    <row r="110" spans="1:6" s="1567" customFormat="1" ht="36">
      <c r="A110" s="1571">
        <v>50</v>
      </c>
      <c r="B110" s="1571" t="s">
        <v>1729</v>
      </c>
      <c r="C110" s="1571" t="s">
        <v>1730</v>
      </c>
      <c r="D110" s="1497" t="s">
        <v>1731</v>
      </c>
      <c r="E110" s="1584">
        <v>0.2</v>
      </c>
      <c r="F110" s="1571">
        <v>30</v>
      </c>
    </row>
    <row r="111" spans="1:6" s="1567" customFormat="1" ht="36">
      <c r="A111" s="1571">
        <v>51</v>
      </c>
      <c r="B111" s="3726" t="s">
        <v>1732</v>
      </c>
      <c r="C111" s="1571" t="s">
        <v>1733</v>
      </c>
      <c r="D111" s="1497" t="s">
        <v>1734</v>
      </c>
      <c r="E111" s="1584">
        <v>0.2</v>
      </c>
      <c r="F111" s="1571">
        <v>30</v>
      </c>
    </row>
    <row r="112" spans="1:6" s="1567" customFormat="1" ht="24">
      <c r="A112" s="1571">
        <v>52</v>
      </c>
      <c r="B112" s="3726"/>
      <c r="C112" s="1571" t="s">
        <v>1735</v>
      </c>
      <c r="D112" s="1497" t="s">
        <v>1736</v>
      </c>
      <c r="E112" s="1584">
        <v>0.2</v>
      </c>
      <c r="F112" s="1571">
        <v>30</v>
      </c>
    </row>
    <row r="113" spans="1:6" s="1567" customFormat="1" ht="24">
      <c r="A113" s="1571">
        <v>53</v>
      </c>
      <c r="B113" s="3726"/>
      <c r="C113" s="1571" t="s">
        <v>1737</v>
      </c>
      <c r="D113" s="1497" t="s">
        <v>1738</v>
      </c>
      <c r="E113" s="1584">
        <v>0.2</v>
      </c>
      <c r="F113" s="1571">
        <v>30</v>
      </c>
    </row>
    <row r="114" spans="1:6" ht="36">
      <c r="A114" s="1571">
        <v>54</v>
      </c>
      <c r="B114" s="1571" t="s">
        <v>1739</v>
      </c>
      <c r="C114" s="1571" t="s">
        <v>1740</v>
      </c>
      <c r="D114" s="1497" t="s">
        <v>1741</v>
      </c>
      <c r="E114" s="1584">
        <v>0.2</v>
      </c>
      <c r="F114" s="1571">
        <v>30</v>
      </c>
    </row>
    <row r="115" spans="1:6" ht="24">
      <c r="A115" s="1571">
        <v>55</v>
      </c>
      <c r="B115" s="1571" t="s">
        <v>1742</v>
      </c>
      <c r="C115" s="1571" t="s">
        <v>1743</v>
      </c>
      <c r="D115" s="1497" t="s">
        <v>1744</v>
      </c>
      <c r="E115" s="1584">
        <v>0.2</v>
      </c>
      <c r="F115" s="1571">
        <v>30</v>
      </c>
    </row>
    <row r="116" spans="1:6" ht="24">
      <c r="A116" s="1571">
        <v>56</v>
      </c>
      <c r="B116" s="3726" t="s">
        <v>1745</v>
      </c>
      <c r="C116" s="1571" t="s">
        <v>1746</v>
      </c>
      <c r="D116" s="1497" t="s">
        <v>1747</v>
      </c>
      <c r="E116" s="1584">
        <v>0.2</v>
      </c>
      <c r="F116" s="1571">
        <v>30</v>
      </c>
    </row>
    <row r="117" spans="1:6" ht="36">
      <c r="A117" s="1571">
        <v>57</v>
      </c>
      <c r="B117" s="3726"/>
      <c r="C117" s="1571" t="s">
        <v>1748</v>
      </c>
      <c r="D117" s="1497" t="s">
        <v>1749</v>
      </c>
      <c r="E117" s="1584">
        <v>0.2</v>
      </c>
      <c r="F117" s="1571">
        <v>30</v>
      </c>
    </row>
    <row r="118" spans="1:6" ht="36">
      <c r="A118" s="1571">
        <v>58</v>
      </c>
      <c r="B118" s="1571" t="s">
        <v>1750</v>
      </c>
      <c r="C118" s="1571" t="s">
        <v>1751</v>
      </c>
      <c r="D118" s="1497" t="s">
        <v>1752</v>
      </c>
      <c r="E118" s="1584">
        <v>0.2</v>
      </c>
      <c r="F118" s="1571">
        <v>30</v>
      </c>
    </row>
    <row r="119" spans="1:6" ht="13.5">
      <c r="A119" s="1571"/>
      <c r="B119" s="1571"/>
      <c r="C119" s="1571" t="s">
        <v>1753</v>
      </c>
      <c r="D119" s="1571"/>
      <c r="E119" s="1584" t="s">
        <v>1563</v>
      </c>
      <c r="F119" s="1571"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2025</v>
      </c>
      <c r="B1" s="1963"/>
      <c r="C1" s="1963"/>
      <c r="D1" s="1963"/>
      <c r="E1" s="1963"/>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2026</v>
      </c>
      <c r="B3" s="3391"/>
      <c r="C3" s="3391"/>
      <c r="D3" s="3391"/>
      <c r="E3" s="3391"/>
    </row>
    <row r="4" spans="1:5" ht="19.5" thickBot="1">
      <c r="A4" s="1975"/>
      <c r="B4" s="3389" t="s">
        <v>2031</v>
      </c>
      <c r="C4" s="3389"/>
      <c r="D4" s="3389"/>
      <c r="E4" s="1975"/>
    </row>
    <row r="5" spans="1:5" ht="16.5" thickTop="1">
      <c r="A5" s="1963"/>
      <c r="B5" s="3387" t="s">
        <v>2027</v>
      </c>
      <c r="C5" s="1965" t="s">
        <v>2032</v>
      </c>
      <c r="D5" s="1966">
        <f ca="1">'结果表（办公）'!H101</f>
        <v>1315</v>
      </c>
      <c r="E5" s="1963"/>
    </row>
    <row r="6" spans="1:5" ht="15.75">
      <c r="A6" s="1963"/>
      <c r="B6" s="3387"/>
      <c r="C6" s="1965" t="s">
        <v>2874</v>
      </c>
      <c r="D6" s="1966" t="str">
        <f ca="1">NUMBERSTRING(INT(D5*10000),2)&amp;"元整"</f>
        <v>壹仟叁佰壹拾伍万元整</v>
      </c>
      <c r="E6" s="1963"/>
    </row>
    <row r="7" spans="1:5" ht="15.75">
      <c r="A7" s="1963"/>
      <c r="B7" s="3392"/>
      <c r="C7" s="1967" t="s">
        <v>2033</v>
      </c>
      <c r="D7" s="1968">
        <f ca="1">'结果表（办公）'!H102</f>
        <v>6462</v>
      </c>
      <c r="E7" s="1963"/>
    </row>
    <row r="8" spans="1:5" ht="15.75">
      <c r="A8" s="1963"/>
      <c r="B8" s="3393" t="str">
        <f>'结果表（办公）'!E103</f>
        <v>2.估价师知悉的法定优先受偿款</v>
      </c>
      <c r="C8" s="1969" t="s">
        <v>2034</v>
      </c>
      <c r="D8" s="1968">
        <f>'结果表（办公）'!H103</f>
        <v>0</v>
      </c>
      <c r="E8" s="1963"/>
    </row>
    <row r="9" spans="1:5" ht="15.75">
      <c r="A9" s="1963"/>
      <c r="B9" s="3395"/>
      <c r="C9" s="1965" t="s">
        <v>2874</v>
      </c>
      <c r="D9" s="1966" t="str">
        <f>NUMBERSTRING(INT(D8*10000),2)&amp;"元整"</f>
        <v>零元整</v>
      </c>
      <c r="E9" s="1963"/>
    </row>
    <row r="10" spans="1:5" ht="15">
      <c r="A10" s="1963"/>
      <c r="B10" s="1970" t="s">
        <v>2028</v>
      </c>
      <c r="C10" s="1971" t="s">
        <v>2034</v>
      </c>
      <c r="D10" s="1972">
        <f>'结果表（办公）'!H104</f>
        <v>0</v>
      </c>
      <c r="E10" s="1963"/>
    </row>
    <row r="11" spans="1:5" ht="15">
      <c r="A11" s="1963"/>
      <c r="B11" s="1970" t="s">
        <v>2029</v>
      </c>
      <c r="C11" s="1971" t="s">
        <v>2034</v>
      </c>
      <c r="D11" s="1972">
        <f>'结果表（办公）'!H105</f>
        <v>0</v>
      </c>
      <c r="E11" s="1963"/>
    </row>
    <row r="12" spans="1:5" ht="15">
      <c r="A12" s="1963"/>
      <c r="B12" s="1970" t="s">
        <v>2030</v>
      </c>
      <c r="C12" s="1971" t="s">
        <v>2034</v>
      </c>
      <c r="D12" s="1972">
        <f>'结果表（办公）'!H106</f>
        <v>0</v>
      </c>
      <c r="E12" s="1963"/>
    </row>
    <row r="13" spans="1:5" ht="15.75">
      <c r="A13" s="1963"/>
      <c r="B13" s="3386" t="str">
        <f>'结果表（办公）'!E107</f>
        <v>3.房地产抵押价值</v>
      </c>
      <c r="C13" s="1973" t="s">
        <v>2032</v>
      </c>
      <c r="D13" s="1976">
        <f ca="1">'结果表（办公）'!H107</f>
        <v>1315</v>
      </c>
      <c r="E13" s="1963"/>
    </row>
    <row r="14" spans="1:5" ht="15.75">
      <c r="A14" s="1963"/>
      <c r="B14" s="3387"/>
      <c r="C14" s="1965" t="s">
        <v>2874</v>
      </c>
      <c r="D14" s="1966" t="str">
        <f ca="1">NUMBERSTRING(INT(D13*10000),2)&amp;"元整"</f>
        <v>壹仟叁佰壹拾伍万元整</v>
      </c>
      <c r="E14" s="1963"/>
    </row>
    <row r="15" spans="1:5" ht="15">
      <c r="A15" s="1963"/>
      <c r="B15" s="3392"/>
      <c r="C15" s="1967" t="s">
        <v>2033</v>
      </c>
      <c r="D15" s="2077">
        <f ca="1">'结果表（办公）'!H108</f>
        <v>3921</v>
      </c>
      <c r="E15" s="1963"/>
    </row>
    <row r="16" spans="1:5" ht="14.25">
      <c r="A16" s="1963"/>
      <c r="B16" s="3393" t="str">
        <f>'结果表（办公）'!E109</f>
        <v>——</v>
      </c>
      <c r="C16" s="1973" t="s">
        <v>2032</v>
      </c>
      <c r="D16" s="2078" t="str">
        <f>'结果表（办公）'!H109</f>
        <v>——</v>
      </c>
      <c r="E16" s="1963"/>
    </row>
    <row r="17" spans="1:5" ht="15.75">
      <c r="A17" s="1963"/>
      <c r="B17" s="3394"/>
      <c r="C17" s="1965" t="s">
        <v>2874</v>
      </c>
      <c r="D17" s="1966" t="e">
        <f>NUMBERSTRING(INT(D16*10000),2)&amp;"元整"</f>
        <v>#VALUE!</v>
      </c>
      <c r="E17" s="1963"/>
    </row>
    <row r="18" spans="1:5" ht="15">
      <c r="A18" s="1963"/>
      <c r="B18" s="3395"/>
      <c r="C18" s="1967" t="s">
        <v>2033</v>
      </c>
      <c r="D18" s="2077" t="str">
        <f>'结果表（办公）'!H110</f>
        <v>——</v>
      </c>
      <c r="E18" s="1963"/>
    </row>
    <row r="19" spans="1:5" ht="15.75">
      <c r="A19" s="1963"/>
      <c r="B19" s="3386" t="str">
        <f>'结果表（办公）'!E111</f>
        <v>——</v>
      </c>
      <c r="C19" s="1973" t="s">
        <v>2032</v>
      </c>
      <c r="D19" s="1968" t="str">
        <f>'结果表（办公）'!H111</f>
        <v>——</v>
      </c>
      <c r="E19" s="1963"/>
    </row>
    <row r="20" spans="1:5" ht="15.75">
      <c r="A20" s="1963"/>
      <c r="B20" s="3387"/>
      <c r="C20" s="1965" t="s">
        <v>2874</v>
      </c>
      <c r="D20" s="1966" t="e">
        <f>NUMBERSTRING(INT(D19*10000),2)&amp;"元整"</f>
        <v>#VALUE!</v>
      </c>
      <c r="E20" s="1963"/>
    </row>
    <row r="21" spans="1:5" ht="15.75" thickBot="1">
      <c r="A21" s="1963"/>
      <c r="B21" s="3388"/>
      <c r="C21" s="2079" t="s">
        <v>2033</v>
      </c>
      <c r="D21" s="2080" t="str">
        <f>'结果表（办公）'!H112</f>
        <v>——</v>
      </c>
      <c r="E21" s="1963"/>
    </row>
    <row r="22" spans="1:5" ht="14.25" thickTop="1">
      <c r="A22" s="1963"/>
      <c r="B22" s="1974" t="s">
        <v>2060</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1"/>
    <col min="2" max="16384" width="9" style="1596"/>
  </cols>
  <sheetData>
    <row r="1" spans="1:14" ht="14.25">
      <c r="A1" s="1594" t="s">
        <v>1763</v>
      </c>
      <c r="B1" s="1595"/>
      <c r="C1" s="1595"/>
      <c r="D1" s="1595"/>
      <c r="E1" s="1595"/>
      <c r="F1" s="1595"/>
      <c r="G1" s="1595"/>
      <c r="H1" s="1595"/>
      <c r="I1" s="1595"/>
      <c r="J1" s="1595"/>
      <c r="K1" s="1595"/>
      <c r="L1" s="1595"/>
      <c r="M1" s="1595"/>
      <c r="N1" s="1595"/>
    </row>
    <row r="2" spans="1:14">
      <c r="A2" s="1597" t="s">
        <v>1760</v>
      </c>
      <c r="B2" s="1598" t="s">
        <v>1165</v>
      </c>
      <c r="C2" s="1598" t="s">
        <v>1166</v>
      </c>
      <c r="D2" s="1598" t="s">
        <v>1167</v>
      </c>
      <c r="E2" s="1598" t="s">
        <v>1168</v>
      </c>
      <c r="F2" s="1598" t="s">
        <v>1169</v>
      </c>
      <c r="G2" s="1598" t="s">
        <v>1170</v>
      </c>
      <c r="H2" s="1599" t="s">
        <v>1171</v>
      </c>
      <c r="I2" s="1599" t="s">
        <v>1172</v>
      </c>
      <c r="J2" s="1600" t="s">
        <v>1173</v>
      </c>
      <c r="K2" s="1600" t="s">
        <v>1174</v>
      </c>
      <c r="L2" s="1600" t="s">
        <v>1175</v>
      </c>
      <c r="M2" s="1600" t="s">
        <v>1176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1769</v>
      </c>
      <c r="B103" s="1595"/>
      <c r="C103" s="1595"/>
      <c r="D103" s="1595"/>
      <c r="E103" s="1595"/>
      <c r="F103" s="1595"/>
      <c r="G103" s="1595"/>
      <c r="H103" s="1595"/>
      <c r="I103" s="1595"/>
      <c r="J103" s="1595"/>
      <c r="K103" s="1595"/>
      <c r="L103" s="1595"/>
      <c r="M103" s="1595"/>
      <c r="N103" s="1595"/>
    </row>
    <row r="104" spans="1:14" ht="14.25">
      <c r="A104" s="1597" t="s">
        <v>1760</v>
      </c>
      <c r="B104" s="1598" t="s">
        <v>1165</v>
      </c>
      <c r="C104" s="1598" t="s">
        <v>1166</v>
      </c>
      <c r="D104" s="1598" t="s">
        <v>1167</v>
      </c>
      <c r="E104" s="1598" t="s">
        <v>1168</v>
      </c>
      <c r="F104" s="1598" t="s">
        <v>1169</v>
      </c>
      <c r="G104" s="1598" t="s">
        <v>1170</v>
      </c>
      <c r="H104" s="1599" t="s">
        <v>1171</v>
      </c>
      <c r="I104" s="1599" t="s">
        <v>1172</v>
      </c>
      <c r="J104" s="1600" t="s">
        <v>1173</v>
      </c>
      <c r="K104" s="1600" t="s">
        <v>1174</v>
      </c>
      <c r="L104" s="1600" t="s">
        <v>1175</v>
      </c>
      <c r="M104" s="1600" t="s">
        <v>1176</v>
      </c>
      <c r="N104" s="1595" t="e">
        <f>SUMPRODUCT((A105:A204=ROUNDDOWN(基准地价修正!G3,1))*(B104:M104=基准地价修正!G2)*(B105:M204))</f>
        <v>#DIV/0!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1770</v>
      </c>
      <c r="B205" s="1595"/>
      <c r="C205" s="1595"/>
      <c r="D205" s="1595"/>
      <c r="E205" s="1595"/>
      <c r="F205" s="1595"/>
      <c r="G205" s="1595"/>
      <c r="H205" s="1595"/>
      <c r="I205" s="1595"/>
      <c r="J205" s="1595"/>
      <c r="K205" s="1595"/>
      <c r="L205" s="1595"/>
      <c r="M205" s="1595"/>
    </row>
    <row r="206" spans="1:13">
      <c r="A206" s="1597" t="s">
        <v>1760</v>
      </c>
      <c r="B206" s="1598" t="s">
        <v>1165</v>
      </c>
      <c r="C206" s="1598" t="s">
        <v>1166</v>
      </c>
      <c r="D206" s="1598" t="s">
        <v>1167</v>
      </c>
      <c r="E206" s="1598" t="s">
        <v>1168</v>
      </c>
      <c r="F206" s="1598" t="s">
        <v>1169</v>
      </c>
      <c r="G206" s="1598" t="s">
        <v>1170</v>
      </c>
      <c r="H206" s="1599" t="s">
        <v>1171</v>
      </c>
      <c r="I206" s="1599" t="s">
        <v>1172</v>
      </c>
      <c r="J206" s="1600" t="s">
        <v>1173</v>
      </c>
      <c r="K206" s="1600" t="s">
        <v>1174</v>
      </c>
      <c r="L206" s="1600" t="s">
        <v>1175</v>
      </c>
      <c r="M206" s="1600" t="s">
        <v>1176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1771</v>
      </c>
      <c r="B307" s="1595"/>
      <c r="C307" s="1595"/>
      <c r="D307" s="1595"/>
      <c r="E307" s="1595"/>
      <c r="F307" s="1595"/>
      <c r="G307" s="1595"/>
      <c r="H307" s="1595"/>
      <c r="I307" s="1595"/>
      <c r="J307" s="1595"/>
      <c r="K307" s="1595"/>
      <c r="L307" s="1595"/>
      <c r="M307" s="1595"/>
    </row>
    <row r="308" spans="1:13">
      <c r="A308" s="1597" t="s">
        <v>1760</v>
      </c>
      <c r="B308" s="1598" t="s">
        <v>1165</v>
      </c>
      <c r="C308" s="1598" t="s">
        <v>1166</v>
      </c>
      <c r="D308" s="1598" t="s">
        <v>1167</v>
      </c>
      <c r="E308" s="1598" t="s">
        <v>1168</v>
      </c>
      <c r="F308" s="1598" t="s">
        <v>1169</v>
      </c>
      <c r="G308" s="1598" t="s">
        <v>1170</v>
      </c>
      <c r="H308" s="1599" t="s">
        <v>1171</v>
      </c>
      <c r="I308" s="1599" t="s">
        <v>1172</v>
      </c>
      <c r="J308" s="1600" t="s">
        <v>1173</v>
      </c>
      <c r="K308" s="1600" t="s">
        <v>1174</v>
      </c>
      <c r="L308" s="1600" t="s">
        <v>1175</v>
      </c>
      <c r="M308" s="1600" t="s">
        <v>1176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46" t="s">
        <v>2711</v>
      </c>
      <c r="C1" s="3746"/>
      <c r="D1" s="3746"/>
      <c r="E1" s="3746"/>
      <c r="F1" s="3746"/>
      <c r="G1" s="3742" t="s">
        <v>2712</v>
      </c>
      <c r="H1" s="3742"/>
      <c r="I1" s="3742"/>
      <c r="J1" s="3742"/>
      <c r="K1" s="3742"/>
      <c r="L1" s="3742"/>
      <c r="N1" s="3742" t="s">
        <v>2713</v>
      </c>
      <c r="O1" s="3742"/>
      <c r="P1" s="3742"/>
      <c r="Q1" s="3742"/>
      <c r="R1" s="2901"/>
      <c r="S1" s="3742" t="s">
        <v>2714</v>
      </c>
      <c r="T1" s="3742"/>
      <c r="U1" s="3742"/>
      <c r="V1" s="3742"/>
      <c r="X1" s="3741" t="s">
        <v>2715</v>
      </c>
      <c r="Y1" s="3742"/>
      <c r="Z1" s="3742"/>
      <c r="AA1" s="3742"/>
      <c r="AB1" s="3742"/>
      <c r="AD1" s="3741" t="s">
        <v>2716</v>
      </c>
      <c r="AE1" s="3742"/>
      <c r="AF1" s="3742"/>
      <c r="AG1" s="3742"/>
      <c r="AH1" s="3742"/>
    </row>
    <row r="2" spans="1:34" s="2902" customFormat="1" ht="14.25" thickBot="1">
      <c r="B2" s="2903" t="s">
        <v>2717</v>
      </c>
      <c r="C2" s="2903" t="s">
        <v>2718</v>
      </c>
      <c r="D2" s="2904" t="s">
        <v>2719</v>
      </c>
      <c r="E2" s="2904" t="s">
        <v>2720</v>
      </c>
      <c r="F2" s="2903" t="s">
        <v>2721</v>
      </c>
      <c r="G2" s="2905"/>
      <c r="H2" s="2906"/>
      <c r="I2" s="2906"/>
      <c r="J2" s="2906"/>
      <c r="K2" s="2906"/>
      <c r="L2" s="2906"/>
      <c r="N2" s="2905"/>
      <c r="O2" s="2906"/>
      <c r="P2" s="2906"/>
      <c r="Q2" s="2906"/>
      <c r="R2" s="2907"/>
      <c r="S2" s="2905"/>
      <c r="T2" s="2906"/>
      <c r="U2" s="2906"/>
      <c r="V2" s="2906"/>
      <c r="X2" s="2903" t="s">
        <v>2717</v>
      </c>
      <c r="Y2" s="2903" t="s">
        <v>2718</v>
      </c>
      <c r="Z2" s="2904" t="s">
        <v>2719</v>
      </c>
      <c r="AA2" s="2904" t="s">
        <v>2720</v>
      </c>
      <c r="AB2" s="2903" t="s">
        <v>2721</v>
      </c>
      <c r="AD2" s="2903" t="s">
        <v>2717</v>
      </c>
      <c r="AE2" s="2903" t="s">
        <v>2718</v>
      </c>
      <c r="AF2" s="2904" t="s">
        <v>2719</v>
      </c>
      <c r="AG2" s="2904" t="s">
        <v>2720</v>
      </c>
      <c r="AH2" s="2903" t="s">
        <v>2721</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2722</v>
      </c>
      <c r="B4" s="2917"/>
      <c r="C4" s="2917"/>
      <c r="D4" s="2917"/>
      <c r="E4" s="2917"/>
      <c r="F4" s="2917"/>
      <c r="G4" s="3747">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2723</v>
      </c>
      <c r="B5" s="2917"/>
      <c r="C5" s="2917"/>
      <c r="D5" s="2917"/>
      <c r="E5" s="2917"/>
      <c r="F5" s="2917"/>
      <c r="G5" s="3744"/>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2724</v>
      </c>
      <c r="B6" s="2923">
        <f>B7*(1+N6)</f>
        <v>415.21602360000003</v>
      </c>
      <c r="C6" s="2923">
        <f>C7*(1+O6)</f>
        <v>312.63083488000001</v>
      </c>
      <c r="D6" s="2923">
        <f>C6</f>
        <v>312.63083488000001</v>
      </c>
      <c r="E6" s="3234">
        <f>E7*(1+P6)</f>
        <v>589.96402416000001</v>
      </c>
      <c r="F6" s="3234">
        <f>F7*(1+Q6)</f>
        <v>273.82351752000005</v>
      </c>
      <c r="G6" s="3744"/>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2726</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2725</v>
      </c>
      <c r="B7" s="2937">
        <f>B8*(1+N7)</f>
        <v>405.524</v>
      </c>
      <c r="C7" s="2937">
        <f>C8*(1+O7)</f>
        <v>307.79840000000002</v>
      </c>
      <c r="D7" s="2937">
        <f>C7</f>
        <v>307.79840000000002</v>
      </c>
      <c r="E7" s="2937">
        <f>E8*(1+P7)</f>
        <v>574.67759999999998</v>
      </c>
      <c r="F7" s="2937">
        <f>F8*(1+Q7)</f>
        <v>270.20280000000002</v>
      </c>
      <c r="G7" s="3745"/>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1154</v>
      </c>
      <c r="B8" s="2929">
        <v>392</v>
      </c>
      <c r="C8" s="2929">
        <v>302</v>
      </c>
      <c r="D8" s="2929">
        <f>C8</f>
        <v>302</v>
      </c>
      <c r="E8" s="2929">
        <v>553</v>
      </c>
      <c r="F8" s="2930">
        <v>266</v>
      </c>
      <c r="G8" s="3747">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1153</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44"/>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1143</v>
      </c>
      <c r="B10" s="2937">
        <f t="shared" si="8"/>
        <v>360.06949782209392</v>
      </c>
      <c r="C10" s="2937">
        <f t="shared" si="8"/>
        <v>289.84672674747821</v>
      </c>
      <c r="D10" s="2937">
        <f t="shared" si="9"/>
        <v>289.84672674747821</v>
      </c>
      <c r="E10" s="2937">
        <f t="shared" si="10"/>
        <v>501.06543001181495</v>
      </c>
      <c r="F10" s="2937">
        <f t="shared" si="10"/>
        <v>256.82882500744967</v>
      </c>
      <c r="G10" s="3744"/>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1152</v>
      </c>
      <c r="B11" s="2937">
        <f t="shared" si="8"/>
        <v>346.720748986128</v>
      </c>
      <c r="C11" s="2937">
        <f t="shared" si="8"/>
        <v>284.30282172386285</v>
      </c>
      <c r="D11" s="2937">
        <f t="shared" si="9"/>
        <v>284.30282172386285</v>
      </c>
      <c r="E11" s="2937">
        <f t="shared" si="10"/>
        <v>479.58023546306947</v>
      </c>
      <c r="F11" s="2937">
        <f t="shared" si="10"/>
        <v>253.25788877571213</v>
      </c>
      <c r="G11" s="3745"/>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1151</v>
      </c>
      <c r="B12" s="2929">
        <v>333</v>
      </c>
      <c r="C12" s="2929">
        <v>277</v>
      </c>
      <c r="D12" s="2929">
        <f t="shared" si="9"/>
        <v>277</v>
      </c>
      <c r="E12" s="2929">
        <v>459</v>
      </c>
      <c r="F12" s="2930">
        <v>249</v>
      </c>
      <c r="G12" s="3743">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1150</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44"/>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1149</v>
      </c>
      <c r="B14" s="2937">
        <f t="shared" si="12"/>
        <v>322.34053690220776</v>
      </c>
      <c r="C14" s="2937">
        <f t="shared" si="12"/>
        <v>271.46160770422546</v>
      </c>
      <c r="D14" s="2937">
        <f t="shared" si="9"/>
        <v>271.46160770422546</v>
      </c>
      <c r="E14" s="2937">
        <f t="shared" si="13"/>
        <v>442.69434542172456</v>
      </c>
      <c r="F14" s="2937">
        <f t="shared" si="13"/>
        <v>241.34030753190925</v>
      </c>
      <c r="G14" s="3744"/>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1148</v>
      </c>
      <c r="B15" s="2937">
        <f t="shared" si="12"/>
        <v>319.87748030386797</v>
      </c>
      <c r="C15" s="2937">
        <f t="shared" si="12"/>
        <v>269.60135833173649</v>
      </c>
      <c r="D15" s="2937">
        <f t="shared" si="9"/>
        <v>269.60135833173649</v>
      </c>
      <c r="E15" s="2937">
        <f t="shared" si="13"/>
        <v>439.18089823583784</v>
      </c>
      <c r="F15" s="2937">
        <f t="shared" si="13"/>
        <v>239.23503918706311</v>
      </c>
      <c r="G15" s="3745"/>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1147</v>
      </c>
      <c r="B16" s="2950">
        <v>318</v>
      </c>
      <c r="C16" s="2950">
        <v>268</v>
      </c>
      <c r="D16" s="2950">
        <f t="shared" si="9"/>
        <v>268</v>
      </c>
      <c r="E16" s="2950">
        <v>437</v>
      </c>
      <c r="F16" s="2951">
        <v>237</v>
      </c>
      <c r="G16" s="3743">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1146</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44"/>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1145</v>
      </c>
      <c r="B18" s="2937">
        <f t="shared" si="14"/>
        <v>314.72141172386546</v>
      </c>
      <c r="C18" s="2937">
        <f t="shared" si="14"/>
        <v>263.03901319069001</v>
      </c>
      <c r="D18" s="2937">
        <f t="shared" si="9"/>
        <v>263.03901319069001</v>
      </c>
      <c r="E18" s="2937">
        <f t="shared" si="15"/>
        <v>433.65745506782821</v>
      </c>
      <c r="F18" s="2937">
        <f t="shared" si="15"/>
        <v>233.23005080045735</v>
      </c>
      <c r="G18" s="3744"/>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1144</v>
      </c>
      <c r="B19" s="2955">
        <f t="shared" si="14"/>
        <v>307.34512863658733</v>
      </c>
      <c r="C19" s="2955">
        <f t="shared" si="14"/>
        <v>257.80556031626975</v>
      </c>
      <c r="D19" s="2955">
        <f t="shared" si="9"/>
        <v>257.80556031626975</v>
      </c>
      <c r="E19" s="2955">
        <f t="shared" si="15"/>
        <v>422.70928459677179</v>
      </c>
      <c r="F19" s="2955">
        <f t="shared" si="15"/>
        <v>229.73803270336617</v>
      </c>
      <c r="G19" s="3745"/>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2727</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2728</v>
      </c>
      <c r="B20" s="2929">
        <v>299</v>
      </c>
      <c r="C20" s="2929">
        <v>252</v>
      </c>
      <c r="D20" s="2929">
        <f t="shared" si="9"/>
        <v>252</v>
      </c>
      <c r="E20" s="2929">
        <v>409</v>
      </c>
      <c r="F20" s="2930">
        <v>227</v>
      </c>
      <c r="G20" s="3748">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2729</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49"/>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2730</v>
      </c>
      <c r="B22" s="2937">
        <f t="shared" si="18"/>
        <v>288.2649053828776</v>
      </c>
      <c r="C22" s="2937">
        <f t="shared" si="18"/>
        <v>243.64564425013293</v>
      </c>
      <c r="D22" s="2937">
        <f t="shared" si="9"/>
        <v>243.64564425013293</v>
      </c>
      <c r="E22" s="2937">
        <f t="shared" si="19"/>
        <v>393.31080825986544</v>
      </c>
      <c r="F22" s="2937">
        <f t="shared" si="19"/>
        <v>223.07903790551154</v>
      </c>
      <c r="G22" s="3749"/>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2731</v>
      </c>
      <c r="B23" s="2937">
        <f t="shared" si="18"/>
        <v>282.50186729015837</v>
      </c>
      <c r="C23" s="2937">
        <f t="shared" si="18"/>
        <v>238.09796174155468</v>
      </c>
      <c r="D23" s="2937">
        <f t="shared" si="9"/>
        <v>238.09796174155468</v>
      </c>
      <c r="E23" s="2937">
        <f t="shared" si="19"/>
        <v>385.33438646014054</v>
      </c>
      <c r="F23" s="2937">
        <f t="shared" si="19"/>
        <v>221.55034055567739</v>
      </c>
      <c r="G23" s="3750"/>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2732</v>
      </c>
      <c r="B24" s="2971">
        <v>278</v>
      </c>
      <c r="C24" s="2971">
        <v>234</v>
      </c>
      <c r="D24" s="2971">
        <f t="shared" si="9"/>
        <v>234</v>
      </c>
      <c r="E24" s="2971">
        <v>379</v>
      </c>
      <c r="F24" s="2972">
        <v>220</v>
      </c>
      <c r="G24" s="3743">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2733</v>
      </c>
      <c r="B25" s="2937">
        <f>B24/(1+N24)</f>
        <v>275.49301357645425</v>
      </c>
      <c r="C25" s="2937">
        <f>C24/(1+O24)</f>
        <v>232.41954707985698</v>
      </c>
      <c r="D25" s="2937">
        <f t="shared" si="9"/>
        <v>232.41954707985698</v>
      </c>
      <c r="E25" s="2937">
        <f t="shared" ref="E25:F27" si="20">E24/(1+P24)</f>
        <v>375.32184591008121</v>
      </c>
      <c r="F25" s="2937">
        <f t="shared" si="20"/>
        <v>218.03766105054513</v>
      </c>
      <c r="G25" s="3744"/>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2734</v>
      </c>
      <c r="B26" s="2937">
        <f>B25/(1+N25)</f>
        <v>275.24529281292263</v>
      </c>
      <c r="C26" s="2937">
        <f>C25/(1+O25)</f>
        <v>231.74747938962707</v>
      </c>
      <c r="D26" s="2937">
        <f t="shared" si="9"/>
        <v>231.74747938962707</v>
      </c>
      <c r="E26" s="2937">
        <f t="shared" si="20"/>
        <v>375.35938184826603</v>
      </c>
      <c r="F26" s="2937">
        <f t="shared" si="20"/>
        <v>216.78033510692495</v>
      </c>
      <c r="G26" s="3744"/>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2735</v>
      </c>
      <c r="B27" s="2937">
        <f>B26/(1+N26)</f>
        <v>275.19025476197027</v>
      </c>
      <c r="C27" s="2973">
        <v>232</v>
      </c>
      <c r="D27" s="2973">
        <f t="shared" si="9"/>
        <v>232</v>
      </c>
      <c r="E27" s="2937">
        <f t="shared" si="20"/>
        <v>375.65990977608692</v>
      </c>
      <c r="F27" s="2937">
        <f t="shared" si="20"/>
        <v>214.12518283971252</v>
      </c>
      <c r="G27" s="3745"/>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2736</v>
      </c>
      <c r="B28" s="2929">
        <v>275</v>
      </c>
      <c r="C28" s="2929">
        <v>232</v>
      </c>
      <c r="D28" s="2929">
        <f t="shared" si="9"/>
        <v>232</v>
      </c>
      <c r="E28" s="2929">
        <v>376</v>
      </c>
      <c r="F28" s="2930">
        <v>213</v>
      </c>
      <c r="G28" s="3743">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2737</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44">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2738</v>
      </c>
      <c r="B30" s="2937">
        <f t="shared" si="21"/>
        <v>275.19335084830601</v>
      </c>
      <c r="C30" s="2937">
        <f t="shared" si="21"/>
        <v>230.18088050139744</v>
      </c>
      <c r="D30" s="2937">
        <f t="shared" si="9"/>
        <v>230.18088050139744</v>
      </c>
      <c r="E30" s="2937">
        <f t="shared" si="22"/>
        <v>377.58482925212331</v>
      </c>
      <c r="F30" s="2937">
        <f t="shared" si="22"/>
        <v>210.90687997847917</v>
      </c>
      <c r="G30" s="3744">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2739</v>
      </c>
      <c r="B31" s="2937">
        <f t="shared" si="21"/>
        <v>276.29854502841971</v>
      </c>
      <c r="C31" s="2937">
        <f t="shared" si="21"/>
        <v>229.79023709833027</v>
      </c>
      <c r="D31" s="2937">
        <f t="shared" si="9"/>
        <v>229.79023709833027</v>
      </c>
      <c r="E31" s="2937">
        <f t="shared" si="22"/>
        <v>379.78759731655936</v>
      </c>
      <c r="F31" s="2937">
        <f t="shared" si="22"/>
        <v>211.32953905659235</v>
      </c>
      <c r="G31" s="3745">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2740</v>
      </c>
      <c r="B32" s="2929">
        <v>269</v>
      </c>
      <c r="C32" s="2929">
        <v>221</v>
      </c>
      <c r="D32" s="2929">
        <f t="shared" si="9"/>
        <v>221</v>
      </c>
      <c r="E32" s="2929">
        <v>373</v>
      </c>
      <c r="F32" s="2930">
        <v>196</v>
      </c>
      <c r="G32" s="3743">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2741</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44">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2742</v>
      </c>
      <c r="B34" s="2937">
        <f t="shared" si="23"/>
        <v>242.95398227588385</v>
      </c>
      <c r="C34" s="2937">
        <f t="shared" si="23"/>
        <v>199.59137053614126</v>
      </c>
      <c r="D34" s="2937">
        <f t="shared" si="9"/>
        <v>199.59137053614126</v>
      </c>
      <c r="E34" s="2937">
        <f t="shared" si="24"/>
        <v>335.92189522342125</v>
      </c>
      <c r="F34" s="2937">
        <f t="shared" si="24"/>
        <v>183.10139991109489</v>
      </c>
      <c r="G34" s="3744">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2743</v>
      </c>
      <c r="B35" s="2937">
        <f t="shared" si="23"/>
        <v>232.06990378821649</v>
      </c>
      <c r="C35" s="2937">
        <f t="shared" si="23"/>
        <v>192.74878854286936</v>
      </c>
      <c r="D35" s="2937">
        <f t="shared" si="9"/>
        <v>192.74878854286936</v>
      </c>
      <c r="E35" s="2937">
        <f t="shared" si="24"/>
        <v>319.71247284992984</v>
      </c>
      <c r="F35" s="2937">
        <f t="shared" si="24"/>
        <v>175.67053622862409</v>
      </c>
      <c r="G35" s="3745">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2744</v>
      </c>
      <c r="B36" s="2929">
        <v>220</v>
      </c>
      <c r="C36" s="2929">
        <v>187</v>
      </c>
      <c r="D36" s="2929">
        <f t="shared" si="9"/>
        <v>187</v>
      </c>
      <c r="E36" s="2929">
        <v>301</v>
      </c>
      <c r="F36" s="2930">
        <v>168</v>
      </c>
      <c r="G36" s="3743">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2745</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44">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2746</v>
      </c>
      <c r="B38" s="2937">
        <f t="shared" si="25"/>
        <v>210.630522469011</v>
      </c>
      <c r="C38" s="2937">
        <f t="shared" si="25"/>
        <v>181.69567812247232</v>
      </c>
      <c r="D38" s="2937">
        <f t="shared" si="9"/>
        <v>181.69567812247232</v>
      </c>
      <c r="E38" s="2937">
        <f t="shared" si="26"/>
        <v>286.13517466736738</v>
      </c>
      <c r="F38" s="2937">
        <f t="shared" si="26"/>
        <v>165.47535084591149</v>
      </c>
      <c r="G38" s="3744">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2747</v>
      </c>
      <c r="B39" s="2937">
        <f t="shared" si="25"/>
        <v>208.83454537875372</v>
      </c>
      <c r="C39" s="2937">
        <f t="shared" si="25"/>
        <v>183.77230517090351</v>
      </c>
      <c r="D39" s="2937">
        <f t="shared" si="9"/>
        <v>183.77230517090351</v>
      </c>
      <c r="E39" s="2937">
        <f t="shared" si="26"/>
        <v>281.10342338870947</v>
      </c>
      <c r="F39" s="2937">
        <f t="shared" si="26"/>
        <v>168.97309388942256</v>
      </c>
      <c r="G39" s="3745">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2748</v>
      </c>
      <c r="B40" s="2971">
        <v>214</v>
      </c>
      <c r="C40" s="2971">
        <v>188</v>
      </c>
      <c r="D40" s="2971">
        <f t="shared" si="9"/>
        <v>188</v>
      </c>
      <c r="E40" s="2971">
        <v>289</v>
      </c>
      <c r="F40" s="2972">
        <v>166</v>
      </c>
      <c r="G40" s="3743">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2749</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44">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2750</v>
      </c>
      <c r="B42" s="2937">
        <f t="shared" si="27"/>
        <v>206.31694671589116</v>
      </c>
      <c r="C42" s="2937">
        <f t="shared" si="27"/>
        <v>183.61041121036101</v>
      </c>
      <c r="D42" s="2937">
        <f t="shared" si="9"/>
        <v>183.61041121036101</v>
      </c>
      <c r="E42" s="2937">
        <f t="shared" si="28"/>
        <v>276.66850301795557</v>
      </c>
      <c r="F42" s="2937">
        <f t="shared" si="28"/>
        <v>165.1360938278614</v>
      </c>
      <c r="G42" s="3744">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2751</v>
      </c>
      <c r="B43" s="2974">
        <f t="shared" si="27"/>
        <v>196.62341248059772</v>
      </c>
      <c r="C43" s="2974">
        <f t="shared" si="27"/>
        <v>170.99125648199012</v>
      </c>
      <c r="D43" s="2974">
        <f t="shared" si="9"/>
        <v>170.99125648199012</v>
      </c>
      <c r="E43" s="2974">
        <f t="shared" si="28"/>
        <v>266.07857570490052</v>
      </c>
      <c r="F43" s="2974">
        <f t="shared" si="28"/>
        <v>154.53499328828505</v>
      </c>
      <c r="G43" s="3745">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2752</v>
      </c>
      <c r="B44" s="2929">
        <v>188</v>
      </c>
      <c r="C44" s="2929">
        <v>165</v>
      </c>
      <c r="D44" s="2929">
        <f t="shared" si="9"/>
        <v>165</v>
      </c>
      <c r="E44" s="2929">
        <v>254</v>
      </c>
      <c r="F44" s="2930">
        <v>148</v>
      </c>
      <c r="G44" s="3743">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2753</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44">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2754</v>
      </c>
      <c r="B46" s="2937">
        <f t="shared" si="31"/>
        <v>168.82017748715555</v>
      </c>
      <c r="C46" s="2937">
        <f t="shared" si="31"/>
        <v>148.06267029972753</v>
      </c>
      <c r="D46" s="2937">
        <f t="shared" si="9"/>
        <v>148.06267029972753</v>
      </c>
      <c r="E46" s="2937">
        <f t="shared" si="32"/>
        <v>216.46288379323747</v>
      </c>
      <c r="F46" s="2937">
        <f t="shared" si="32"/>
        <v>134.23529411764704</v>
      </c>
      <c r="G46" s="3744">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2755</v>
      </c>
      <c r="B47" s="2937">
        <f t="shared" si="31"/>
        <v>163.84913591779542</v>
      </c>
      <c r="C47" s="2937">
        <f t="shared" si="31"/>
        <v>145.0283378746594</v>
      </c>
      <c r="D47" s="2937">
        <f t="shared" si="9"/>
        <v>145.0283378746594</v>
      </c>
      <c r="E47" s="2937">
        <f t="shared" si="32"/>
        <v>204.95180722891567</v>
      </c>
      <c r="F47" s="2937">
        <f t="shared" si="32"/>
        <v>125.95920303605313</v>
      </c>
      <c r="G47" s="3745">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2756</v>
      </c>
      <c r="B48" s="2950">
        <v>159</v>
      </c>
      <c r="C48" s="2950">
        <v>141</v>
      </c>
      <c r="D48" s="2950">
        <f t="shared" si="9"/>
        <v>141</v>
      </c>
      <c r="E48" s="2950">
        <v>195</v>
      </c>
      <c r="F48" s="2951">
        <v>122</v>
      </c>
      <c r="G48" s="3743">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2757</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44">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2758</v>
      </c>
      <c r="B50" s="2937">
        <f t="shared" si="35"/>
        <v>146.57412060301507</v>
      </c>
      <c r="C50" s="2937">
        <f t="shared" si="35"/>
        <v>136.46831955922866</v>
      </c>
      <c r="D50" s="2937">
        <f t="shared" si="9"/>
        <v>136.46831955922866</v>
      </c>
      <c r="E50" s="2937">
        <f t="shared" si="36"/>
        <v>166.73864894795128</v>
      </c>
      <c r="F50" s="2937">
        <f t="shared" si="36"/>
        <v>115.05882352941177</v>
      </c>
      <c r="G50" s="3744">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2759</v>
      </c>
      <c r="B51" s="2937">
        <f t="shared" si="35"/>
        <v>144.04145728643215</v>
      </c>
      <c r="C51" s="2937">
        <f t="shared" si="35"/>
        <v>136.12396694214877</v>
      </c>
      <c r="D51" s="2937">
        <f t="shared" si="9"/>
        <v>136.12396694214877</v>
      </c>
      <c r="E51" s="2937">
        <f t="shared" si="36"/>
        <v>158.32225913621264</v>
      </c>
      <c r="F51" s="2937">
        <f t="shared" si="36"/>
        <v>114.04278074866311</v>
      </c>
      <c r="G51" s="3745">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2760</v>
      </c>
      <c r="B52" s="2950">
        <v>138</v>
      </c>
      <c r="C52" s="2950">
        <v>131</v>
      </c>
      <c r="D52" s="2950">
        <f t="shared" si="9"/>
        <v>131</v>
      </c>
      <c r="E52" s="2950">
        <v>155</v>
      </c>
      <c r="F52" s="2951">
        <v>114</v>
      </c>
      <c r="G52" s="3743">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2761</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44">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2762</v>
      </c>
      <c r="B54" s="2937">
        <f t="shared" si="39"/>
        <v>124.29032258064517</v>
      </c>
      <c r="C54" s="2937">
        <f t="shared" si="39"/>
        <v>123.8968609865471</v>
      </c>
      <c r="D54" s="2937">
        <f t="shared" si="9"/>
        <v>123.8968609865471</v>
      </c>
      <c r="E54" s="2937">
        <f t="shared" si="40"/>
        <v>138.00507614213197</v>
      </c>
      <c r="F54" s="2937">
        <f t="shared" si="40"/>
        <v>107.96106557377048</v>
      </c>
      <c r="G54" s="3744">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2763</v>
      </c>
      <c r="B55" s="2937">
        <f t="shared" si="39"/>
        <v>122.57204301075269</v>
      </c>
      <c r="C55" s="2937">
        <f t="shared" si="39"/>
        <v>123.4932735426009</v>
      </c>
      <c r="D55" s="2937">
        <f t="shared" si="9"/>
        <v>123.4932735426009</v>
      </c>
      <c r="E55" s="2937">
        <f t="shared" si="40"/>
        <v>129.82233502538071</v>
      </c>
      <c r="F55" s="2937">
        <f t="shared" si="40"/>
        <v>107.39446721311475</v>
      </c>
      <c r="G55" s="3745">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2764</v>
      </c>
      <c r="B56" s="2971">
        <v>121</v>
      </c>
      <c r="C56" s="2971">
        <v>122</v>
      </c>
      <c r="D56" s="2971">
        <f t="shared" si="9"/>
        <v>122</v>
      </c>
      <c r="E56" s="2971">
        <v>124</v>
      </c>
      <c r="F56" s="2972">
        <v>107</v>
      </c>
      <c r="G56" s="3743">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2765</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44">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2766</v>
      </c>
      <c r="B58" s="2937">
        <f t="shared" si="43"/>
        <v>116.99099099099099</v>
      </c>
      <c r="C58" s="2937">
        <f t="shared" si="43"/>
        <v>118.84848484848486</v>
      </c>
      <c r="D58" s="2937">
        <f t="shared" si="9"/>
        <v>118.84848484848486</v>
      </c>
      <c r="E58" s="2937">
        <f t="shared" si="44"/>
        <v>117.60960960960961</v>
      </c>
      <c r="F58" s="2937">
        <f t="shared" si="44"/>
        <v>104</v>
      </c>
      <c r="G58" s="3744">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2767</v>
      </c>
      <c r="B59" s="2974">
        <f t="shared" si="43"/>
        <v>112.48648648648648</v>
      </c>
      <c r="C59" s="2974">
        <f t="shared" si="43"/>
        <v>115.21212121212122</v>
      </c>
      <c r="D59" s="2974">
        <f t="shared" si="9"/>
        <v>115.21212121212122</v>
      </c>
      <c r="E59" s="2974">
        <f t="shared" si="44"/>
        <v>110.4024024024024</v>
      </c>
      <c r="F59" s="2974">
        <f t="shared" si="44"/>
        <v>104</v>
      </c>
      <c r="G59" s="3745">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2768</v>
      </c>
      <c r="B60" s="2992">
        <v>111</v>
      </c>
      <c r="C60" s="2992">
        <v>114</v>
      </c>
      <c r="D60" s="2992">
        <f t="shared" si="9"/>
        <v>114</v>
      </c>
      <c r="E60" s="2992">
        <v>108</v>
      </c>
      <c r="F60" s="2993">
        <v>104</v>
      </c>
      <c r="G60" s="3743">
        <v>2003</v>
      </c>
      <c r="H60" s="2982">
        <v>4</v>
      </c>
      <c r="I60" s="2994"/>
      <c r="J60" s="2994"/>
      <c r="K60" s="2994"/>
      <c r="L60" s="2994"/>
      <c r="N60" s="2995"/>
      <c r="O60" s="2994"/>
      <c r="P60" s="2994"/>
      <c r="Q60" s="2994"/>
      <c r="S60" s="2995"/>
      <c r="T60" s="2994"/>
      <c r="U60" s="2994"/>
      <c r="V60" s="2994"/>
      <c r="X60" s="2986"/>
      <c r="Y60" s="2986"/>
      <c r="Z60" s="2986"/>
    </row>
    <row r="61" spans="1:26">
      <c r="A61" s="2916" t="s">
        <v>2769</v>
      </c>
      <c r="B61" s="2996">
        <f t="shared" ref="B61:C63" si="45">B62+(B$60-B$64)/4</f>
        <v>109.75</v>
      </c>
      <c r="C61" s="2996">
        <f t="shared" si="45"/>
        <v>112.25</v>
      </c>
      <c r="D61" s="2996">
        <f t="shared" si="9"/>
        <v>112.25</v>
      </c>
      <c r="E61" s="2996">
        <f t="shared" ref="E61:F63" si="46">E62+(E$60-E$64)/4</f>
        <v>107.25</v>
      </c>
      <c r="F61" s="2996">
        <f t="shared" si="46"/>
        <v>103.5</v>
      </c>
      <c r="G61" s="3744">
        <v>2003</v>
      </c>
      <c r="H61" s="2947">
        <v>3</v>
      </c>
      <c r="I61" s="2994"/>
      <c r="J61" s="2994"/>
      <c r="K61" s="2994"/>
      <c r="L61" s="2994"/>
      <c r="X61" s="2986"/>
      <c r="Y61" s="2986"/>
      <c r="Z61" s="2986"/>
    </row>
    <row r="62" spans="1:26">
      <c r="A62" s="2916" t="s">
        <v>2770</v>
      </c>
      <c r="B62" s="2996">
        <f t="shared" si="45"/>
        <v>108.5</v>
      </c>
      <c r="C62" s="2996">
        <f t="shared" si="45"/>
        <v>110.5</v>
      </c>
      <c r="D62" s="2996">
        <f t="shared" si="9"/>
        <v>110.5</v>
      </c>
      <c r="E62" s="2996">
        <f t="shared" si="46"/>
        <v>106.5</v>
      </c>
      <c r="F62" s="2996">
        <f t="shared" si="46"/>
        <v>103</v>
      </c>
      <c r="G62" s="3744">
        <v>2003</v>
      </c>
      <c r="H62" s="2922">
        <v>2</v>
      </c>
      <c r="I62" s="2994"/>
      <c r="J62" s="2994"/>
      <c r="K62" s="2994"/>
      <c r="L62" s="2994"/>
      <c r="X62" s="2986"/>
      <c r="Y62" s="2986"/>
      <c r="Z62" s="2986"/>
    </row>
    <row r="63" spans="1:26" ht="13.5" thickBot="1">
      <c r="A63" s="2916" t="s">
        <v>2771</v>
      </c>
      <c r="B63" s="2996">
        <f t="shared" si="45"/>
        <v>107.25</v>
      </c>
      <c r="C63" s="2996">
        <f t="shared" si="45"/>
        <v>108.75</v>
      </c>
      <c r="D63" s="2996">
        <f t="shared" si="9"/>
        <v>108.75</v>
      </c>
      <c r="E63" s="2996">
        <f t="shared" si="46"/>
        <v>105.75</v>
      </c>
      <c r="F63" s="2996">
        <f t="shared" si="46"/>
        <v>102.5</v>
      </c>
      <c r="G63" s="3745">
        <v>2003</v>
      </c>
      <c r="H63" s="2997">
        <v>1</v>
      </c>
      <c r="I63" s="2994"/>
      <c r="J63" s="2994"/>
      <c r="K63" s="2994"/>
      <c r="L63" s="2994"/>
      <c r="S63" s="2932"/>
      <c r="T63" s="2933"/>
      <c r="U63" s="2933"/>
      <c r="X63" s="2986"/>
      <c r="Y63" s="2986"/>
      <c r="Z63" s="2986"/>
    </row>
    <row r="64" spans="1:26" ht="13.5" thickBot="1">
      <c r="A64" s="2916" t="s">
        <v>2772</v>
      </c>
      <c r="B64" s="2998">
        <v>106</v>
      </c>
      <c r="C64" s="2998">
        <v>107</v>
      </c>
      <c r="D64" s="2998">
        <f t="shared" si="9"/>
        <v>107</v>
      </c>
      <c r="E64" s="2998">
        <v>105</v>
      </c>
      <c r="F64" s="2999">
        <v>102</v>
      </c>
      <c r="G64" s="3743">
        <v>2002</v>
      </c>
      <c r="H64" s="2942">
        <v>4</v>
      </c>
      <c r="I64" s="2994"/>
      <c r="J64" s="2994"/>
      <c r="K64" s="2994"/>
      <c r="L64" s="2994"/>
      <c r="N64" s="2995"/>
      <c r="O64" s="2994"/>
      <c r="P64" s="2994"/>
      <c r="Q64" s="2994"/>
      <c r="S64" s="2995"/>
      <c r="T64" s="2994"/>
      <c r="U64" s="2994"/>
      <c r="V64" s="2994"/>
      <c r="X64" s="2986"/>
      <c r="Y64" s="2986"/>
      <c r="Z64" s="2986"/>
    </row>
    <row r="65" spans="1:26">
      <c r="A65" s="2916" t="s">
        <v>2773</v>
      </c>
      <c r="B65" s="2996">
        <f t="shared" ref="B65:C67" si="47">B66+(B$64-B$68)/4</f>
        <v>105</v>
      </c>
      <c r="C65" s="2996">
        <f t="shared" si="47"/>
        <v>106</v>
      </c>
      <c r="D65" s="2996">
        <f t="shared" si="9"/>
        <v>106</v>
      </c>
      <c r="E65" s="2996">
        <f t="shared" ref="E65:F67" si="48">E66+(E$64-E$68)/4</f>
        <v>104.5</v>
      </c>
      <c r="F65" s="2996">
        <f t="shared" si="48"/>
        <v>101.5</v>
      </c>
      <c r="G65" s="3744">
        <v>2002</v>
      </c>
      <c r="H65" s="2947">
        <v>3</v>
      </c>
      <c r="I65" s="2994"/>
      <c r="J65" s="2994"/>
      <c r="K65" s="2994"/>
      <c r="L65" s="2994"/>
      <c r="X65" s="2986"/>
      <c r="Y65" s="2986"/>
      <c r="Z65" s="2986"/>
    </row>
    <row r="66" spans="1:26">
      <c r="A66" s="2916" t="s">
        <v>2774</v>
      </c>
      <c r="B66" s="2996">
        <f t="shared" si="47"/>
        <v>104</v>
      </c>
      <c r="C66" s="2996">
        <f t="shared" si="47"/>
        <v>105</v>
      </c>
      <c r="D66" s="2996">
        <f t="shared" si="9"/>
        <v>105</v>
      </c>
      <c r="E66" s="2996">
        <f t="shared" si="48"/>
        <v>104</v>
      </c>
      <c r="F66" s="2996">
        <f t="shared" si="48"/>
        <v>101</v>
      </c>
      <c r="G66" s="3744">
        <v>2002</v>
      </c>
      <c r="H66" s="2922">
        <v>2</v>
      </c>
      <c r="I66" s="2994"/>
      <c r="J66" s="2994"/>
      <c r="K66" s="2994"/>
      <c r="L66" s="2994"/>
      <c r="X66" s="2986"/>
      <c r="Y66" s="2986"/>
      <c r="Z66" s="2986"/>
    </row>
    <row r="67" spans="1:26" s="2958" customFormat="1" ht="13.5" thickBot="1">
      <c r="A67" s="2954" t="s">
        <v>2775</v>
      </c>
      <c r="B67" s="3000">
        <f t="shared" si="47"/>
        <v>103</v>
      </c>
      <c r="C67" s="3000">
        <f t="shared" si="47"/>
        <v>104</v>
      </c>
      <c r="D67" s="3000">
        <f t="shared" si="9"/>
        <v>104</v>
      </c>
      <c r="E67" s="3000">
        <f t="shared" si="48"/>
        <v>103.5</v>
      </c>
      <c r="F67" s="3000">
        <f t="shared" si="48"/>
        <v>100.5</v>
      </c>
      <c r="G67" s="3745">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2776</v>
      </c>
      <c r="G70" s="3010"/>
      <c r="N70" s="3010"/>
      <c r="S70" s="3010"/>
    </row>
    <row r="71" spans="1:26" s="3009" customFormat="1">
      <c r="A71" s="3009" t="s">
        <v>2777</v>
      </c>
      <c r="G71" s="3010"/>
      <c r="N71" s="3010"/>
      <c r="S71" s="3010"/>
    </row>
    <row r="72" spans="1:26" s="3009" customFormat="1">
      <c r="A72" s="3009" t="s">
        <v>2778</v>
      </c>
      <c r="G72" s="3010"/>
      <c r="I72" s="3011"/>
      <c r="J72" s="3011"/>
      <c r="K72" s="3011"/>
      <c r="L72" s="3011"/>
      <c r="N72" s="3012"/>
      <c r="O72" s="3011"/>
      <c r="P72" s="3011"/>
      <c r="Q72" s="3011"/>
      <c r="S72" s="3012"/>
      <c r="T72" s="3011"/>
      <c r="U72" s="3011"/>
      <c r="V72" s="3011"/>
    </row>
    <row r="73" spans="1:26" s="3009" customFormat="1">
      <c r="A73" s="3009" t="s">
        <v>2779</v>
      </c>
      <c r="G73" s="3010"/>
      <c r="N73" s="3010"/>
      <c r="S73" s="3010"/>
    </row>
    <row r="80" spans="1:26" ht="13.5" thickBot="1"/>
    <row r="81" spans="14:22" s="2931" customFormat="1">
      <c r="N81" s="2946"/>
      <c r="S81" s="3013" t="s">
        <v>2780</v>
      </c>
      <c r="T81" s="3014" t="s">
        <v>2781</v>
      </c>
      <c r="U81" s="3014" t="s">
        <v>2782</v>
      </c>
      <c r="V81" s="3014" t="s">
        <v>2783</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A37" sqref="A37:XFD3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20" t="s">
        <v>1065</v>
      </c>
      <c r="C1" s="3114" t="s">
        <v>1066</v>
      </c>
      <c r="D1" s="3105" t="s">
        <v>3154</v>
      </c>
      <c r="E1" s="3110"/>
      <c r="F1" s="3107" t="s">
        <v>3078</v>
      </c>
      <c r="G1" s="3109" t="s">
        <v>1067</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1068</v>
      </c>
      <c r="B2" s="2845">
        <f>IF(C2="——",ROUND(C50*D3/10000,0),ROUND(C50*D3/10000,0)-D2)</f>
        <v>0</v>
      </c>
      <c r="C2" s="3099" t="s">
        <v>527</v>
      </c>
      <c r="D2" s="2722"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1069</v>
      </c>
      <c r="B3" s="951">
        <f>IF(C2="——",C50,ROUND(B2*10000/D3,0))</f>
        <v>1.3</v>
      </c>
      <c r="C3" s="142" t="s">
        <v>165</v>
      </c>
      <c r="D3" s="741">
        <f>IF(D1="",'数据-汇总表'!E3,SUMIF('数据-汇总表'!$C19:$C33,D1,'数据-汇总表'!$E19:$E33))</f>
        <v>2035.05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53</v>
      </c>
      <c r="B4" s="144"/>
      <c r="C4" s="3622" t="s">
        <v>984</v>
      </c>
      <c r="D4" s="3623"/>
      <c r="E4" s="3624" t="s">
        <v>1073</v>
      </c>
      <c r="F4" s="3625"/>
      <c r="G4" s="3622" t="s">
        <v>1074</v>
      </c>
      <c r="H4" s="3623"/>
      <c r="I4" s="3622" t="s">
        <v>987</v>
      </c>
      <c r="J4" s="3623"/>
      <c r="K4" s="187" t="s">
        <v>1076</v>
      </c>
      <c r="L4" s="2294"/>
      <c r="M4" s="2295"/>
      <c r="N4" s="2295"/>
      <c r="O4" s="2295"/>
      <c r="P4" s="3661" t="s">
        <v>53</v>
      </c>
      <c r="Q4" s="3662"/>
      <c r="R4" s="3656" t="s">
        <v>1073</v>
      </c>
      <c r="S4" s="3657"/>
      <c r="T4" s="3656" t="s">
        <v>1074</v>
      </c>
      <c r="U4" s="3657"/>
      <c r="V4" s="3665" t="s">
        <v>987</v>
      </c>
      <c r="W4" s="3665"/>
      <c r="X4" s="3367"/>
      <c r="Y4" s="3656" t="s">
        <v>53</v>
      </c>
      <c r="Z4" s="3657"/>
      <c r="AA4" s="3655" t="s">
        <v>1073</v>
      </c>
      <c r="AB4" s="3655" t="s">
        <v>1074</v>
      </c>
      <c r="AC4" s="3658" t="s">
        <v>987</v>
      </c>
    </row>
    <row r="5" spans="1:29">
      <c r="A5" s="146"/>
      <c r="B5" s="147"/>
      <c r="C5" s="3615" t="s">
        <v>3079</v>
      </c>
      <c r="D5" s="3616"/>
      <c r="E5" s="3613" t="s">
        <v>3159</v>
      </c>
      <c r="F5" s="3614"/>
      <c r="G5" s="3615" t="s">
        <v>3160</v>
      </c>
      <c r="H5" s="3616"/>
      <c r="I5" s="3615" t="s">
        <v>3163</v>
      </c>
      <c r="J5" s="3616"/>
      <c r="K5" s="187"/>
      <c r="L5" s="2294"/>
      <c r="M5" s="2295"/>
      <c r="N5" s="2295"/>
      <c r="O5" s="2295"/>
      <c r="P5" s="3663"/>
      <c r="Q5" s="3629"/>
      <c r="R5" s="3611"/>
      <c r="S5" s="3612"/>
      <c r="T5" s="3611"/>
      <c r="U5" s="3612"/>
      <c r="V5" s="3634"/>
      <c r="W5" s="3634"/>
      <c r="X5" s="3365"/>
      <c r="Y5" s="3611"/>
      <c r="Z5" s="3612"/>
      <c r="AA5" s="3605"/>
      <c r="AB5" s="3605"/>
      <c r="AC5" s="3659"/>
    </row>
    <row r="6" spans="1:29" ht="14.25" thickBot="1">
      <c r="A6" s="148"/>
      <c r="B6" s="149"/>
      <c r="C6" s="3617" t="s">
        <v>60</v>
      </c>
      <c r="D6" s="3618"/>
      <c r="E6" s="3619" t="s">
        <v>60</v>
      </c>
      <c r="F6" s="3620"/>
      <c r="G6" s="3617" t="s">
        <v>60</v>
      </c>
      <c r="H6" s="3618"/>
      <c r="I6" s="3617" t="s">
        <v>60</v>
      </c>
      <c r="J6" s="3618"/>
      <c r="K6" s="187" t="s">
        <v>114</v>
      </c>
      <c r="L6" s="2294"/>
      <c r="M6" s="2295"/>
      <c r="N6" s="2295"/>
      <c r="O6" s="2295"/>
      <c r="P6" s="3664"/>
      <c r="Q6" s="3631"/>
      <c r="R6" s="3611"/>
      <c r="S6" s="3612"/>
      <c r="T6" s="3632"/>
      <c r="U6" s="3633"/>
      <c r="V6" s="3634"/>
      <c r="W6" s="3634"/>
      <c r="X6" s="3365"/>
      <c r="Y6" s="3632"/>
      <c r="Z6" s="3633"/>
      <c r="AA6" s="3606"/>
      <c r="AB6" s="3606"/>
      <c r="AC6" s="3660"/>
    </row>
    <row r="7" spans="1:29" s="40" customFormat="1" ht="15" thickBot="1">
      <c r="A7" s="1012" t="s">
        <v>1079</v>
      </c>
      <c r="B7" s="1013"/>
      <c r="C7" s="752">
        <f>'数据-取费表'!B2</f>
        <v>43003</v>
      </c>
      <c r="D7" s="753">
        <v>100</v>
      </c>
      <c r="E7" s="1015">
        <v>43003</v>
      </c>
      <c r="F7" s="755">
        <f>SUMIF(59:59,YEAR(E7)&amp;"-"&amp;MONTH(E7),60:60)</f>
        <v>100</v>
      </c>
      <c r="G7" s="1015">
        <v>43003</v>
      </c>
      <c r="H7" s="753">
        <f>SUMIF(59:59,YEAR(G7)&amp;"-"&amp;MONTH(G7),60:60)</f>
        <v>100</v>
      </c>
      <c r="I7" s="1015">
        <v>43003</v>
      </c>
      <c r="J7" s="753">
        <f>SUMIF(59:59,YEAR(I7)&amp;"-"&amp;MONTH(I7),60:60)</f>
        <v>100</v>
      </c>
      <c r="K7" s="1017"/>
      <c r="L7" s="2296"/>
      <c r="M7" s="2258"/>
      <c r="N7" s="2258"/>
      <c r="O7" s="2258"/>
      <c r="P7" s="3666" t="s">
        <v>1079</v>
      </c>
      <c r="Q7" s="3635"/>
      <c r="R7" s="1340" t="s">
        <v>62</v>
      </c>
      <c r="S7" s="1341">
        <f t="shared" ref="S7:S15" si="0">F7</f>
        <v>100</v>
      </c>
      <c r="T7" s="1340" t="s">
        <v>62</v>
      </c>
      <c r="U7" s="1341">
        <f t="shared" ref="U7:U15" si="1">H7</f>
        <v>100</v>
      </c>
      <c r="V7" s="1340" t="s">
        <v>62</v>
      </c>
      <c r="W7" s="1341">
        <f t="shared" ref="W7:W15" si="2">J7</f>
        <v>100</v>
      </c>
      <c r="X7" s="287"/>
      <c r="Y7" s="3607" t="s">
        <v>1079</v>
      </c>
      <c r="Z7" s="3608"/>
      <c r="AA7" s="1342">
        <f>D7/F7</f>
        <v>1</v>
      </c>
      <c r="AB7" s="1342">
        <f>D7/H7</f>
        <v>1</v>
      </c>
      <c r="AC7" s="2335">
        <f>D7/J7</f>
        <v>1</v>
      </c>
    </row>
    <row r="8" spans="1:29" s="40" customFormat="1" ht="15" thickBot="1">
      <c r="A8" s="1012" t="s">
        <v>1018</v>
      </c>
      <c r="B8" s="1013"/>
      <c r="C8" s="1018" t="s">
        <v>152</v>
      </c>
      <c r="D8" s="753">
        <v>100</v>
      </c>
      <c r="E8" s="1018" t="s">
        <v>152</v>
      </c>
      <c r="F8" s="755">
        <f>SUMIF(62:62,E8,63:63)-SUMIF(62:62,C8,63:63)+100</f>
        <v>100</v>
      </c>
      <c r="G8" s="1018" t="s">
        <v>152</v>
      </c>
      <c r="H8" s="753">
        <f>SUMIF(62:62,G8,63:63)-SUMIF(62:62,C8,63:63)+100</f>
        <v>100</v>
      </c>
      <c r="I8" s="1018" t="s">
        <v>152</v>
      </c>
      <c r="J8" s="753">
        <f>SUMIF(62:62,I8,63:63)-SUMIF(62:62,C8,63:63)+100</f>
        <v>100</v>
      </c>
      <c r="K8" s="1017"/>
      <c r="L8" s="2296"/>
      <c r="M8" s="2258"/>
      <c r="N8" s="2258"/>
      <c r="O8" s="2258"/>
      <c r="P8" s="3666" t="s">
        <v>1018</v>
      </c>
      <c r="Q8" s="3608"/>
      <c r="R8" s="1340" t="s">
        <v>62</v>
      </c>
      <c r="S8" s="1341">
        <f t="shared" si="0"/>
        <v>100</v>
      </c>
      <c r="T8" s="1340" t="s">
        <v>62</v>
      </c>
      <c r="U8" s="1341">
        <f t="shared" si="1"/>
        <v>100</v>
      </c>
      <c r="V8" s="1340" t="s">
        <v>62</v>
      </c>
      <c r="W8" s="1341">
        <f t="shared" si="2"/>
        <v>100</v>
      </c>
      <c r="X8" s="287"/>
      <c r="Y8" s="3607" t="s">
        <v>1018</v>
      </c>
      <c r="Z8" s="3608"/>
      <c r="AA8" s="1342">
        <f t="shared" ref="AA8:AA47" si="3">D8/F8</f>
        <v>1</v>
      </c>
      <c r="AB8" s="1342">
        <f t="shared" ref="AB8:AB47" si="4">D8/H8</f>
        <v>1</v>
      </c>
      <c r="AC8" s="2335">
        <f t="shared" ref="AC8:AC47" si="5">D8/J8</f>
        <v>1</v>
      </c>
    </row>
    <row r="9" spans="1:29" s="40" customFormat="1" ht="14.25">
      <c r="A9" s="1019" t="s">
        <v>1019</v>
      </c>
      <c r="B9" s="62" t="s">
        <v>998</v>
      </c>
      <c r="C9" s="1344" t="s">
        <v>3080</v>
      </c>
      <c r="D9" s="424">
        <v>100</v>
      </c>
      <c r="E9" s="1346" t="s">
        <v>3043</v>
      </c>
      <c r="F9" s="424">
        <f>SUMIF(64:64,E9,65:65)-SUMIF(64:64,C9,65:65)+100</f>
        <v>100</v>
      </c>
      <c r="G9" s="1345" t="s">
        <v>3043</v>
      </c>
      <c r="H9" s="424">
        <f>SUMIF(64:64,G9,65:65)-SUMIF(64:64,C9,65:65)+100</f>
        <v>100</v>
      </c>
      <c r="I9" s="1345" t="s">
        <v>3043</v>
      </c>
      <c r="J9" s="424">
        <f>SUMIF(64:64,I9,65:65)-SUMIF(64:64,C9,65:65)+100</f>
        <v>100</v>
      </c>
      <c r="K9" s="1017"/>
      <c r="L9" s="2296"/>
      <c r="M9" s="2258"/>
      <c r="N9" s="2258"/>
      <c r="O9" s="2258"/>
      <c r="P9" s="3621" t="s">
        <v>64</v>
      </c>
      <c r="Q9" s="3359" t="str">
        <f t="shared" ref="Q9:Q15" si="6">B9</f>
        <v>用途</v>
      </c>
      <c r="R9" s="1340" t="s">
        <v>62</v>
      </c>
      <c r="S9" s="1341">
        <f t="shared" si="0"/>
        <v>100</v>
      </c>
      <c r="T9" s="1340" t="s">
        <v>62</v>
      </c>
      <c r="U9" s="1341">
        <f t="shared" si="1"/>
        <v>100</v>
      </c>
      <c r="V9" s="1340" t="s">
        <v>62</v>
      </c>
      <c r="W9" s="1341">
        <f t="shared" si="2"/>
        <v>100</v>
      </c>
      <c r="X9" s="287"/>
      <c r="Y9" s="3450" t="s">
        <v>64</v>
      </c>
      <c r="Z9" s="3360" t="str">
        <f t="shared" ref="Z9:Z15" si="7">Q9</f>
        <v>用途</v>
      </c>
      <c r="AA9" s="1342">
        <f t="shared" si="3"/>
        <v>1</v>
      </c>
      <c r="AB9" s="1342">
        <f t="shared" si="4"/>
        <v>1</v>
      </c>
      <c r="AC9" s="2335">
        <f t="shared" si="5"/>
        <v>1</v>
      </c>
    </row>
    <row r="10" spans="1:29" s="92" customFormat="1" ht="27.75" thickBot="1">
      <c r="A10" s="150"/>
      <c r="B10" s="3361" t="s">
        <v>103</v>
      </c>
      <c r="C10" s="1347" t="s">
        <v>3081</v>
      </c>
      <c r="D10" s="425">
        <v>100</v>
      </c>
      <c r="E10" s="1347" t="s">
        <v>3081</v>
      </c>
      <c r="F10" s="425">
        <f>SUMIF(66:66,E10,67:67)-SUMIF(66:66,C10,67:67)+100</f>
        <v>100</v>
      </c>
      <c r="G10" s="1348" t="s">
        <v>3081</v>
      </c>
      <c r="H10" s="425">
        <f>SUMIF(66:66,G10,67:67)-SUMIF(66:66,C10,67:67)+100</f>
        <v>100</v>
      </c>
      <c r="I10" s="1347" t="s">
        <v>3081</v>
      </c>
      <c r="J10" s="425">
        <f>SUMIF(66:66,I10,67:67)-SUMIF(66:66,C10,67:67)+100</f>
        <v>100</v>
      </c>
      <c r="K10" s="954">
        <v>2</v>
      </c>
      <c r="L10" s="2297"/>
      <c r="M10" s="2298"/>
      <c r="N10" s="2298"/>
      <c r="O10" s="2298"/>
      <c r="P10" s="3621"/>
      <c r="Q10" s="3359" t="str">
        <f t="shared" si="6"/>
        <v>土地使用年限（年）</v>
      </c>
      <c r="R10" s="1340" t="s">
        <v>62</v>
      </c>
      <c r="S10" s="1341">
        <f t="shared" si="0"/>
        <v>100</v>
      </c>
      <c r="T10" s="1340" t="s">
        <v>62</v>
      </c>
      <c r="U10" s="1341">
        <f t="shared" si="1"/>
        <v>100</v>
      </c>
      <c r="V10" s="1340" t="s">
        <v>62</v>
      </c>
      <c r="W10" s="1341">
        <f t="shared" si="2"/>
        <v>100</v>
      </c>
      <c r="X10" s="287"/>
      <c r="Y10" s="3450"/>
      <c r="Z10" s="3360" t="str">
        <f t="shared" si="7"/>
        <v>土地使用年限（年）</v>
      </c>
      <c r="AA10" s="1342">
        <f t="shared" si="3"/>
        <v>1</v>
      </c>
      <c r="AB10" s="1342">
        <f t="shared" si="4"/>
        <v>1</v>
      </c>
      <c r="AC10" s="2335">
        <f t="shared" si="5"/>
        <v>1</v>
      </c>
    </row>
    <row r="11" spans="1:29" ht="15.75" hidden="1" thickBot="1">
      <c r="A11" s="151"/>
      <c r="B11" s="3361" t="s">
        <v>90</v>
      </c>
      <c r="C11" s="771">
        <f>'比较法-商业'!C11</f>
        <v>3.5</v>
      </c>
      <c r="D11" s="425">
        <v>100</v>
      </c>
      <c r="E11" s="771">
        <f>'比较法-商业'!E11</f>
        <v>4.37</v>
      </c>
      <c r="F11" s="425">
        <f>LOOKUP(E11,69:69,70:70)-LOOKUP(C11,69:69,70:70)+100</f>
        <v>100</v>
      </c>
      <c r="G11" s="772">
        <f>'比较法-商业'!G11</f>
        <v>3.99</v>
      </c>
      <c r="H11" s="425">
        <f>LOOKUP(G11,69:69,70:70)-LOOKUP(C11,69:69,70:70)+100</f>
        <v>100</v>
      </c>
      <c r="I11" s="771">
        <f>'比较法-商业'!I11</f>
        <v>3.5</v>
      </c>
      <c r="J11" s="425">
        <f>LOOKUP(I11,69:69,70:70)-LOOKUP(C11,69:69,70:70)+100</f>
        <v>100</v>
      </c>
      <c r="K11" s="954"/>
      <c r="L11" s="2299"/>
      <c r="M11" s="2295"/>
      <c r="N11" s="2295"/>
      <c r="O11" s="2295"/>
      <c r="P11" s="3621"/>
      <c r="Q11" s="3359" t="str">
        <f t="shared" si="6"/>
        <v>容积率</v>
      </c>
      <c r="R11" s="1340" t="s">
        <v>62</v>
      </c>
      <c r="S11" s="1341">
        <f t="shared" si="0"/>
        <v>100</v>
      </c>
      <c r="T11" s="1340" t="s">
        <v>62</v>
      </c>
      <c r="U11" s="1341">
        <f t="shared" si="1"/>
        <v>100</v>
      </c>
      <c r="V11" s="1340" t="s">
        <v>62</v>
      </c>
      <c r="W11" s="1341">
        <f t="shared" si="2"/>
        <v>100</v>
      </c>
      <c r="X11" s="287"/>
      <c r="Y11" s="3450"/>
      <c r="Z11" s="3360" t="str">
        <f t="shared" si="7"/>
        <v>容积率</v>
      </c>
      <c r="AA11" s="1342">
        <f t="shared" si="3"/>
        <v>1</v>
      </c>
      <c r="AB11" s="1342">
        <f t="shared" si="4"/>
        <v>1</v>
      </c>
      <c r="AC11" s="2335">
        <f t="shared" si="5"/>
        <v>1</v>
      </c>
    </row>
    <row r="12" spans="1:29" s="40" customFormat="1" ht="15" hidden="1" thickBot="1">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21"/>
      <c r="Q12" s="3359">
        <f t="shared" si="6"/>
        <v>111</v>
      </c>
      <c r="R12" s="1340" t="s">
        <v>62</v>
      </c>
      <c r="S12" s="1341">
        <f t="shared" si="0"/>
        <v>100</v>
      </c>
      <c r="T12" s="1340" t="s">
        <v>62</v>
      </c>
      <c r="U12" s="1341">
        <f t="shared" si="1"/>
        <v>100</v>
      </c>
      <c r="V12" s="1340" t="s">
        <v>62</v>
      </c>
      <c r="W12" s="1341">
        <f t="shared" si="2"/>
        <v>100</v>
      </c>
      <c r="X12" s="287"/>
      <c r="Y12" s="3450"/>
      <c r="Z12" s="3360">
        <f t="shared" si="7"/>
        <v>111</v>
      </c>
      <c r="AA12" s="1342">
        <f>D12/F12</f>
        <v>1</v>
      </c>
      <c r="AB12" s="1342">
        <f>D12/H12</f>
        <v>1</v>
      </c>
      <c r="AC12" s="2335">
        <f>D12/J12</f>
        <v>1</v>
      </c>
    </row>
    <row r="13" spans="1:29" ht="15" hidden="1" thickBot="1">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21"/>
      <c r="Q13" s="3359">
        <f t="shared" si="6"/>
        <v>111</v>
      </c>
      <c r="R13" s="1340" t="s">
        <v>62</v>
      </c>
      <c r="S13" s="1341">
        <f t="shared" si="0"/>
        <v>100</v>
      </c>
      <c r="T13" s="1340" t="s">
        <v>62</v>
      </c>
      <c r="U13" s="1341">
        <f t="shared" si="1"/>
        <v>100</v>
      </c>
      <c r="V13" s="1340" t="s">
        <v>62</v>
      </c>
      <c r="W13" s="1341">
        <f t="shared" si="2"/>
        <v>100</v>
      </c>
      <c r="X13" s="287"/>
      <c r="Y13" s="3450"/>
      <c r="Z13" s="3360">
        <f t="shared" si="7"/>
        <v>111</v>
      </c>
      <c r="AA13" s="1342">
        <f t="shared" si="3"/>
        <v>1</v>
      </c>
      <c r="AB13" s="1342">
        <f t="shared" si="4"/>
        <v>1</v>
      </c>
      <c r="AC13" s="2335">
        <f t="shared" si="5"/>
        <v>1</v>
      </c>
    </row>
    <row r="14" spans="1:29" ht="15" hidden="1"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21"/>
      <c r="Q14" s="3359">
        <f t="shared" si="6"/>
        <v>111</v>
      </c>
      <c r="R14" s="1340" t="s">
        <v>62</v>
      </c>
      <c r="S14" s="1341">
        <f t="shared" si="0"/>
        <v>100</v>
      </c>
      <c r="T14" s="1340" t="s">
        <v>62</v>
      </c>
      <c r="U14" s="1341">
        <f t="shared" si="1"/>
        <v>100</v>
      </c>
      <c r="V14" s="1340" t="s">
        <v>62</v>
      </c>
      <c r="W14" s="1341">
        <f t="shared" si="2"/>
        <v>100</v>
      </c>
      <c r="X14" s="287"/>
      <c r="Y14" s="3450"/>
      <c r="Z14" s="3360">
        <f t="shared" si="7"/>
        <v>111</v>
      </c>
      <c r="AA14" s="1342">
        <f t="shared" si="3"/>
        <v>1</v>
      </c>
      <c r="AB14" s="1342">
        <f t="shared" si="4"/>
        <v>1</v>
      </c>
      <c r="AC14" s="2335">
        <f t="shared" si="5"/>
        <v>1</v>
      </c>
    </row>
    <row r="15" spans="1:29" ht="67.5">
      <c r="A15" s="155" t="s">
        <v>66</v>
      </c>
      <c r="B15" s="1031" t="s">
        <v>139</v>
      </c>
      <c r="C15" s="208" t="str">
        <f>估价对象房地状况!C5</f>
        <v>估价对象位于开发区，周边办公楼项目较多，入驻率高，办公集聚程度一般</v>
      </c>
      <c r="D15" s="783">
        <v>100</v>
      </c>
      <c r="E15" s="96"/>
      <c r="F15" s="783">
        <f>SUMIF(77:77,E16,78:78)-SUMIF(77:77,C16,78:78)+100</f>
        <v>100</v>
      </c>
      <c r="G15" s="95"/>
      <c r="H15" s="783">
        <f>SUMIF(77:77,G16,78:78)-SUMIF(77:77,C16,78:78)+100</f>
        <v>100</v>
      </c>
      <c r="I15" s="95"/>
      <c r="J15" s="783">
        <f>SUMIF(77:77,I16,78:78)-SUMIF(77:77,C16,78:78)+100</f>
        <v>100</v>
      </c>
      <c r="K15" s="956">
        <v>2</v>
      </c>
      <c r="L15" s="2300"/>
      <c r="M15" s="2295"/>
      <c r="N15" s="2295"/>
      <c r="O15" s="2295"/>
      <c r="P15" s="3648" t="s">
        <v>66</v>
      </c>
      <c r="Q15" s="3363" t="str">
        <f t="shared" si="6"/>
        <v>办公集聚程度</v>
      </c>
      <c r="R15" s="1350" t="s">
        <v>62</v>
      </c>
      <c r="S15" s="1351">
        <f t="shared" si="0"/>
        <v>100</v>
      </c>
      <c r="T15" s="1350" t="s">
        <v>62</v>
      </c>
      <c r="U15" s="1351">
        <f t="shared" si="1"/>
        <v>100</v>
      </c>
      <c r="V15" s="1350" t="s">
        <v>62</v>
      </c>
      <c r="W15" s="1351">
        <f t="shared" si="2"/>
        <v>100</v>
      </c>
      <c r="X15" s="3365"/>
      <c r="Y15" s="3641" t="s">
        <v>66</v>
      </c>
      <c r="Z15" s="3366" t="str">
        <f t="shared" si="7"/>
        <v>办公集聚程度</v>
      </c>
      <c r="AA15" s="3364">
        <f t="shared" si="3"/>
        <v>1</v>
      </c>
      <c r="AB15" s="3364">
        <f t="shared" si="4"/>
        <v>1</v>
      </c>
      <c r="AC15" s="2336">
        <f t="shared" si="5"/>
        <v>1</v>
      </c>
    </row>
    <row r="16" spans="1:29" ht="14.25">
      <c r="A16" s="151"/>
      <c r="B16" s="209"/>
      <c r="C16" s="192" t="s">
        <v>3082</v>
      </c>
      <c r="D16" s="790"/>
      <c r="E16" s="97" t="s">
        <v>3082</v>
      </c>
      <c r="F16" s="790"/>
      <c r="G16" s="192" t="s">
        <v>3082</v>
      </c>
      <c r="H16" s="792"/>
      <c r="I16" s="97" t="s">
        <v>3082</v>
      </c>
      <c r="J16" s="790"/>
      <c r="K16" s="189"/>
      <c r="L16" s="2300"/>
      <c r="M16" s="2295"/>
      <c r="N16" s="2295"/>
      <c r="O16" s="2295"/>
      <c r="P16" s="3649"/>
      <c r="Q16" s="3363"/>
      <c r="R16" s="1350"/>
      <c r="S16" s="1351"/>
      <c r="T16" s="1350"/>
      <c r="U16" s="1351"/>
      <c r="V16" s="1350"/>
      <c r="W16" s="1351"/>
      <c r="X16" s="3365"/>
      <c r="Y16" s="3642"/>
      <c r="Z16" s="3366"/>
      <c r="AA16" s="3364">
        <v>1</v>
      </c>
      <c r="AB16" s="3364">
        <v>1</v>
      </c>
      <c r="AC16" s="2336">
        <v>1</v>
      </c>
    </row>
    <row r="17" spans="1:29" ht="81">
      <c r="A17" s="151"/>
      <c r="B17" s="1032" t="s">
        <v>69</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v>2</v>
      </c>
      <c r="L17" s="2300"/>
      <c r="M17" s="2295"/>
      <c r="N17" s="2295"/>
      <c r="O17" s="2295"/>
      <c r="P17" s="3649"/>
      <c r="Q17" s="3363" t="str">
        <f>B17</f>
        <v>交通便捷度</v>
      </c>
      <c r="R17" s="1350" t="s">
        <v>62</v>
      </c>
      <c r="S17" s="1351">
        <f>F17</f>
        <v>100</v>
      </c>
      <c r="T17" s="1350" t="s">
        <v>62</v>
      </c>
      <c r="U17" s="1351">
        <f>H17</f>
        <v>100</v>
      </c>
      <c r="V17" s="1350" t="s">
        <v>62</v>
      </c>
      <c r="W17" s="1351">
        <f>J17</f>
        <v>100</v>
      </c>
      <c r="X17" s="3365"/>
      <c r="Y17" s="3642"/>
      <c r="Z17" s="3366" t="str">
        <f>Q17</f>
        <v>交通便捷度</v>
      </c>
      <c r="AA17" s="3364">
        <f t="shared" si="3"/>
        <v>1</v>
      </c>
      <c r="AB17" s="3364">
        <f t="shared" si="4"/>
        <v>1</v>
      </c>
      <c r="AC17" s="2336">
        <f t="shared" si="5"/>
        <v>1</v>
      </c>
    </row>
    <row r="18" spans="1:29" ht="14.25">
      <c r="A18" s="151"/>
      <c r="B18" s="1033"/>
      <c r="C18" s="193" t="s">
        <v>3082</v>
      </c>
      <c r="D18" s="792"/>
      <c r="E18" s="104" t="s">
        <v>3082</v>
      </c>
      <c r="F18" s="792"/>
      <c r="G18" s="103" t="s">
        <v>3082</v>
      </c>
      <c r="H18" s="790"/>
      <c r="I18" s="103" t="s">
        <v>3082</v>
      </c>
      <c r="J18" s="790"/>
      <c r="K18" s="189"/>
      <c r="L18" s="2300"/>
      <c r="M18" s="2295"/>
      <c r="N18" s="2295"/>
      <c r="O18" s="2295"/>
      <c r="P18" s="3649"/>
      <c r="Q18" s="3363"/>
      <c r="R18" s="1350"/>
      <c r="S18" s="1351"/>
      <c r="T18" s="1350"/>
      <c r="U18" s="1351"/>
      <c r="V18" s="1350"/>
      <c r="W18" s="1351"/>
      <c r="X18" s="3365"/>
      <c r="Y18" s="3642"/>
      <c r="Z18" s="3366"/>
      <c r="AA18" s="3364">
        <v>1</v>
      </c>
      <c r="AB18" s="3364">
        <v>1</v>
      </c>
      <c r="AC18" s="2336">
        <v>1</v>
      </c>
    </row>
    <row r="19" spans="1:29" ht="40.5">
      <c r="A19" s="151"/>
      <c r="B19" s="1032" t="s">
        <v>2659</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v>2</v>
      </c>
      <c r="L19" s="2300"/>
      <c r="M19" s="2295"/>
      <c r="N19" s="2295"/>
      <c r="O19" s="2295"/>
      <c r="P19" s="3649"/>
      <c r="Q19" s="3363" t="str">
        <f>B19</f>
        <v>公共配套设施</v>
      </c>
      <c r="R19" s="1350" t="s">
        <v>62</v>
      </c>
      <c r="S19" s="1351">
        <f>F19</f>
        <v>100</v>
      </c>
      <c r="T19" s="1350" t="s">
        <v>62</v>
      </c>
      <c r="U19" s="1351">
        <f>H19</f>
        <v>100</v>
      </c>
      <c r="V19" s="1350" t="s">
        <v>62</v>
      </c>
      <c r="W19" s="1351">
        <f>J19</f>
        <v>100</v>
      </c>
      <c r="X19" s="3365"/>
      <c r="Y19" s="3642"/>
      <c r="Z19" s="3366" t="str">
        <f>Q19</f>
        <v>公共配套设施</v>
      </c>
      <c r="AA19" s="3364">
        <f t="shared" si="3"/>
        <v>1</v>
      </c>
      <c r="AB19" s="3364">
        <f t="shared" si="4"/>
        <v>1</v>
      </c>
      <c r="AC19" s="2336">
        <f t="shared" si="5"/>
        <v>1</v>
      </c>
    </row>
    <row r="20" spans="1:29" ht="14.25">
      <c r="A20" s="151"/>
      <c r="B20" s="1033"/>
      <c r="C20" s="192" t="s">
        <v>3082</v>
      </c>
      <c r="D20" s="790"/>
      <c r="E20" s="99" t="s">
        <v>3082</v>
      </c>
      <c r="F20" s="790"/>
      <c r="G20" s="98" t="s">
        <v>3082</v>
      </c>
      <c r="H20" s="790"/>
      <c r="I20" s="98" t="s">
        <v>3082</v>
      </c>
      <c r="J20" s="790"/>
      <c r="K20" s="189"/>
      <c r="L20" s="2300"/>
      <c r="M20" s="2295"/>
      <c r="N20" s="2295"/>
      <c r="O20" s="2295"/>
      <c r="P20" s="3649"/>
      <c r="Q20" s="3363"/>
      <c r="R20" s="1350"/>
      <c r="S20" s="1351"/>
      <c r="T20" s="1350"/>
      <c r="U20" s="1351"/>
      <c r="V20" s="1350"/>
      <c r="W20" s="1351"/>
      <c r="X20" s="3365"/>
      <c r="Y20" s="3642"/>
      <c r="Z20" s="3366"/>
      <c r="AA20" s="3364">
        <v>1</v>
      </c>
      <c r="AB20" s="3364">
        <v>1</v>
      </c>
      <c r="AC20" s="2336">
        <v>1</v>
      </c>
    </row>
    <row r="21" spans="1:29" ht="27">
      <c r="A21" s="151"/>
      <c r="B21" s="1034" t="s">
        <v>2660</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v>1</v>
      </c>
      <c r="L21" s="2300"/>
      <c r="M21" s="2295"/>
      <c r="N21" s="2295"/>
      <c r="O21" s="2295"/>
      <c r="P21" s="3649"/>
      <c r="Q21" s="3363" t="str">
        <f>B21</f>
        <v>基础设施水平</v>
      </c>
      <c r="R21" s="1350" t="s">
        <v>62</v>
      </c>
      <c r="S21" s="1351">
        <f>F21</f>
        <v>100</v>
      </c>
      <c r="T21" s="1350" t="s">
        <v>62</v>
      </c>
      <c r="U21" s="1351">
        <f>H21</f>
        <v>100</v>
      </c>
      <c r="V21" s="1350" t="s">
        <v>62</v>
      </c>
      <c r="W21" s="1351">
        <f>J21</f>
        <v>100</v>
      </c>
      <c r="X21" s="3365"/>
      <c r="Y21" s="3642"/>
      <c r="Z21" s="3366" t="str">
        <f>Q21</f>
        <v>基础设施水平</v>
      </c>
      <c r="AA21" s="3364">
        <f t="shared" ref="AA21" si="8">D21/F21</f>
        <v>1</v>
      </c>
      <c r="AB21" s="3364">
        <f t="shared" ref="AB21" si="9">D21/H21</f>
        <v>1</v>
      </c>
      <c r="AC21" s="2336">
        <f t="shared" ref="AC21" si="10">D21/J21</f>
        <v>1</v>
      </c>
    </row>
    <row r="22" spans="1:29" ht="14.25">
      <c r="A22" s="151"/>
      <c r="B22" s="1034"/>
      <c r="C22" s="193" t="s">
        <v>3083</v>
      </c>
      <c r="D22" s="790"/>
      <c r="E22" s="97" t="s">
        <v>3083</v>
      </c>
      <c r="F22" s="790"/>
      <c r="G22" s="192" t="s">
        <v>3083</v>
      </c>
      <c r="H22" s="790"/>
      <c r="I22" s="192" t="s">
        <v>3083</v>
      </c>
      <c r="J22" s="790"/>
      <c r="K22" s="2764"/>
      <c r="L22" s="2300"/>
      <c r="M22" s="2295"/>
      <c r="N22" s="2295"/>
      <c r="O22" s="2295"/>
      <c r="P22" s="3649"/>
      <c r="Q22" s="3363"/>
      <c r="R22" s="1350"/>
      <c r="S22" s="1351"/>
      <c r="T22" s="1350"/>
      <c r="U22" s="1351"/>
      <c r="V22" s="1350"/>
      <c r="W22" s="1351"/>
      <c r="X22" s="3365"/>
      <c r="Y22" s="3642"/>
      <c r="Z22" s="3366"/>
      <c r="AA22" s="3364">
        <v>1</v>
      </c>
      <c r="AB22" s="3364">
        <v>1</v>
      </c>
      <c r="AC22" s="2336">
        <v>1</v>
      </c>
    </row>
    <row r="23" spans="1:29" ht="54">
      <c r="A23" s="151"/>
      <c r="B23" s="1032" t="s">
        <v>140</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v>2</v>
      </c>
      <c r="L23" s="2300"/>
      <c r="M23" s="2295"/>
      <c r="N23" s="2295"/>
      <c r="O23" s="2295"/>
      <c r="P23" s="3649"/>
      <c r="Q23" s="3363" t="str">
        <f>B23</f>
        <v>环境质量</v>
      </c>
      <c r="R23" s="1350" t="s">
        <v>62</v>
      </c>
      <c r="S23" s="1351">
        <f>F23</f>
        <v>100</v>
      </c>
      <c r="T23" s="1350" t="s">
        <v>62</v>
      </c>
      <c r="U23" s="1351">
        <f>H23</f>
        <v>100</v>
      </c>
      <c r="V23" s="1350" t="s">
        <v>62</v>
      </c>
      <c r="W23" s="1351">
        <f>J23</f>
        <v>100</v>
      </c>
      <c r="X23" s="3365"/>
      <c r="Y23" s="3642"/>
      <c r="Z23" s="3366" t="str">
        <f>Q23</f>
        <v>环境质量</v>
      </c>
      <c r="AA23" s="3364">
        <f t="shared" si="3"/>
        <v>1</v>
      </c>
      <c r="AB23" s="3364">
        <f t="shared" si="4"/>
        <v>1</v>
      </c>
      <c r="AC23" s="2336">
        <f t="shared" si="5"/>
        <v>1</v>
      </c>
    </row>
    <row r="24" spans="1:29" ht="14.25">
      <c r="A24" s="151"/>
      <c r="B24" s="1034"/>
      <c r="C24" s="192" t="s">
        <v>3082</v>
      </c>
      <c r="D24" s="790"/>
      <c r="E24" s="99" t="s">
        <v>3082</v>
      </c>
      <c r="F24" s="790"/>
      <c r="G24" s="98" t="s">
        <v>3082</v>
      </c>
      <c r="H24" s="790"/>
      <c r="I24" s="98" t="s">
        <v>3082</v>
      </c>
      <c r="J24" s="790"/>
      <c r="K24" s="189"/>
      <c r="L24" s="2300"/>
      <c r="M24" s="2295"/>
      <c r="N24" s="2295"/>
      <c r="O24" s="2295"/>
      <c r="P24" s="3649"/>
      <c r="Q24" s="3363"/>
      <c r="R24" s="1350"/>
      <c r="S24" s="1351"/>
      <c r="T24" s="1350"/>
      <c r="U24" s="1351"/>
      <c r="V24" s="1350"/>
      <c r="W24" s="1351"/>
      <c r="X24" s="3365"/>
      <c r="Y24" s="3642"/>
      <c r="Z24" s="3366"/>
      <c r="AA24" s="3364">
        <v>1</v>
      </c>
      <c r="AB24" s="3364">
        <v>1</v>
      </c>
      <c r="AC24" s="2336">
        <v>1</v>
      </c>
    </row>
    <row r="25" spans="1:29" ht="27">
      <c r="A25" s="146"/>
      <c r="B25" s="1032" t="s">
        <v>141</v>
      </c>
      <c r="C25" s="194" t="s">
        <v>3162</v>
      </c>
      <c r="D25" s="777">
        <v>100</v>
      </c>
      <c r="E25" s="93" t="str">
        <f>'比较法-办公'!E25</f>
        <v>新华西路</v>
      </c>
      <c r="F25" s="777">
        <f>SUMIF(87:87,E26,88:88)-SUMIF(87:87,C26,88:88)+100</f>
        <v>100</v>
      </c>
      <c r="G25" s="194" t="str">
        <f>'比较法-办公'!G25</f>
        <v>解放西路</v>
      </c>
      <c r="H25" s="777">
        <f>SUMIF(87:87,G26,88:88)-SUMIF(87:87,C26,88:88)+100</f>
        <v>100</v>
      </c>
      <c r="I25" s="93" t="str">
        <f>C25</f>
        <v>山东路</v>
      </c>
      <c r="J25" s="777">
        <f>SUMIF(87:87,I26,88:88)-SUMIF(87:87,C26,88:88)+100</f>
        <v>100</v>
      </c>
      <c r="K25" s="956">
        <v>2</v>
      </c>
      <c r="L25" s="2300"/>
      <c r="M25" s="2295"/>
      <c r="N25" s="2295"/>
      <c r="O25" s="2295"/>
      <c r="P25" s="3649"/>
      <c r="Q25" s="3363" t="str">
        <f>B25</f>
        <v>毗邻道路的类型与等级</v>
      </c>
      <c r="R25" s="1350" t="s">
        <v>62</v>
      </c>
      <c r="S25" s="1351">
        <f>F25</f>
        <v>100</v>
      </c>
      <c r="T25" s="1350" t="s">
        <v>62</v>
      </c>
      <c r="U25" s="1351">
        <f>H25</f>
        <v>100</v>
      </c>
      <c r="V25" s="1350" t="s">
        <v>62</v>
      </c>
      <c r="W25" s="1351">
        <f>J25</f>
        <v>100</v>
      </c>
      <c r="X25" s="3365"/>
      <c r="Y25" s="3642"/>
      <c r="Z25" s="3366" t="str">
        <f>Q25</f>
        <v>毗邻道路的类型与等级</v>
      </c>
      <c r="AA25" s="3364">
        <f t="shared" si="3"/>
        <v>1</v>
      </c>
      <c r="AB25" s="3364">
        <f t="shared" si="4"/>
        <v>1</v>
      </c>
      <c r="AC25" s="2336">
        <f t="shared" si="5"/>
        <v>1</v>
      </c>
    </row>
    <row r="26" spans="1:29" ht="14.25">
      <c r="A26" s="146"/>
      <c r="B26" s="1033"/>
      <c r="C26" s="195" t="s">
        <v>3088</v>
      </c>
      <c r="D26" s="777"/>
      <c r="E26" s="182" t="s">
        <v>3088</v>
      </c>
      <c r="F26" s="777"/>
      <c r="G26" s="195" t="s">
        <v>3088</v>
      </c>
      <c r="H26" s="777"/>
      <c r="I26" s="182" t="s">
        <v>3088</v>
      </c>
      <c r="J26" s="777"/>
      <c r="K26" s="189"/>
      <c r="L26" s="2300"/>
      <c r="M26" s="2295"/>
      <c r="N26" s="2295"/>
      <c r="O26" s="2295"/>
      <c r="P26" s="3649"/>
      <c r="Q26" s="3363"/>
      <c r="R26" s="1350"/>
      <c r="S26" s="1351"/>
      <c r="T26" s="1350"/>
      <c r="U26" s="1351"/>
      <c r="V26" s="1350"/>
      <c r="W26" s="1351"/>
      <c r="X26" s="3365"/>
      <c r="Y26" s="3642"/>
      <c r="Z26" s="3366"/>
      <c r="AA26" s="3364">
        <v>1</v>
      </c>
      <c r="AB26" s="3364">
        <v>1</v>
      </c>
      <c r="AC26" s="2336">
        <v>1</v>
      </c>
    </row>
    <row r="27" spans="1:29" ht="15.75" thickBot="1">
      <c r="A27" s="151"/>
      <c r="B27" s="1033" t="s">
        <v>129</v>
      </c>
      <c r="C27" s="195" t="s">
        <v>3093</v>
      </c>
      <c r="D27" s="777">
        <v>100</v>
      </c>
      <c r="E27" s="182" t="s">
        <v>3093</v>
      </c>
      <c r="F27" s="777">
        <f>SUMIF(89:89,E27,90:90)-SUMIF(89:89,C27,90:90)+100</f>
        <v>100</v>
      </c>
      <c r="G27" s="195" t="s">
        <v>3093</v>
      </c>
      <c r="H27" s="777">
        <f>SUMIF(89:89,G27,90:90)-SUMIF(89:89,C27,90:90)+100</f>
        <v>100</v>
      </c>
      <c r="I27" s="182" t="s">
        <v>3171</v>
      </c>
      <c r="J27" s="777">
        <f>SUMIF(89:89,I27,90:90)-SUMIF(89:89,C27,90:90)+100</f>
        <v>95</v>
      </c>
      <c r="K27" s="954">
        <v>5</v>
      </c>
      <c r="L27" s="2300"/>
      <c r="M27" s="2295"/>
      <c r="N27" s="2295"/>
      <c r="O27" s="2295"/>
      <c r="P27" s="3649"/>
      <c r="Q27" s="3363" t="str">
        <f t="shared" ref="Q27:Q47" si="11">B27</f>
        <v>楼层</v>
      </c>
      <c r="R27" s="1350" t="s">
        <v>62</v>
      </c>
      <c r="S27" s="1351">
        <f>F27</f>
        <v>100</v>
      </c>
      <c r="T27" s="1350" t="s">
        <v>62</v>
      </c>
      <c r="U27" s="1351">
        <f>H27</f>
        <v>100</v>
      </c>
      <c r="V27" s="1350" t="s">
        <v>62</v>
      </c>
      <c r="W27" s="1351">
        <f>J27</f>
        <v>95</v>
      </c>
      <c r="X27" s="3365"/>
      <c r="Y27" s="3642"/>
      <c r="Z27" s="3366" t="str">
        <f>Q27</f>
        <v>楼层</v>
      </c>
      <c r="AA27" s="3364">
        <f t="shared" si="3"/>
        <v>1</v>
      </c>
      <c r="AB27" s="3364">
        <f t="shared" si="4"/>
        <v>1</v>
      </c>
      <c r="AC27" s="2336">
        <f t="shared" si="5"/>
        <v>1.0526315789473684</v>
      </c>
    </row>
    <row r="28" spans="1:29" s="40" customFormat="1" ht="15.75" hidden="1" thickBot="1">
      <c r="A28" s="1028"/>
      <c r="B28" s="1032" t="s">
        <v>142</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649"/>
      <c r="Q28" s="3359" t="str">
        <f t="shared" si="11"/>
        <v>朝向</v>
      </c>
      <c r="R28" s="1340" t="s">
        <v>62</v>
      </c>
      <c r="S28" s="1341">
        <f>F28</f>
        <v>100</v>
      </c>
      <c r="T28" s="1340" t="s">
        <v>62</v>
      </c>
      <c r="U28" s="1341">
        <f>H28</f>
        <v>100</v>
      </c>
      <c r="V28" s="1340" t="s">
        <v>62</v>
      </c>
      <c r="W28" s="1341">
        <f>J28</f>
        <v>100</v>
      </c>
      <c r="X28" s="287"/>
      <c r="Y28" s="3642"/>
      <c r="Z28" s="3360" t="str">
        <f>Q28</f>
        <v>朝向</v>
      </c>
      <c r="AA28" s="3364">
        <f>D28/F28</f>
        <v>1</v>
      </c>
      <c r="AB28" s="3364">
        <f>D28/H28</f>
        <v>1</v>
      </c>
      <c r="AC28" s="2336">
        <f>D28/J28</f>
        <v>1</v>
      </c>
    </row>
    <row r="29" spans="1:29" ht="15" hidden="1" thickBot="1">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49"/>
      <c r="Q29" s="3363">
        <f t="shared" si="11"/>
        <v>111</v>
      </c>
      <c r="R29" s="1350" t="s">
        <v>62</v>
      </c>
      <c r="S29" s="1351">
        <f t="shared" ref="S29:S47" si="12">F29</f>
        <v>100</v>
      </c>
      <c r="T29" s="1350" t="s">
        <v>62</v>
      </c>
      <c r="U29" s="1351">
        <f t="shared" ref="U29:U47" si="13">H29</f>
        <v>100</v>
      </c>
      <c r="V29" s="1350" t="s">
        <v>62</v>
      </c>
      <c r="W29" s="1351">
        <f t="shared" ref="W29:W47" si="14">J29</f>
        <v>100</v>
      </c>
      <c r="X29" s="3365"/>
      <c r="Y29" s="3642"/>
      <c r="Z29" s="3366">
        <f t="shared" ref="Z29:Z47" si="15">Q29</f>
        <v>111</v>
      </c>
      <c r="AA29" s="3364">
        <f t="shared" si="3"/>
        <v>1</v>
      </c>
      <c r="AB29" s="3364">
        <f t="shared" si="4"/>
        <v>1</v>
      </c>
      <c r="AC29" s="2336">
        <f t="shared" si="5"/>
        <v>1</v>
      </c>
    </row>
    <row r="30" spans="1:29" ht="15" hidden="1" thickBot="1">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49"/>
      <c r="Q30" s="3363">
        <f t="shared" si="11"/>
        <v>111</v>
      </c>
      <c r="R30" s="1350" t="s">
        <v>62</v>
      </c>
      <c r="S30" s="1351">
        <f t="shared" si="12"/>
        <v>100</v>
      </c>
      <c r="T30" s="1350" t="s">
        <v>62</v>
      </c>
      <c r="U30" s="1351">
        <f t="shared" si="13"/>
        <v>100</v>
      </c>
      <c r="V30" s="1350" t="s">
        <v>62</v>
      </c>
      <c r="W30" s="1351">
        <f t="shared" si="14"/>
        <v>100</v>
      </c>
      <c r="X30" s="3365"/>
      <c r="Y30" s="3642"/>
      <c r="Z30" s="3366">
        <f t="shared" si="15"/>
        <v>111</v>
      </c>
      <c r="AA30" s="3364">
        <f t="shared" si="3"/>
        <v>1</v>
      </c>
      <c r="AB30" s="3364">
        <f t="shared" si="4"/>
        <v>1</v>
      </c>
      <c r="AC30" s="2336">
        <f t="shared" si="5"/>
        <v>1</v>
      </c>
    </row>
    <row r="31" spans="1:29" ht="15" hidden="1" thickBot="1">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49"/>
      <c r="Q31" s="3363">
        <f t="shared" si="11"/>
        <v>111</v>
      </c>
      <c r="R31" s="1350" t="s">
        <v>62</v>
      </c>
      <c r="S31" s="1351">
        <f t="shared" si="12"/>
        <v>100</v>
      </c>
      <c r="T31" s="1350" t="s">
        <v>62</v>
      </c>
      <c r="U31" s="1351">
        <f t="shared" si="13"/>
        <v>100</v>
      </c>
      <c r="V31" s="1350" t="s">
        <v>62</v>
      </c>
      <c r="W31" s="1351">
        <f t="shared" si="14"/>
        <v>100</v>
      </c>
      <c r="X31" s="3365"/>
      <c r="Y31" s="3642"/>
      <c r="Z31" s="3366">
        <f t="shared" si="15"/>
        <v>111</v>
      </c>
      <c r="AA31" s="3364">
        <f t="shared" si="3"/>
        <v>1</v>
      </c>
      <c r="AB31" s="3364">
        <f t="shared" si="4"/>
        <v>1</v>
      </c>
      <c r="AC31" s="2336">
        <f t="shared" si="5"/>
        <v>1</v>
      </c>
    </row>
    <row r="32" spans="1:29" ht="15" hidden="1"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49"/>
      <c r="Q32" s="3363">
        <f t="shared" si="11"/>
        <v>111</v>
      </c>
      <c r="R32" s="1350" t="s">
        <v>62</v>
      </c>
      <c r="S32" s="1351">
        <f t="shared" si="12"/>
        <v>100</v>
      </c>
      <c r="T32" s="1350" t="s">
        <v>62</v>
      </c>
      <c r="U32" s="1351">
        <f t="shared" si="13"/>
        <v>100</v>
      </c>
      <c r="V32" s="1350" t="s">
        <v>62</v>
      </c>
      <c r="W32" s="1351">
        <f t="shared" si="14"/>
        <v>100</v>
      </c>
      <c r="X32" s="3365"/>
      <c r="Y32" s="3642"/>
      <c r="Z32" s="3366">
        <f t="shared" si="15"/>
        <v>111</v>
      </c>
      <c r="AA32" s="3364">
        <f t="shared" si="3"/>
        <v>1</v>
      </c>
      <c r="AB32" s="3364">
        <f t="shared" si="4"/>
        <v>1</v>
      </c>
      <c r="AC32" s="2336">
        <f t="shared" si="5"/>
        <v>1</v>
      </c>
    </row>
    <row r="33" spans="1:29" ht="15">
      <c r="A33" s="155" t="s">
        <v>1022</v>
      </c>
      <c r="B33" s="62" t="s">
        <v>143</v>
      </c>
      <c r="C33" s="197" t="s">
        <v>3115</v>
      </c>
      <c r="D33" s="809">
        <v>100</v>
      </c>
      <c r="E33" s="197" t="s">
        <v>3115</v>
      </c>
      <c r="F33" s="803">
        <f>SUMIF(101:101,E33,102:102)-SUMIF(101:101,C33,102:102)+100</f>
        <v>100</v>
      </c>
      <c r="G33" s="197" t="s">
        <v>3115</v>
      </c>
      <c r="H33" s="777">
        <f>SUMIF(101:101,G33,102:102)-SUMIF(101:101,C33,102:102)+100</f>
        <v>100</v>
      </c>
      <c r="I33" s="197" t="s">
        <v>3115</v>
      </c>
      <c r="J33" s="809">
        <f>SUMIF(101:101,I33,102:102)-SUMIF(101:101,C33,102:102)+100</f>
        <v>100</v>
      </c>
      <c r="K33" s="954">
        <v>2</v>
      </c>
      <c r="L33" s="2300"/>
      <c r="M33" s="2295"/>
      <c r="N33" s="2295"/>
      <c r="O33" s="2295"/>
      <c r="P33" s="3643" t="s">
        <v>1022</v>
      </c>
      <c r="Q33" s="3363" t="str">
        <f t="shared" si="11"/>
        <v>建筑类型</v>
      </c>
      <c r="R33" s="1350" t="s">
        <v>62</v>
      </c>
      <c r="S33" s="1351">
        <f t="shared" si="12"/>
        <v>100</v>
      </c>
      <c r="T33" s="1350" t="s">
        <v>62</v>
      </c>
      <c r="U33" s="1351">
        <f t="shared" si="13"/>
        <v>100</v>
      </c>
      <c r="V33" s="1350" t="s">
        <v>62</v>
      </c>
      <c r="W33" s="1351">
        <f t="shared" si="14"/>
        <v>100</v>
      </c>
      <c r="X33" s="3365"/>
      <c r="Y33" s="3646" t="s">
        <v>1022</v>
      </c>
      <c r="Z33" s="3366" t="str">
        <f t="shared" si="15"/>
        <v>建筑类型</v>
      </c>
      <c r="AA33" s="3364">
        <f t="shared" si="3"/>
        <v>1</v>
      </c>
      <c r="AB33" s="3364">
        <f t="shared" si="4"/>
        <v>1</v>
      </c>
      <c r="AC33" s="2336">
        <f t="shared" si="5"/>
        <v>1</v>
      </c>
    </row>
    <row r="34" spans="1:29" s="1037" customFormat="1" ht="14.25" hidden="1">
      <c r="A34" s="1041"/>
      <c r="B34" s="3361" t="s">
        <v>73</v>
      </c>
      <c r="C34" s="811">
        <f>'比较法-商业'!C33</f>
        <v>156275.1</v>
      </c>
      <c r="D34" s="425">
        <v>100</v>
      </c>
      <c r="E34" s="772">
        <f>'比较法-商业'!E33</f>
        <v>86438.75</v>
      </c>
      <c r="F34" s="767">
        <f>LOOKUP(E34,104:104,105:105)-LOOKUP(C34,104:104,105:105)+100</f>
        <v>100</v>
      </c>
      <c r="G34" s="771">
        <f>'比较法-商业'!G33</f>
        <v>37036.620000000003</v>
      </c>
      <c r="H34" s="425">
        <f>LOOKUP(G34,104:104,105:105)-LOOKUP(C34,104:104,105:105)+100</f>
        <v>100</v>
      </c>
      <c r="I34" s="771">
        <f>'比较法-商业'!I33</f>
        <v>85000</v>
      </c>
      <c r="J34" s="425">
        <f>LOOKUP(I34,104:104,105:105)-LOOKUP(C34,104:104,105:105)+100</f>
        <v>100</v>
      </c>
      <c r="K34" s="188"/>
      <c r="L34" s="2299"/>
      <c r="M34" s="2301"/>
      <c r="N34" s="2301"/>
      <c r="O34" s="2301"/>
      <c r="P34" s="3644"/>
      <c r="Q34" s="1357" t="str">
        <f t="shared" si="11"/>
        <v>项目建筑规模</v>
      </c>
      <c r="R34" s="1358" t="s">
        <v>62</v>
      </c>
      <c r="S34" s="1359">
        <f t="shared" si="12"/>
        <v>100</v>
      </c>
      <c r="T34" s="1358" t="s">
        <v>62</v>
      </c>
      <c r="U34" s="1359">
        <f t="shared" si="13"/>
        <v>100</v>
      </c>
      <c r="V34" s="1358" t="s">
        <v>62</v>
      </c>
      <c r="W34" s="1359">
        <f t="shared" si="14"/>
        <v>100</v>
      </c>
      <c r="X34" s="1360"/>
      <c r="Y34" s="3646"/>
      <c r="Z34" s="1361" t="str">
        <f t="shared" si="15"/>
        <v>项目建筑规模</v>
      </c>
      <c r="AA34" s="3364">
        <f t="shared" si="3"/>
        <v>1</v>
      </c>
      <c r="AB34" s="3364">
        <f t="shared" si="4"/>
        <v>1</v>
      </c>
      <c r="AC34" s="2336">
        <f t="shared" si="5"/>
        <v>1</v>
      </c>
    </row>
    <row r="35" spans="1:29" ht="15">
      <c r="A35" s="161"/>
      <c r="B35" s="3361" t="s">
        <v>74</v>
      </c>
      <c r="C35" s="107" t="s">
        <v>3116</v>
      </c>
      <c r="D35" s="777">
        <v>100</v>
      </c>
      <c r="E35" s="107" t="s">
        <v>3116</v>
      </c>
      <c r="F35" s="803">
        <f>SUMIF(106:106,E35,107:107)-SUMIF(106:106,C35,107:107)+100</f>
        <v>100</v>
      </c>
      <c r="G35" s="107" t="s">
        <v>3116</v>
      </c>
      <c r="H35" s="777">
        <f>SUMIF(106:106,G35,107:107)-SUMIF(106:106,C35,107:107)+100</f>
        <v>100</v>
      </c>
      <c r="I35" s="107" t="s">
        <v>3116</v>
      </c>
      <c r="J35" s="777">
        <f>SUMIF(106:106,I35,107:107)-SUMIF(106:106,C35,107:107)+100</f>
        <v>100</v>
      </c>
      <c r="K35" s="954">
        <v>2</v>
      </c>
      <c r="L35" s="2300"/>
      <c r="M35" s="2295"/>
      <c r="N35" s="2295"/>
      <c r="O35" s="2295"/>
      <c r="P35" s="3644"/>
      <c r="Q35" s="3363" t="str">
        <f t="shared" si="11"/>
        <v>建筑结构</v>
      </c>
      <c r="R35" s="1350" t="s">
        <v>62</v>
      </c>
      <c r="S35" s="1351">
        <f t="shared" si="12"/>
        <v>100</v>
      </c>
      <c r="T35" s="1350" t="s">
        <v>62</v>
      </c>
      <c r="U35" s="1351">
        <f t="shared" si="13"/>
        <v>100</v>
      </c>
      <c r="V35" s="1350" t="s">
        <v>62</v>
      </c>
      <c r="W35" s="1351">
        <f t="shared" si="14"/>
        <v>100</v>
      </c>
      <c r="X35" s="3365"/>
      <c r="Y35" s="3646"/>
      <c r="Z35" s="3366" t="str">
        <f t="shared" si="15"/>
        <v>建筑结构</v>
      </c>
      <c r="AA35" s="3364">
        <f t="shared" si="3"/>
        <v>1</v>
      </c>
      <c r="AB35" s="3364">
        <f t="shared" si="4"/>
        <v>1</v>
      </c>
      <c r="AC35" s="2336">
        <f t="shared" si="5"/>
        <v>1</v>
      </c>
    </row>
    <row r="36" spans="1:29" ht="15">
      <c r="A36" s="161"/>
      <c r="B36" s="3361" t="s">
        <v>130</v>
      </c>
      <c r="C36" s="107" t="s">
        <v>3117</v>
      </c>
      <c r="D36" s="777">
        <v>100</v>
      </c>
      <c r="E36" s="107" t="s">
        <v>3117</v>
      </c>
      <c r="F36" s="803">
        <f>SUMIF(108:108,E36,109:109)-SUMIF(108:108,C36,109:109)+100</f>
        <v>100</v>
      </c>
      <c r="G36" s="107" t="s">
        <v>3117</v>
      </c>
      <c r="H36" s="777">
        <f>SUMIF(108:108,G36,109:109)-SUMIF(108:108,C36,109:109)+100</f>
        <v>100</v>
      </c>
      <c r="I36" s="107" t="s">
        <v>3117</v>
      </c>
      <c r="J36" s="777">
        <f>SUMIF(108:108,I36,109:109)-SUMIF(108:108,C36,109:109)+100</f>
        <v>100</v>
      </c>
      <c r="K36" s="954">
        <v>2</v>
      </c>
      <c r="L36" s="2300"/>
      <c r="M36" s="2295"/>
      <c r="N36" s="2295"/>
      <c r="O36" s="2295"/>
      <c r="P36" s="3644"/>
      <c r="Q36" s="3363" t="str">
        <f t="shared" si="11"/>
        <v>公共部分装修</v>
      </c>
      <c r="R36" s="1350" t="s">
        <v>62</v>
      </c>
      <c r="S36" s="1351">
        <f t="shared" si="12"/>
        <v>100</v>
      </c>
      <c r="T36" s="1350" t="s">
        <v>62</v>
      </c>
      <c r="U36" s="1351">
        <f t="shared" si="13"/>
        <v>100</v>
      </c>
      <c r="V36" s="1350" t="s">
        <v>62</v>
      </c>
      <c r="W36" s="1351">
        <f t="shared" si="14"/>
        <v>100</v>
      </c>
      <c r="X36" s="3365"/>
      <c r="Y36" s="3646"/>
      <c r="Z36" s="3366" t="str">
        <f t="shared" si="15"/>
        <v>公共部分装修</v>
      </c>
      <c r="AA36" s="3364">
        <f t="shared" si="3"/>
        <v>1</v>
      </c>
      <c r="AB36" s="3364">
        <f t="shared" si="4"/>
        <v>1</v>
      </c>
      <c r="AC36" s="2336">
        <f t="shared" si="5"/>
        <v>1</v>
      </c>
    </row>
    <row r="37" spans="1:29" ht="15" hidden="1">
      <c r="A37" s="161"/>
      <c r="B37" s="3361" t="s">
        <v>131</v>
      </c>
      <c r="C37" s="816">
        <f>'数据-取费表'!N6</f>
        <v>1</v>
      </c>
      <c r="D37" s="777">
        <v>100</v>
      </c>
      <c r="E37" s="816">
        <v>0.98</v>
      </c>
      <c r="F37" s="803">
        <f>LOOKUP(E37,111:111,112:112)-LOOKUP(C37,111:111,112:112)+100</f>
        <v>100</v>
      </c>
      <c r="G37" s="816">
        <v>1</v>
      </c>
      <c r="H37" s="803">
        <f>LOOKUP(G37,111:111,112:112)-LOOKUP(C37,111:111,112:112)+100</f>
        <v>100</v>
      </c>
      <c r="I37" s="816">
        <v>0.95</v>
      </c>
      <c r="J37" s="777">
        <f>LOOKUP(I37,111:111,112:112)-LOOKUP(C37,111:111,112:112)+100</f>
        <v>100</v>
      </c>
      <c r="K37" s="954">
        <v>2</v>
      </c>
      <c r="L37" s="2300"/>
      <c r="M37" s="2295"/>
      <c r="N37" s="2295"/>
      <c r="O37" s="2295"/>
      <c r="P37" s="3644"/>
      <c r="Q37" s="3363" t="str">
        <f t="shared" si="11"/>
        <v>成新度</v>
      </c>
      <c r="R37" s="1350" t="s">
        <v>62</v>
      </c>
      <c r="S37" s="1351">
        <f t="shared" si="12"/>
        <v>100</v>
      </c>
      <c r="T37" s="1350" t="s">
        <v>62</v>
      </c>
      <c r="U37" s="1351">
        <f t="shared" si="13"/>
        <v>100</v>
      </c>
      <c r="V37" s="1350" t="s">
        <v>62</v>
      </c>
      <c r="W37" s="1351">
        <f t="shared" si="14"/>
        <v>100</v>
      </c>
      <c r="X37" s="3365"/>
      <c r="Y37" s="3646"/>
      <c r="Z37" s="3366" t="str">
        <f t="shared" si="15"/>
        <v>成新度</v>
      </c>
      <c r="AA37" s="3364">
        <f t="shared" si="3"/>
        <v>1</v>
      </c>
      <c r="AB37" s="3364">
        <f t="shared" si="4"/>
        <v>1</v>
      </c>
      <c r="AC37" s="2336">
        <f t="shared" si="5"/>
        <v>1</v>
      </c>
    </row>
    <row r="38" spans="1:29" s="40" customFormat="1" ht="15" hidden="1">
      <c r="A38" s="1039"/>
      <c r="B38" s="3361" t="s">
        <v>144</v>
      </c>
      <c r="C38" s="107" t="s">
        <v>3118</v>
      </c>
      <c r="D38" s="425">
        <v>100</v>
      </c>
      <c r="E38" s="107" t="s">
        <v>3118</v>
      </c>
      <c r="F38" s="803">
        <f>SUMIF(113:113,E38,114:114)-SUMIF(113:113,C38,114:114)+100</f>
        <v>100</v>
      </c>
      <c r="G38" s="107" t="s">
        <v>3118</v>
      </c>
      <c r="H38" s="777">
        <f>SUMIF(113:113,G38,114:114)-SUMIF(113:113,C38,114:114)+100</f>
        <v>100</v>
      </c>
      <c r="I38" s="107" t="s">
        <v>3118</v>
      </c>
      <c r="J38" s="777">
        <f>SUMIF(113:113,I38,114:114)-SUMIF(113:113,C38,114:114)+100</f>
        <v>100</v>
      </c>
      <c r="K38" s="954"/>
      <c r="L38" s="2296"/>
      <c r="M38" s="2258"/>
      <c r="N38" s="2258"/>
      <c r="O38" s="2258"/>
      <c r="P38" s="3644"/>
      <c r="Q38" s="3359" t="str">
        <f t="shared" si="11"/>
        <v>写字楼等级</v>
      </c>
      <c r="R38" s="1340" t="s">
        <v>62</v>
      </c>
      <c r="S38" s="1341">
        <f t="shared" si="12"/>
        <v>100</v>
      </c>
      <c r="T38" s="1340" t="s">
        <v>62</v>
      </c>
      <c r="U38" s="1341">
        <f t="shared" si="13"/>
        <v>100</v>
      </c>
      <c r="V38" s="1340" t="s">
        <v>62</v>
      </c>
      <c r="W38" s="1341">
        <f t="shared" si="14"/>
        <v>100</v>
      </c>
      <c r="X38" s="287"/>
      <c r="Y38" s="3646"/>
      <c r="Z38" s="3360" t="str">
        <f t="shared" si="15"/>
        <v>写字楼等级</v>
      </c>
      <c r="AA38" s="1342">
        <f t="shared" si="3"/>
        <v>1</v>
      </c>
      <c r="AB38" s="1342">
        <f t="shared" si="4"/>
        <v>1</v>
      </c>
      <c r="AC38" s="2335">
        <f t="shared" si="5"/>
        <v>1</v>
      </c>
    </row>
    <row r="39" spans="1:29" ht="15">
      <c r="A39" s="161"/>
      <c r="B39" s="3361" t="s">
        <v>145</v>
      </c>
      <c r="C39" s="107" t="s">
        <v>3119</v>
      </c>
      <c r="D39" s="777">
        <v>100</v>
      </c>
      <c r="E39" s="107" t="s">
        <v>3119</v>
      </c>
      <c r="F39" s="803">
        <f>SUMIF(115:115,E39,116:116)-SUMIF(115:115,C39,116:116)+100</f>
        <v>100</v>
      </c>
      <c r="G39" s="107" t="s">
        <v>3119</v>
      </c>
      <c r="H39" s="777">
        <f>SUMIF(115:115,G39,116:116)-SUMIF(115:115,C39,116:116)+100</f>
        <v>100</v>
      </c>
      <c r="I39" s="107" t="s">
        <v>3119</v>
      </c>
      <c r="J39" s="777">
        <f>SUMIF(115:115,I39,116:116)-SUMIF(115:115,C39,116:116)+100</f>
        <v>100</v>
      </c>
      <c r="K39" s="954">
        <v>2</v>
      </c>
      <c r="L39" s="2300"/>
      <c r="M39" s="2295"/>
      <c r="N39" s="2295"/>
      <c r="O39" s="2295"/>
      <c r="P39" s="3644" t="s">
        <v>67</v>
      </c>
      <c r="Q39" s="3363" t="str">
        <f t="shared" si="11"/>
        <v>物业管理</v>
      </c>
      <c r="R39" s="1350" t="s">
        <v>62</v>
      </c>
      <c r="S39" s="1351">
        <f t="shared" si="12"/>
        <v>100</v>
      </c>
      <c r="T39" s="1350" t="s">
        <v>62</v>
      </c>
      <c r="U39" s="1351">
        <f t="shared" si="13"/>
        <v>100</v>
      </c>
      <c r="V39" s="1350" t="s">
        <v>62</v>
      </c>
      <c r="W39" s="1351">
        <f t="shared" si="14"/>
        <v>100</v>
      </c>
      <c r="X39" s="3365"/>
      <c r="Y39" s="3646" t="s">
        <v>67</v>
      </c>
      <c r="Z39" s="3366" t="str">
        <f t="shared" si="15"/>
        <v>物业管理</v>
      </c>
      <c r="AA39" s="3364">
        <f t="shared" si="3"/>
        <v>1</v>
      </c>
      <c r="AB39" s="3364">
        <f t="shared" si="4"/>
        <v>1</v>
      </c>
      <c r="AC39" s="2336">
        <f t="shared" si="5"/>
        <v>1</v>
      </c>
    </row>
    <row r="40" spans="1:29" ht="15">
      <c r="A40" s="161"/>
      <c r="B40" s="3361" t="s">
        <v>2652</v>
      </c>
      <c r="C40" s="107" t="s">
        <v>3148</v>
      </c>
      <c r="D40" s="777">
        <v>100</v>
      </c>
      <c r="E40" s="107" t="s">
        <v>3148</v>
      </c>
      <c r="F40" s="803">
        <f>SUMIF(117:117,E40,118:118)-SUMIF(117:117,C40,118:118)+100</f>
        <v>100</v>
      </c>
      <c r="G40" s="107" t="s">
        <v>3148</v>
      </c>
      <c r="H40" s="777">
        <f>SUMIF(117:117,G40,118:118)-SUMIF(117:117,C40,118:118)+100</f>
        <v>100</v>
      </c>
      <c r="I40" s="107" t="s">
        <v>3148</v>
      </c>
      <c r="J40" s="777">
        <f>SUMIF(117:117,I40,118:118)-SUMIF(117:117,C40,118:118)+100</f>
        <v>100</v>
      </c>
      <c r="K40" s="954">
        <v>1</v>
      </c>
      <c r="L40" s="2300"/>
      <c r="M40" s="2295"/>
      <c r="N40" s="2295"/>
      <c r="O40" s="2295"/>
      <c r="P40" s="3644"/>
      <c r="Q40" s="3363" t="str">
        <f t="shared" si="11"/>
        <v>市政基础设施</v>
      </c>
      <c r="R40" s="1350" t="s">
        <v>62</v>
      </c>
      <c r="S40" s="1351">
        <f t="shared" si="12"/>
        <v>100</v>
      </c>
      <c r="T40" s="1350" t="s">
        <v>62</v>
      </c>
      <c r="U40" s="1351">
        <f t="shared" si="13"/>
        <v>100</v>
      </c>
      <c r="V40" s="1350" t="s">
        <v>62</v>
      </c>
      <c r="W40" s="1351">
        <f t="shared" si="14"/>
        <v>100</v>
      </c>
      <c r="X40" s="3365"/>
      <c r="Y40" s="3646"/>
      <c r="Z40" s="3366" t="str">
        <f t="shared" si="15"/>
        <v>市政基础设施</v>
      </c>
      <c r="AA40" s="3364">
        <f t="shared" si="3"/>
        <v>1</v>
      </c>
      <c r="AB40" s="3364">
        <f t="shared" si="4"/>
        <v>1</v>
      </c>
      <c r="AC40" s="2336">
        <f t="shared" si="5"/>
        <v>1</v>
      </c>
    </row>
    <row r="41" spans="1:29" ht="15">
      <c r="A41" s="161"/>
      <c r="B41" s="3361" t="s">
        <v>133</v>
      </c>
      <c r="C41" s="182" t="s">
        <v>3120</v>
      </c>
      <c r="D41" s="777">
        <v>100</v>
      </c>
      <c r="E41" s="182" t="s">
        <v>3120</v>
      </c>
      <c r="F41" s="803">
        <f>SUMIF(119:119,E41,120:120)-SUMIF(119:119,C41,120:120)+100</f>
        <v>100</v>
      </c>
      <c r="G41" s="182" t="s">
        <v>3120</v>
      </c>
      <c r="H41" s="777">
        <f>SUMIF(119:119,G41,120:120)-SUMIF(119:119,C41,120:120)+100</f>
        <v>100</v>
      </c>
      <c r="I41" s="182" t="s">
        <v>3120</v>
      </c>
      <c r="J41" s="777">
        <f>SUMIF(119:119,I41,120:120)-SUMIF(119:119,C41,120:120)+100</f>
        <v>100</v>
      </c>
      <c r="K41" s="954">
        <v>2</v>
      </c>
      <c r="L41" s="2300"/>
      <c r="M41" s="2295"/>
      <c r="N41" s="2295"/>
      <c r="O41" s="2295"/>
      <c r="P41" s="3644"/>
      <c r="Q41" s="3363" t="str">
        <f t="shared" si="11"/>
        <v>层高</v>
      </c>
      <c r="R41" s="1350" t="s">
        <v>62</v>
      </c>
      <c r="S41" s="1351">
        <f t="shared" si="12"/>
        <v>100</v>
      </c>
      <c r="T41" s="1350" t="s">
        <v>62</v>
      </c>
      <c r="U41" s="1351">
        <f t="shared" si="13"/>
        <v>100</v>
      </c>
      <c r="V41" s="1350" t="s">
        <v>62</v>
      </c>
      <c r="W41" s="1351">
        <f t="shared" si="14"/>
        <v>100</v>
      </c>
      <c r="X41" s="3365"/>
      <c r="Y41" s="3646"/>
      <c r="Z41" s="3366" t="str">
        <f t="shared" si="15"/>
        <v>层高</v>
      </c>
      <c r="AA41" s="3364">
        <f t="shared" si="3"/>
        <v>1</v>
      </c>
      <c r="AB41" s="3364">
        <f t="shared" si="4"/>
        <v>1</v>
      </c>
      <c r="AC41" s="2336">
        <f t="shared" si="5"/>
        <v>1</v>
      </c>
    </row>
    <row r="42" spans="1:29" s="1037" customFormat="1" ht="14.25">
      <c r="A42" s="1041"/>
      <c r="B42" s="3362" t="s">
        <v>1060</v>
      </c>
      <c r="C42" s="776" t="s">
        <v>3205</v>
      </c>
      <c r="D42" s="777">
        <v>100</v>
      </c>
      <c r="E42" s="776">
        <v>1400</v>
      </c>
      <c r="F42" s="803">
        <f>SUMIF(121:121,E42,122:122)-SUMIF(121:121,C42,122:122)+100</f>
        <v>98</v>
      </c>
      <c r="G42" s="776">
        <f>'比较法-办公'!G42</f>
        <v>900</v>
      </c>
      <c r="H42" s="777">
        <f>SUMIF(121:121,G42,122:122)-SUMIF(121:121,C42,122:122)+100</f>
        <v>100</v>
      </c>
      <c r="I42" s="776">
        <v>300</v>
      </c>
      <c r="J42" s="777">
        <f>SUMIF(121:121,I42,122:122)-SUMIF(121:121,C42,122:122)+100</f>
        <v>102</v>
      </c>
      <c r="K42" s="188"/>
      <c r="L42" s="2299"/>
      <c r="M42" s="2301"/>
      <c r="N42" s="2301"/>
      <c r="O42" s="2301"/>
      <c r="P42" s="3644"/>
      <c r="Q42" s="1357" t="str">
        <f t="shared" si="11"/>
        <v>单套建筑面积</v>
      </c>
      <c r="R42" s="1358" t="s">
        <v>62</v>
      </c>
      <c r="S42" s="1359">
        <f t="shared" si="12"/>
        <v>98</v>
      </c>
      <c r="T42" s="1358" t="s">
        <v>62</v>
      </c>
      <c r="U42" s="1359">
        <f t="shared" si="13"/>
        <v>100</v>
      </c>
      <c r="V42" s="1358" t="s">
        <v>62</v>
      </c>
      <c r="W42" s="1359">
        <f t="shared" si="14"/>
        <v>102</v>
      </c>
      <c r="X42" s="1360"/>
      <c r="Y42" s="3646"/>
      <c r="Z42" s="1361" t="str">
        <f t="shared" si="15"/>
        <v>单套建筑面积</v>
      </c>
      <c r="AA42" s="3364">
        <f t="shared" si="3"/>
        <v>1.0204081632653061</v>
      </c>
      <c r="AB42" s="3364">
        <f t="shared" si="4"/>
        <v>1</v>
      </c>
      <c r="AC42" s="2336">
        <f t="shared" si="5"/>
        <v>0.98039215686274506</v>
      </c>
    </row>
    <row r="43" spans="1:29" ht="15.75" thickBot="1">
      <c r="A43" s="161"/>
      <c r="B43" s="3361" t="s">
        <v>134</v>
      </c>
      <c r="C43" s="107" t="s">
        <v>3121</v>
      </c>
      <c r="D43" s="777">
        <v>100</v>
      </c>
      <c r="E43" s="107" t="s">
        <v>3121</v>
      </c>
      <c r="F43" s="803">
        <f>SUMIF(123:123,E43,124:124)-SUMIF(123:123,C43,124:124)+100</f>
        <v>100</v>
      </c>
      <c r="G43" s="107" t="s">
        <v>3121</v>
      </c>
      <c r="H43" s="777">
        <f>SUMIF(123:123,G43,124:124)-SUMIF(123:123,C43,124:124)+100</f>
        <v>100</v>
      </c>
      <c r="I43" s="107" t="s">
        <v>3121</v>
      </c>
      <c r="J43" s="777">
        <f>SUMIF(123:123,I43,124:124)-SUMIF(123:123,C43,124:124)+100</f>
        <v>100</v>
      </c>
      <c r="K43" s="954">
        <v>2</v>
      </c>
      <c r="L43" s="2300"/>
      <c r="M43" s="2295"/>
      <c r="N43" s="2295"/>
      <c r="O43" s="2295"/>
      <c r="P43" s="3644"/>
      <c r="Q43" s="3363" t="str">
        <f t="shared" si="11"/>
        <v>内部装修</v>
      </c>
      <c r="R43" s="1350" t="s">
        <v>62</v>
      </c>
      <c r="S43" s="1351">
        <f t="shared" si="12"/>
        <v>100</v>
      </c>
      <c r="T43" s="1350" t="s">
        <v>62</v>
      </c>
      <c r="U43" s="1351">
        <f t="shared" si="13"/>
        <v>100</v>
      </c>
      <c r="V43" s="1350" t="s">
        <v>62</v>
      </c>
      <c r="W43" s="1351">
        <f t="shared" si="14"/>
        <v>100</v>
      </c>
      <c r="X43" s="3365"/>
      <c r="Y43" s="3646"/>
      <c r="Z43" s="3366" t="str">
        <f t="shared" si="15"/>
        <v>内部装修</v>
      </c>
      <c r="AA43" s="3364">
        <f t="shared" si="3"/>
        <v>1</v>
      </c>
      <c r="AB43" s="3364">
        <f t="shared" si="4"/>
        <v>1</v>
      </c>
      <c r="AC43" s="2336">
        <f t="shared" si="5"/>
        <v>1</v>
      </c>
    </row>
    <row r="44" spans="1:29" ht="27.75" hidden="1" thickBot="1">
      <c r="A44" s="161"/>
      <c r="B44" s="3361" t="s">
        <v>81</v>
      </c>
      <c r="C44" s="107" t="s">
        <v>3084</v>
      </c>
      <c r="D44" s="777">
        <v>100</v>
      </c>
      <c r="E44" s="109" t="s">
        <v>3084</v>
      </c>
      <c r="F44" s="803">
        <f>SUMIF(125:125,E44,126:126)-SUMIF(125:125,C44,126:126)+100</f>
        <v>100</v>
      </c>
      <c r="G44" s="109" t="s">
        <v>3084</v>
      </c>
      <c r="H44" s="777">
        <f>SUMIF(125:125,G44,126:126)-SUMIF(125:125,C44,126:126)+100</f>
        <v>100</v>
      </c>
      <c r="I44" s="109" t="s">
        <v>3084</v>
      </c>
      <c r="J44" s="777">
        <f>SUMIF(125:125,I44,126:126)-SUMIF(125:125,C44,126:126)+100</f>
        <v>100</v>
      </c>
      <c r="K44" s="954"/>
      <c r="L44" s="2300"/>
      <c r="M44" s="2295"/>
      <c r="N44" s="2295"/>
      <c r="O44" s="2295"/>
      <c r="P44" s="3644"/>
      <c r="Q44" s="3363" t="str">
        <f t="shared" si="11"/>
        <v>内部装修维护情况</v>
      </c>
      <c r="R44" s="1350" t="s">
        <v>62</v>
      </c>
      <c r="S44" s="1351">
        <f t="shared" si="12"/>
        <v>100</v>
      </c>
      <c r="T44" s="1350" t="s">
        <v>62</v>
      </c>
      <c r="U44" s="1351">
        <f t="shared" si="13"/>
        <v>100</v>
      </c>
      <c r="V44" s="1350" t="s">
        <v>62</v>
      </c>
      <c r="W44" s="1351">
        <f t="shared" si="14"/>
        <v>100</v>
      </c>
      <c r="X44" s="3365"/>
      <c r="Y44" s="3646"/>
      <c r="Z44" s="3366" t="str">
        <f t="shared" si="15"/>
        <v>内部装修维护情况</v>
      </c>
      <c r="AA44" s="3364">
        <f t="shared" si="3"/>
        <v>1</v>
      </c>
      <c r="AB44" s="3364">
        <f t="shared" si="4"/>
        <v>1</v>
      </c>
      <c r="AC44" s="2336">
        <f t="shared" si="5"/>
        <v>1</v>
      </c>
    </row>
    <row r="45" spans="1:29" s="40" customFormat="1" ht="15" hidden="1" thickBot="1">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44"/>
      <c r="Q45" s="3359">
        <f t="shared" si="11"/>
        <v>111</v>
      </c>
      <c r="R45" s="1340" t="s">
        <v>62</v>
      </c>
      <c r="S45" s="1341">
        <f t="shared" si="12"/>
        <v>100</v>
      </c>
      <c r="T45" s="1340" t="s">
        <v>62</v>
      </c>
      <c r="U45" s="1341">
        <f t="shared" si="13"/>
        <v>100</v>
      </c>
      <c r="V45" s="1340" t="s">
        <v>62</v>
      </c>
      <c r="W45" s="1341">
        <f t="shared" si="14"/>
        <v>100</v>
      </c>
      <c r="X45" s="287"/>
      <c r="Y45" s="3646"/>
      <c r="Z45" s="3360">
        <f t="shared" si="15"/>
        <v>111</v>
      </c>
      <c r="AA45" s="1342">
        <f t="shared" si="3"/>
        <v>1</v>
      </c>
      <c r="AB45" s="1342">
        <f t="shared" si="4"/>
        <v>1</v>
      </c>
      <c r="AC45" s="2335">
        <f t="shared" si="5"/>
        <v>1</v>
      </c>
    </row>
    <row r="46" spans="1:29" ht="15" hidden="1" thickBot="1">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44"/>
      <c r="Q46" s="3363">
        <f t="shared" si="11"/>
        <v>111</v>
      </c>
      <c r="R46" s="1350" t="s">
        <v>62</v>
      </c>
      <c r="S46" s="1351">
        <f t="shared" si="12"/>
        <v>100</v>
      </c>
      <c r="T46" s="1350" t="s">
        <v>62</v>
      </c>
      <c r="U46" s="1351">
        <f t="shared" si="13"/>
        <v>100</v>
      </c>
      <c r="V46" s="1350" t="s">
        <v>62</v>
      </c>
      <c r="W46" s="1351">
        <f t="shared" si="14"/>
        <v>100</v>
      </c>
      <c r="X46" s="3365"/>
      <c r="Y46" s="3646"/>
      <c r="Z46" s="3366">
        <f t="shared" si="15"/>
        <v>111</v>
      </c>
      <c r="AA46" s="3364">
        <f t="shared" si="3"/>
        <v>1</v>
      </c>
      <c r="AB46" s="3364">
        <f t="shared" si="4"/>
        <v>1</v>
      </c>
      <c r="AC46" s="2336">
        <f t="shared" si="5"/>
        <v>1</v>
      </c>
    </row>
    <row r="47" spans="1:29" ht="15" hidden="1"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45"/>
      <c r="Q47" s="3363">
        <f t="shared" si="11"/>
        <v>111</v>
      </c>
      <c r="R47" s="1350" t="s">
        <v>62</v>
      </c>
      <c r="S47" s="1351">
        <f t="shared" si="12"/>
        <v>100</v>
      </c>
      <c r="T47" s="1350" t="s">
        <v>62</v>
      </c>
      <c r="U47" s="1351">
        <f t="shared" si="13"/>
        <v>100</v>
      </c>
      <c r="V47" s="1350" t="s">
        <v>62</v>
      </c>
      <c r="W47" s="1351">
        <f t="shared" si="14"/>
        <v>100</v>
      </c>
      <c r="X47" s="3365"/>
      <c r="Y47" s="3647"/>
      <c r="Z47" s="3366">
        <f t="shared" si="15"/>
        <v>111</v>
      </c>
      <c r="AA47" s="3364">
        <f t="shared" si="3"/>
        <v>1</v>
      </c>
      <c r="AB47" s="3364">
        <f t="shared" si="4"/>
        <v>1</v>
      </c>
      <c r="AC47" s="2336">
        <f t="shared" si="5"/>
        <v>1</v>
      </c>
    </row>
    <row r="48" spans="1:29" ht="15">
      <c r="A48" s="163" t="s">
        <v>99</v>
      </c>
      <c r="B48" s="164"/>
      <c r="C48" s="2834" t="s">
        <v>23</v>
      </c>
      <c r="D48" s="2835"/>
      <c r="E48" s="2836">
        <v>1.3</v>
      </c>
      <c r="F48" s="2837"/>
      <c r="G48" s="2838">
        <v>1.4</v>
      </c>
      <c r="H48" s="2839"/>
      <c r="I48" s="2836">
        <v>1.2</v>
      </c>
      <c r="J48" s="827"/>
      <c r="K48" s="1391"/>
      <c r="L48" s="2302"/>
      <c r="M48" s="2295"/>
      <c r="N48" s="2295"/>
      <c r="O48" s="2295"/>
      <c r="P48" s="3621" t="str">
        <f>A48</f>
        <v>成交单价（元/平方米）</v>
      </c>
      <c r="Q48" s="3639"/>
      <c r="R48" s="3640">
        <f>E48</f>
        <v>1.3</v>
      </c>
      <c r="S48" s="3640"/>
      <c r="T48" s="3640">
        <f>G48</f>
        <v>1.4</v>
      </c>
      <c r="U48" s="3640"/>
      <c r="V48" s="3640">
        <f>I48</f>
        <v>1.2</v>
      </c>
      <c r="W48" s="3640"/>
      <c r="X48" s="156"/>
      <c r="Y48" s="1364"/>
      <c r="Z48" s="156"/>
      <c r="AA48" s="156"/>
      <c r="AB48" s="156"/>
      <c r="AC48" s="209"/>
    </row>
    <row r="49" spans="1:29" ht="15.75" thickBot="1">
      <c r="A49" s="165" t="s">
        <v>97</v>
      </c>
      <c r="B49" s="166"/>
      <c r="C49" s="2840">
        <f>R50</f>
        <v>1.3</v>
      </c>
      <c r="D49" s="2841"/>
      <c r="E49" s="2842">
        <f>R49</f>
        <v>1.3</v>
      </c>
      <c r="F49" s="2842"/>
      <c r="G49" s="2840">
        <f>T49</f>
        <v>1.4</v>
      </c>
      <c r="H49" s="2841"/>
      <c r="I49" s="2842">
        <f>V49</f>
        <v>1.2</v>
      </c>
      <c r="J49" s="831"/>
      <c r="K49" s="1392"/>
      <c r="L49" s="2302"/>
      <c r="M49" s="2295"/>
      <c r="N49" s="2295"/>
      <c r="O49" s="2295"/>
      <c r="P49" s="3621" t="str">
        <f>A49</f>
        <v>比较价值（元/平方米）</v>
      </c>
      <c r="Q49" s="3639"/>
      <c r="R49" s="3640">
        <f>IF(F1="售价",ROUND(PRODUCT(R48,AA7:AA47),0),ROUND(PRODUCT(R48,AA7:AA47),1))</f>
        <v>1.3</v>
      </c>
      <c r="S49" s="3640"/>
      <c r="T49" s="3640">
        <f>IF(F1="售价",ROUND(PRODUCT(T48,AB7:AB47),0),ROUND(PRODUCT(T48,AB7:AB47),1))</f>
        <v>1.4</v>
      </c>
      <c r="U49" s="3640"/>
      <c r="V49" s="3640">
        <f>IF(F1="售价",ROUND(PRODUCT(V48,AC7:AC47),0),ROUND(PRODUCT(V48,AC7:AC47),1))</f>
        <v>1.2</v>
      </c>
      <c r="W49" s="3640"/>
      <c r="X49" s="156"/>
      <c r="Y49" s="156"/>
      <c r="Z49" s="156"/>
      <c r="AA49" s="156"/>
      <c r="AB49" s="156"/>
      <c r="AC49" s="209"/>
    </row>
    <row r="50" spans="1:29" ht="15.75" thickBot="1">
      <c r="A50" s="115" t="s">
        <v>3016</v>
      </c>
      <c r="B50" s="116"/>
      <c r="C50" s="2844">
        <f>R50</f>
        <v>1.3</v>
      </c>
      <c r="D50" s="2844"/>
      <c r="E50" s="2844"/>
      <c r="F50" s="2844"/>
      <c r="G50" s="2844"/>
      <c r="H50" s="2844"/>
      <c r="I50" s="2844"/>
      <c r="J50" s="836"/>
      <c r="K50" s="1393"/>
      <c r="L50" s="2302"/>
      <c r="M50" s="2295"/>
      <c r="N50" s="2295"/>
      <c r="O50" s="2295"/>
      <c r="P50" s="3667" t="str">
        <f>A50</f>
        <v>估价对象XX用房的比较价值（楼面单价，元/平方米）</v>
      </c>
      <c r="Q50" s="3668"/>
      <c r="R50" s="3669">
        <f>IF(F1="售价",ROUND(AVERAGE(R49:V49),0),ROUND(AVERAGE(R49:V49),1))</f>
        <v>1.3</v>
      </c>
      <c r="S50" s="3669"/>
      <c r="T50" s="3669"/>
      <c r="U50" s="3669"/>
      <c r="V50" s="3669"/>
      <c r="W50" s="366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409</v>
      </c>
      <c r="D53" s="840"/>
      <c r="E53" s="841">
        <f>IF(E48&lt;E49,E49/E48-1,E48/E49-1)</f>
        <v>0</v>
      </c>
      <c r="F53" s="842" t="str">
        <f>IF(OR(E53&gt;=0.3,E53&lt;=-0.3),"超过30%","")</f>
        <v/>
      </c>
      <c r="G53" s="841">
        <f>IF(G48&lt;G49,G49/G48-1,G48/G49-1)</f>
        <v>0</v>
      </c>
      <c r="H53" s="842" t="str">
        <f>IF(OR(G53&gt;=0.3,G53&lt;=-0.3),"超过30%","")</f>
        <v/>
      </c>
      <c r="I53" s="841">
        <f>IF(I48&lt;I49,I49/I48-1,I48/I49-1)</f>
        <v>0</v>
      </c>
      <c r="J53" s="842" t="str">
        <f>IF(OR(I53&gt;=0.3,I53&lt;=-0.3),"超过30%","")</f>
        <v/>
      </c>
      <c r="K53" s="2304"/>
      <c r="L53" s="2305"/>
      <c r="M53" s="2303"/>
      <c r="N53" s="2303"/>
      <c r="O53" s="2303"/>
    </row>
    <row r="54" spans="1:29" ht="13.5" customHeight="1">
      <c r="A54" s="2303"/>
      <c r="B54" s="2303"/>
      <c r="C54" s="839" t="s">
        <v>1004</v>
      </c>
      <c r="D54" s="843"/>
      <c r="E54" s="841">
        <f>IF(E49&lt;G49,G49/E49-1,E49/G49-1)</f>
        <v>7.6923076923076872E-2</v>
      </c>
      <c r="F54" s="842" t="str">
        <f>IF(OR(E54&gt;=0.2,E54&lt;=-0.2),"超过20%","")</f>
        <v/>
      </c>
      <c r="G54" s="841">
        <f>IF(G49&lt;I49,I49/G49-1,G49/I49-1)</f>
        <v>0.16666666666666674</v>
      </c>
      <c r="H54" s="842" t="str">
        <f>IF(OR(G54&gt;=0.2,G54&lt;=-0.2),"超过20%","")</f>
        <v/>
      </c>
      <c r="I54" s="841">
        <f>IF(I49&lt;E49,E49/I49-1,I49/E49-1)</f>
        <v>8.3333333333333481E-2</v>
      </c>
      <c r="J54" s="842" t="str">
        <f>IF(OR(I54&gt;=0.2,I54&lt;=-0.2),"超过20%","")</f>
        <v/>
      </c>
      <c r="K54" s="2304"/>
      <c r="L54" s="2305"/>
      <c r="M54" s="2303"/>
      <c r="N54" s="2303"/>
      <c r="O54" s="2303"/>
    </row>
    <row r="55" spans="1:29" s="119" customFormat="1" ht="13.5" customHeight="1">
      <c r="A55" s="2308"/>
      <c r="B55" s="2308"/>
      <c r="C55" s="839" t="s">
        <v>1005</v>
      </c>
      <c r="D55" s="843"/>
      <c r="E55" s="841">
        <f>IF(E48&lt;G48,G48/E48-1,E48/G48-1)</f>
        <v>7.6923076923076872E-2</v>
      </c>
      <c r="F55" s="842" t="str">
        <f>IF(OR(E55&gt;=0.3,E55&lt;=-0.3),"超过30%","")</f>
        <v/>
      </c>
      <c r="G55" s="841">
        <f>IF(G48&lt;I48,I48/G48-1,G48/I48-1)</f>
        <v>0.16666666666666674</v>
      </c>
      <c r="H55" s="842" t="str">
        <f>IF(OR(G55&gt;=0.3,G55&lt;=-0.3),"超过30%","")</f>
        <v/>
      </c>
      <c r="I55" s="841">
        <f>IF(I48&lt;E48,E48/I48-1,I48/E48-1)</f>
        <v>8.3333333333333481E-2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124</v>
      </c>
      <c r="B58" s="1363"/>
      <c r="C58" s="1371"/>
      <c r="D58" s="1371"/>
      <c r="E58" s="1371"/>
      <c r="F58" s="1372"/>
      <c r="G58" s="1372"/>
      <c r="H58" s="1371"/>
      <c r="I58" s="1371"/>
      <c r="J58" s="1371"/>
      <c r="K58" s="1373"/>
      <c r="L58" s="2310"/>
      <c r="M58" s="2311"/>
      <c r="N58" s="2311"/>
      <c r="O58" s="2311"/>
      <c r="P58" s="2325"/>
      <c r="Q58" s="121"/>
    </row>
    <row r="59" spans="1:29" s="850" customFormat="1" ht="15">
      <c r="A59" s="847" t="s">
        <v>2792</v>
      </c>
      <c r="B59" s="848"/>
      <c r="C59" s="3043" t="str">
        <f>YEAR(C7)&amp;"-"&amp;MONTH(C7)</f>
        <v>2017-9</v>
      </c>
      <c r="D59" s="3044">
        <f>EDATE(C59,-1)</f>
        <v>42948</v>
      </c>
      <c r="E59" s="3044">
        <f>EDATE(D59,-1)</f>
        <v>42917</v>
      </c>
      <c r="F59" s="3044">
        <f t="shared" ref="F59:O59" si="16">EDATE(E59,-1)</f>
        <v>42887</v>
      </c>
      <c r="G59" s="3044">
        <f t="shared" si="16"/>
        <v>42856</v>
      </c>
      <c r="H59" s="3044">
        <f t="shared" si="16"/>
        <v>42826</v>
      </c>
      <c r="I59" s="3044">
        <f t="shared" si="16"/>
        <v>42795</v>
      </c>
      <c r="J59" s="3044">
        <f t="shared" si="16"/>
        <v>42767</v>
      </c>
      <c r="K59" s="3044">
        <f t="shared" si="16"/>
        <v>42736</v>
      </c>
      <c r="L59" s="3044">
        <f t="shared" si="16"/>
        <v>42705</v>
      </c>
      <c r="M59" s="3044">
        <f t="shared" si="16"/>
        <v>42675</v>
      </c>
      <c r="N59" s="3044">
        <f t="shared" si="16"/>
        <v>42644</v>
      </c>
      <c r="O59" s="3044">
        <f t="shared" si="16"/>
        <v>42614</v>
      </c>
      <c r="P59" s="3038"/>
    </row>
    <row r="60" spans="1:29" s="40" customFormat="1" ht="14.25">
      <c r="A60" s="1043"/>
      <c r="B60" s="1044"/>
      <c r="C60" s="3041">
        <v>100</v>
      </c>
      <c r="D60" s="854"/>
      <c r="E60" s="854"/>
      <c r="F60" s="854"/>
      <c r="G60" s="854"/>
      <c r="H60" s="854"/>
      <c r="I60" s="854"/>
      <c r="J60" s="854"/>
      <c r="K60" s="854"/>
      <c r="L60" s="854"/>
      <c r="M60" s="855"/>
      <c r="N60" s="854"/>
      <c r="O60" s="855"/>
      <c r="P60" s="2326"/>
    </row>
    <row r="61" spans="1:29" s="40" customFormat="1" ht="15" thickBot="1">
      <c r="A61" s="1045" t="s">
        <v>1035</v>
      </c>
      <c r="B61" s="1046"/>
      <c r="C61" s="859"/>
      <c r="D61" s="860"/>
      <c r="E61" s="860"/>
      <c r="F61" s="860"/>
      <c r="G61" s="860"/>
      <c r="H61" s="860"/>
      <c r="I61" s="860"/>
      <c r="J61" s="860"/>
      <c r="K61" s="860"/>
      <c r="L61" s="860"/>
      <c r="M61" s="861"/>
      <c r="N61" s="860"/>
      <c r="O61" s="861"/>
      <c r="P61" s="2326"/>
      <c r="Q61" s="121"/>
    </row>
    <row r="62" spans="1:29" s="40" customFormat="1">
      <c r="A62" s="1047" t="s">
        <v>1036</v>
      </c>
      <c r="B62" s="1044"/>
      <c r="C62" s="1048" t="s">
        <v>113</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1038</v>
      </c>
      <c r="B64" s="286" t="s">
        <v>998</v>
      </c>
      <c r="C64" s="176" t="str">
        <f>C9</f>
        <v>商业</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1040</v>
      </c>
      <c r="C66" s="881" t="s">
        <v>417</v>
      </c>
      <c r="D66" s="881" t="s">
        <v>1007</v>
      </c>
      <c r="E66" s="881" t="s">
        <v>419</v>
      </c>
      <c r="F66" s="881" t="s">
        <v>420</v>
      </c>
      <c r="G66" s="881" t="s">
        <v>435</v>
      </c>
      <c r="H66" s="881" t="s">
        <v>436</v>
      </c>
      <c r="I66" s="881" t="s">
        <v>1012</v>
      </c>
      <c r="J66" s="881"/>
      <c r="K66" s="882"/>
      <c r="L66" s="883"/>
      <c r="M66" s="884"/>
      <c r="N66" s="1387"/>
      <c r="O66" s="1387"/>
      <c r="P66" s="2328"/>
      <c r="Q66" s="121"/>
    </row>
    <row r="67" spans="1:17" ht="15" thickBot="1">
      <c r="A67" s="173"/>
      <c r="B67" s="1053"/>
      <c r="C67" s="886" t="s">
        <v>135</v>
      </c>
      <c r="D67" s="886" t="s">
        <v>135</v>
      </c>
      <c r="E67" s="886">
        <v>100</v>
      </c>
      <c r="F67" s="886">
        <f>E67-$K10</f>
        <v>98</v>
      </c>
      <c r="G67" s="886">
        <f>F67-$K10</f>
        <v>96</v>
      </c>
      <c r="H67" s="886">
        <f>G67-$K10</f>
        <v>94</v>
      </c>
      <c r="I67" s="886">
        <f>H67-$K10</f>
        <v>92</v>
      </c>
      <c r="J67" s="886"/>
      <c r="K67" s="886"/>
      <c r="L67" s="886"/>
      <c r="M67" s="887"/>
      <c r="N67" s="1388"/>
      <c r="O67" s="1388"/>
      <c r="P67" s="2328"/>
      <c r="Q67" s="121"/>
    </row>
    <row r="68" spans="1:17" ht="15" thickTop="1">
      <c r="A68" s="173"/>
      <c r="B68" s="1054" t="s">
        <v>1041</v>
      </c>
      <c r="C68" s="889" t="str">
        <f>C69&amp;"（含）"&amp;"-"&amp;D69</f>
        <v>1（含）-2</v>
      </c>
      <c r="D68" s="889" t="str">
        <f t="shared" ref="D68:L68" si="17">D69&amp;"（含）"&amp;"-"&amp;E69</f>
        <v>2（含）-3</v>
      </c>
      <c r="E68" s="889" t="str">
        <f t="shared" si="17"/>
        <v>3（含）-4</v>
      </c>
      <c r="F68" s="889" t="str">
        <f t="shared" si="17"/>
        <v>4（含）-5</v>
      </c>
      <c r="G68" s="889" t="str">
        <f t="shared" si="17"/>
        <v>5（含）-6</v>
      </c>
      <c r="H68" s="889" t="str">
        <f t="shared" si="17"/>
        <v>6（含）-7</v>
      </c>
      <c r="I68" s="889" t="str">
        <f t="shared" si="17"/>
        <v>7（含）-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v>1</v>
      </c>
      <c r="D69" s="891">
        <v>2</v>
      </c>
      <c r="E69" s="891">
        <v>3</v>
      </c>
      <c r="F69" s="891">
        <v>4</v>
      </c>
      <c r="G69" s="891">
        <v>5</v>
      </c>
      <c r="H69" s="891">
        <v>6</v>
      </c>
      <c r="I69" s="891">
        <v>7</v>
      </c>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1042</v>
      </c>
      <c r="B77" s="286" t="s">
        <v>1087</v>
      </c>
      <c r="C77" s="915" t="s">
        <v>1013</v>
      </c>
      <c r="D77" s="915" t="s">
        <v>423</v>
      </c>
      <c r="E77" s="915" t="s">
        <v>424</v>
      </c>
      <c r="F77" s="915" t="s">
        <v>425</v>
      </c>
      <c r="G77" s="915" t="s">
        <v>426</v>
      </c>
      <c r="H77" s="871"/>
      <c r="I77" s="871"/>
      <c r="J77" s="871"/>
      <c r="K77" s="916"/>
      <c r="L77" s="917"/>
      <c r="M77" s="918"/>
      <c r="N77" s="1387"/>
      <c r="O77" s="1387"/>
      <c r="P77" s="2332"/>
      <c r="Q77" s="121"/>
    </row>
    <row r="78" spans="1:17" ht="15" thickBot="1">
      <c r="A78" s="173"/>
      <c r="B78" s="1053"/>
      <c r="C78" s="886">
        <v>100</v>
      </c>
      <c r="D78" s="886">
        <f>C78-$K15</f>
        <v>98</v>
      </c>
      <c r="E78" s="886">
        <f>D78-$K15</f>
        <v>96</v>
      </c>
      <c r="F78" s="886">
        <f>E78-$K15</f>
        <v>94</v>
      </c>
      <c r="G78" s="886">
        <f>F78-$K15</f>
        <v>92</v>
      </c>
      <c r="H78" s="886"/>
      <c r="I78" s="886"/>
      <c r="J78" s="886"/>
      <c r="K78" s="886"/>
      <c r="L78" s="886"/>
      <c r="M78" s="887"/>
      <c r="N78" s="1388"/>
      <c r="O78" s="1388"/>
      <c r="P78" s="2328"/>
      <c r="Q78" s="121"/>
    </row>
    <row r="79" spans="1:17" ht="15" thickTop="1">
      <c r="A79" s="173"/>
      <c r="B79" s="1052" t="s">
        <v>1049</v>
      </c>
      <c r="C79" s="920" t="s">
        <v>1013</v>
      </c>
      <c r="D79" s="920" t="s">
        <v>423</v>
      </c>
      <c r="E79" s="920" t="s">
        <v>424</v>
      </c>
      <c r="F79" s="920" t="s">
        <v>425</v>
      </c>
      <c r="G79" s="920" t="s">
        <v>426</v>
      </c>
      <c r="H79" s="881"/>
      <c r="I79" s="881"/>
      <c r="J79" s="881"/>
      <c r="K79" s="882"/>
      <c r="L79" s="883"/>
      <c r="M79" s="884"/>
      <c r="N79" s="1387"/>
      <c r="O79" s="1387"/>
      <c r="P79" s="2328"/>
      <c r="Q79" s="121"/>
    </row>
    <row r="80" spans="1:17" ht="15" thickBot="1">
      <c r="A80" s="173"/>
      <c r="B80" s="1053"/>
      <c r="C80" s="886">
        <v>100</v>
      </c>
      <c r="D80" s="886">
        <f>C80-$K17</f>
        <v>98</v>
      </c>
      <c r="E80" s="886">
        <f>D80-$K17</f>
        <v>96</v>
      </c>
      <c r="F80" s="886">
        <f>E80-$K17</f>
        <v>94</v>
      </c>
      <c r="G80" s="886">
        <f>F80-$K17</f>
        <v>92</v>
      </c>
      <c r="H80" s="886"/>
      <c r="I80" s="886"/>
      <c r="J80" s="886"/>
      <c r="K80" s="886"/>
      <c r="L80" s="886"/>
      <c r="M80" s="887"/>
      <c r="N80" s="1388"/>
      <c r="O80" s="1388"/>
      <c r="P80" s="2328"/>
      <c r="Q80" s="121"/>
    </row>
    <row r="81" spans="1:17" ht="15" thickTop="1">
      <c r="A81" s="173"/>
      <c r="B81" s="1052" t="s">
        <v>31</v>
      </c>
      <c r="C81" s="920" t="s">
        <v>1013</v>
      </c>
      <c r="D81" s="920" t="s">
        <v>423</v>
      </c>
      <c r="E81" s="920" t="s">
        <v>424</v>
      </c>
      <c r="F81" s="920" t="s">
        <v>425</v>
      </c>
      <c r="G81" s="920" t="s">
        <v>426</v>
      </c>
      <c r="H81" s="881"/>
      <c r="I81" s="881"/>
      <c r="J81" s="881"/>
      <c r="K81" s="882"/>
      <c r="L81" s="883"/>
      <c r="M81" s="884"/>
      <c r="N81" s="1387"/>
      <c r="O81" s="1387"/>
      <c r="P81" s="2328"/>
      <c r="Q81" s="121"/>
    </row>
    <row r="82" spans="1:17" ht="15" thickBot="1">
      <c r="A82" s="173"/>
      <c r="B82" s="1053"/>
      <c r="C82" s="886">
        <v>100</v>
      </c>
      <c r="D82" s="886">
        <f>C82-$K19</f>
        <v>98</v>
      </c>
      <c r="E82" s="886">
        <f>D82-$K19</f>
        <v>96</v>
      </c>
      <c r="F82" s="886">
        <f>E82-$K19</f>
        <v>94</v>
      </c>
      <c r="G82" s="886">
        <f>F82-$K19</f>
        <v>92</v>
      </c>
      <c r="H82" s="886"/>
      <c r="I82" s="886"/>
      <c r="J82" s="886"/>
      <c r="K82" s="886"/>
      <c r="L82" s="886"/>
      <c r="M82" s="887"/>
      <c r="N82" s="1388"/>
      <c r="O82" s="1388"/>
      <c r="P82" s="2328"/>
      <c r="Q82" s="121"/>
    </row>
    <row r="83" spans="1:17" ht="15" thickTop="1">
      <c r="A83" s="173"/>
      <c r="B83" s="1054" t="s">
        <v>2661</v>
      </c>
      <c r="C83" s="213" t="s">
        <v>2654</v>
      </c>
      <c r="D83" s="213" t="s">
        <v>2655</v>
      </c>
      <c r="E83" s="213" t="s">
        <v>2656</v>
      </c>
      <c r="F83" s="213" t="s">
        <v>2657</v>
      </c>
      <c r="G83" s="213" t="s">
        <v>2658</v>
      </c>
      <c r="H83" s="881"/>
      <c r="I83" s="881"/>
      <c r="J83" s="881"/>
      <c r="K83" s="881"/>
      <c r="L83" s="881"/>
      <c r="M83" s="2763"/>
      <c r="N83" s="1388"/>
      <c r="O83" s="1388"/>
      <c r="P83" s="2328"/>
      <c r="Q83" s="121"/>
    </row>
    <row r="84" spans="1:17" ht="15" thickBot="1">
      <c r="A84" s="173"/>
      <c r="B84" s="1054"/>
      <c r="C84" s="886">
        <v>100</v>
      </c>
      <c r="D84" s="886">
        <f>C84-$K21</f>
        <v>99</v>
      </c>
      <c r="E84" s="886">
        <f>D84-$K21</f>
        <v>98</v>
      </c>
      <c r="F84" s="886">
        <f>E84-$K21</f>
        <v>97</v>
      </c>
      <c r="G84" s="886">
        <f>F84-$K21</f>
        <v>96</v>
      </c>
      <c r="H84" s="1001"/>
      <c r="I84" s="1001"/>
      <c r="J84" s="1001"/>
      <c r="K84" s="1001"/>
      <c r="L84" s="1001"/>
      <c r="M84" s="792"/>
      <c r="N84" s="1388"/>
      <c r="O84" s="1388"/>
      <c r="P84" s="2328"/>
      <c r="Q84" s="121"/>
    </row>
    <row r="85" spans="1:17" ht="15" thickTop="1">
      <c r="A85" s="173"/>
      <c r="B85" s="1052" t="s">
        <v>146</v>
      </c>
      <c r="C85" s="920" t="s">
        <v>1013</v>
      </c>
      <c r="D85" s="920" t="s">
        <v>423</v>
      </c>
      <c r="E85" s="920" t="s">
        <v>424</v>
      </c>
      <c r="F85" s="920" t="s">
        <v>425</v>
      </c>
      <c r="G85" s="920" t="s">
        <v>426</v>
      </c>
      <c r="H85" s="881"/>
      <c r="I85" s="881"/>
      <c r="J85" s="881"/>
      <c r="K85" s="882"/>
      <c r="L85" s="883"/>
      <c r="M85" s="884"/>
      <c r="N85" s="1387"/>
      <c r="O85" s="1387"/>
      <c r="P85" s="2328"/>
      <c r="Q85" s="121"/>
    </row>
    <row r="86" spans="1:17" ht="15" thickBot="1">
      <c r="A86" s="173"/>
      <c r="B86" s="1053"/>
      <c r="C86" s="886">
        <v>100</v>
      </c>
      <c r="D86" s="886">
        <f>C86-$K23</f>
        <v>98</v>
      </c>
      <c r="E86" s="886">
        <f>D86-$K23</f>
        <v>96</v>
      </c>
      <c r="F86" s="886">
        <f>E86-$K23</f>
        <v>94</v>
      </c>
      <c r="G86" s="886">
        <f>F86-$K23</f>
        <v>92</v>
      </c>
      <c r="H86" s="886"/>
      <c r="I86" s="886"/>
      <c r="J86" s="886"/>
      <c r="K86" s="886"/>
      <c r="L86" s="886"/>
      <c r="M86" s="887"/>
      <c r="N86" s="1388"/>
      <c r="O86" s="1388"/>
      <c r="P86" s="2328"/>
      <c r="Q86" s="121"/>
    </row>
    <row r="87" spans="1:17" s="40" customFormat="1" ht="27.75" thickTop="1">
      <c r="A87" s="1070"/>
      <c r="B87" s="1052" t="s">
        <v>1089</v>
      </c>
      <c r="C87" s="139" t="s">
        <v>3086</v>
      </c>
      <c r="D87" s="139" t="s">
        <v>3087</v>
      </c>
      <c r="E87" s="139" t="s">
        <v>3089</v>
      </c>
      <c r="F87" s="139" t="s">
        <v>3090</v>
      </c>
      <c r="G87" s="139" t="s">
        <v>3091</v>
      </c>
      <c r="H87" s="139"/>
      <c r="I87" s="139"/>
      <c r="J87" s="139"/>
      <c r="K87" s="139"/>
      <c r="L87" s="1382"/>
      <c r="M87" s="1383"/>
      <c r="N87" s="1386"/>
      <c r="O87" s="1386"/>
      <c r="P87" s="2328"/>
      <c r="Q87" s="121"/>
    </row>
    <row r="88" spans="1:17" s="40" customFormat="1" ht="15" thickBot="1">
      <c r="A88" s="1070"/>
      <c r="B88" s="1053"/>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8"/>
      <c r="O88" s="1388"/>
      <c r="P88" s="2328"/>
      <c r="Q88" s="121"/>
    </row>
    <row r="89" spans="1:17" s="40" customFormat="1" ht="14.25" thickTop="1">
      <c r="A89" s="1070"/>
      <c r="B89" s="1052" t="str">
        <f>B27</f>
        <v>楼层</v>
      </c>
      <c r="C89" s="139" t="s">
        <v>3092</v>
      </c>
      <c r="D89" s="139" t="s">
        <v>3094</v>
      </c>
      <c r="E89" s="139" t="s">
        <v>3095</v>
      </c>
      <c r="F89" s="1384"/>
      <c r="G89" s="139"/>
      <c r="H89" s="139"/>
      <c r="I89" s="139"/>
      <c r="J89" s="139"/>
      <c r="K89" s="139"/>
      <c r="L89" s="139"/>
      <c r="M89" s="1383"/>
      <c r="N89" s="1386"/>
      <c r="O89" s="1386"/>
      <c r="P89" s="2328"/>
      <c r="Q89" s="121"/>
    </row>
    <row r="90" spans="1:17" s="40" customFormat="1" ht="15" thickBot="1">
      <c r="A90" s="1070"/>
      <c r="B90" s="1053"/>
      <c r="C90" s="924">
        <v>100</v>
      </c>
      <c r="D90" s="886">
        <f>C90-$K27</f>
        <v>95</v>
      </c>
      <c r="E90" s="886">
        <f t="shared" ref="E90:M90" si="20">D90-$K27</f>
        <v>90</v>
      </c>
      <c r="F90" s="886">
        <f t="shared" si="20"/>
        <v>85</v>
      </c>
      <c r="G90" s="886">
        <f t="shared" si="20"/>
        <v>80</v>
      </c>
      <c r="H90" s="886">
        <f t="shared" si="20"/>
        <v>75</v>
      </c>
      <c r="I90" s="886">
        <f t="shared" si="20"/>
        <v>70</v>
      </c>
      <c r="J90" s="886">
        <f t="shared" si="20"/>
        <v>65</v>
      </c>
      <c r="K90" s="886">
        <f t="shared" si="20"/>
        <v>60</v>
      </c>
      <c r="L90" s="886">
        <f t="shared" si="20"/>
        <v>55</v>
      </c>
      <c r="M90" s="886">
        <f t="shared" si="20"/>
        <v>50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1022</v>
      </c>
      <c r="B101" s="286" t="s">
        <v>120</v>
      </c>
      <c r="C101" s="122" t="s">
        <v>3096</v>
      </c>
      <c r="D101" s="122" t="s">
        <v>3097</v>
      </c>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8"/>
      <c r="O102" s="1388"/>
      <c r="P102" s="2328"/>
      <c r="Q102" s="121"/>
    </row>
    <row r="103" spans="1:17" ht="24.95" customHeight="1" thickTop="1">
      <c r="A103" s="173"/>
      <c r="B103" s="1052" t="s">
        <v>1054</v>
      </c>
      <c r="C103" s="920" t="str">
        <f>C104&amp;"(含)"&amp;"-"&amp;D104</f>
        <v>0(含)-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v>0</v>
      </c>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v>100</v>
      </c>
      <c r="D105" s="878">
        <v>102</v>
      </c>
      <c r="E105" s="878">
        <v>104</v>
      </c>
      <c r="F105" s="878">
        <v>106</v>
      </c>
      <c r="G105" s="878">
        <v>108</v>
      </c>
      <c r="H105" s="878">
        <v>110</v>
      </c>
      <c r="I105" s="878"/>
      <c r="J105" s="878"/>
      <c r="K105" s="878"/>
      <c r="L105" s="878"/>
      <c r="M105" s="879"/>
      <c r="N105" s="1388"/>
      <c r="O105" s="1388"/>
      <c r="P105" s="2329"/>
      <c r="Q105" s="1061"/>
    </row>
    <row r="106" spans="1:17" ht="14.25" thickTop="1">
      <c r="A106" s="175"/>
      <c r="B106" s="1052" t="s">
        <v>92</v>
      </c>
      <c r="C106" s="139" t="s">
        <v>2432</v>
      </c>
      <c r="D106" s="139" t="s">
        <v>3099</v>
      </c>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8"/>
      <c r="O107" s="1388"/>
      <c r="P107" s="2328"/>
      <c r="Q107" s="121"/>
    </row>
    <row r="108" spans="1:17" ht="14.25" thickTop="1">
      <c r="A108" s="175"/>
      <c r="B108" s="1052" t="s">
        <v>1056</v>
      </c>
      <c r="C108" s="139" t="s">
        <v>3100</v>
      </c>
      <c r="D108" s="139" t="s">
        <v>3101</v>
      </c>
      <c r="E108" s="139" t="s">
        <v>3102</v>
      </c>
      <c r="F108" s="131" t="s">
        <v>3103</v>
      </c>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8"/>
      <c r="O109" s="1388"/>
      <c r="P109" s="2328"/>
      <c r="Q109" s="121"/>
    </row>
    <row r="110" spans="1:17" ht="15" thickTop="1">
      <c r="A110" s="175"/>
      <c r="B110" s="1052" t="s">
        <v>109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8"/>
      <c r="O112" s="1388"/>
      <c r="P112" s="2328"/>
      <c r="Q112" s="121"/>
    </row>
    <row r="113" spans="1:17" s="1037" customFormat="1" ht="14.25" thickTop="1">
      <c r="A113" s="1071"/>
      <c r="B113" s="1052" t="s">
        <v>1091</v>
      </c>
      <c r="C113" s="139" t="s">
        <v>3106</v>
      </c>
      <c r="D113" s="139" t="s">
        <v>3107</v>
      </c>
      <c r="E113" s="139" t="s">
        <v>3108</v>
      </c>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122</v>
      </c>
      <c r="C115" s="139" t="s">
        <v>3104</v>
      </c>
      <c r="D115" s="139" t="s">
        <v>3105</v>
      </c>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8"/>
      <c r="O116" s="1388"/>
      <c r="P116" s="2328"/>
      <c r="Q116" s="121"/>
    </row>
    <row r="117" spans="1:17" ht="14.25" thickTop="1">
      <c r="A117" s="175"/>
      <c r="B117" s="1052" t="s">
        <v>2636</v>
      </c>
      <c r="C117" s="139" t="s">
        <v>3109</v>
      </c>
      <c r="D117" s="139" t="s">
        <v>3110</v>
      </c>
      <c r="E117" s="139" t="s">
        <v>3111</v>
      </c>
      <c r="F117" s="139" t="s">
        <v>3112</v>
      </c>
      <c r="G117" s="139" t="s">
        <v>3113</v>
      </c>
      <c r="H117" s="131"/>
      <c r="I117" s="131"/>
      <c r="J117" s="131"/>
      <c r="K117" s="132"/>
      <c r="L117" s="133"/>
      <c r="M117" s="134"/>
      <c r="N117" s="1387"/>
      <c r="O117" s="1387"/>
      <c r="P117" s="2328"/>
      <c r="Q117" s="121"/>
    </row>
    <row r="118" spans="1:17" ht="15" thickBot="1">
      <c r="A118" s="173"/>
      <c r="B118" s="1053"/>
      <c r="C118" s="886">
        <v>100</v>
      </c>
      <c r="D118" s="886">
        <f>C118-$K40</f>
        <v>99</v>
      </c>
      <c r="E118" s="886">
        <f>D118-$K40</f>
        <v>98</v>
      </c>
      <c r="F118" s="886">
        <f>E118-$K40</f>
        <v>97</v>
      </c>
      <c r="G118" s="886">
        <f>F118-$K40</f>
        <v>96</v>
      </c>
      <c r="H118" s="886"/>
      <c r="I118" s="886"/>
      <c r="J118" s="886"/>
      <c r="K118" s="886"/>
      <c r="L118" s="886"/>
      <c r="M118" s="887"/>
      <c r="N118" s="1388"/>
      <c r="O118" s="1388"/>
      <c r="P118" s="2328"/>
      <c r="Q118" s="121"/>
    </row>
    <row r="119" spans="1:17" ht="14.25" thickTop="1">
      <c r="A119" s="175"/>
      <c r="B119" s="211" t="s">
        <v>1059</v>
      </c>
      <c r="C119" s="131" t="s">
        <v>3114</v>
      </c>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8"/>
      <c r="O120" s="1388"/>
      <c r="P120" s="2328"/>
      <c r="Q120" s="121"/>
    </row>
    <row r="121" spans="1:17" s="1037" customFormat="1" ht="15" thickTop="1">
      <c r="A121" s="1071"/>
      <c r="B121" s="1052" t="s">
        <v>1060</v>
      </c>
      <c r="C121" s="896" t="s">
        <v>3205</v>
      </c>
      <c r="D121" s="896">
        <v>1400</v>
      </c>
      <c r="E121" s="896">
        <v>900</v>
      </c>
      <c r="F121" s="925">
        <v>300</v>
      </c>
      <c r="G121" s="897"/>
      <c r="H121" s="897"/>
      <c r="I121" s="897"/>
      <c r="J121" s="897"/>
      <c r="K121" s="897"/>
      <c r="L121" s="898"/>
      <c r="M121" s="899"/>
      <c r="N121" s="1389"/>
      <c r="O121" s="1389"/>
      <c r="P121" s="2329"/>
      <c r="Q121" s="1061"/>
    </row>
    <row r="122" spans="1:17" s="1037" customFormat="1" ht="15" thickBot="1">
      <c r="A122" s="1056"/>
      <c r="B122" s="1051"/>
      <c r="C122" s="902">
        <v>100</v>
      </c>
      <c r="D122" s="902">
        <v>98</v>
      </c>
      <c r="E122" s="902">
        <v>100</v>
      </c>
      <c r="F122" s="902">
        <v>102</v>
      </c>
      <c r="G122" s="902"/>
      <c r="H122" s="902"/>
      <c r="I122" s="902"/>
      <c r="J122" s="902"/>
      <c r="K122" s="902"/>
      <c r="L122" s="902"/>
      <c r="M122" s="902"/>
      <c r="N122" s="1389"/>
      <c r="O122" s="1389"/>
      <c r="P122" s="2329"/>
      <c r="Q122" s="1061"/>
    </row>
    <row r="123" spans="1:17" ht="14.25" thickTop="1">
      <c r="A123" s="175"/>
      <c r="B123" s="1052" t="s">
        <v>123</v>
      </c>
      <c r="C123" s="139" t="s">
        <v>3100</v>
      </c>
      <c r="D123" s="139" t="s">
        <v>3101</v>
      </c>
      <c r="E123" s="139" t="s">
        <v>3102</v>
      </c>
      <c r="F123" s="131" t="s">
        <v>3103</v>
      </c>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8"/>
      <c r="O124" s="1388"/>
      <c r="P124" s="2328"/>
      <c r="Q124" s="121"/>
    </row>
    <row r="125" spans="1:17" ht="27.75" thickTop="1">
      <c r="A125" s="175"/>
      <c r="B125" s="1052" t="s">
        <v>1063</v>
      </c>
      <c r="C125" s="920" t="s">
        <v>1013</v>
      </c>
      <c r="D125" s="920" t="s">
        <v>423</v>
      </c>
      <c r="E125" s="920" t="s">
        <v>424</v>
      </c>
      <c r="F125" s="920" t="s">
        <v>425</v>
      </c>
      <c r="G125" s="920" t="s">
        <v>426</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H93" sqref="H93"/>
      <selection pane="bottomLeft" activeCell="T28" sqref="T28"/>
    </sheetView>
  </sheetViews>
  <sheetFormatPr defaultColWidth="9" defaultRowHeight="12.75"/>
  <cols>
    <col min="1" max="1" width="11.5" style="469" customWidth="1"/>
    <col min="2" max="2" width="9.25" style="316" customWidth="1"/>
    <col min="3" max="3" width="9.875" style="316" customWidth="1"/>
    <col min="4" max="4" width="9" style="316"/>
    <col min="5" max="5" width="12.62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40" t="s">
        <v>2381</v>
      </c>
      <c r="C1" s="3754" t="s">
        <v>2382</v>
      </c>
      <c r="D1" s="3755"/>
      <c r="E1" s="3755"/>
      <c r="F1" s="3755"/>
      <c r="G1" s="3755"/>
      <c r="H1" s="3755"/>
      <c r="I1" s="3755"/>
      <c r="J1" s="3755"/>
      <c r="K1" s="3755"/>
      <c r="L1" s="3755"/>
      <c r="M1" s="3755"/>
      <c r="N1" s="3755"/>
      <c r="O1" s="3755"/>
      <c r="P1" s="3755"/>
      <c r="Q1" s="3755"/>
      <c r="R1" s="3755"/>
      <c r="S1" s="3756"/>
      <c r="T1" s="2440" t="s">
        <v>2383</v>
      </c>
    </row>
    <row r="2" spans="1:45" s="1114" customFormat="1" ht="25.5">
      <c r="A2" s="2441"/>
      <c r="B2" s="1110" t="s">
        <v>2384</v>
      </c>
      <c r="C2" s="1111" t="str">
        <f t="shared" ref="C2:L2" si="0">C3&amp;"(含)"&amp;"-"&amp;D3</f>
        <v>0(含)-500</v>
      </c>
      <c r="D2" s="1112" t="str">
        <f t="shared" si="0"/>
        <v>500(含)-1000</v>
      </c>
      <c r="E2" s="1112" t="str">
        <f t="shared" si="0"/>
        <v>1000(含)-1500</v>
      </c>
      <c r="F2" s="1112" t="str">
        <f t="shared" si="0"/>
        <v>1500(含)-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v>0</v>
      </c>
      <c r="D3" s="1117">
        <v>500</v>
      </c>
      <c r="E3" s="1117">
        <v>1000</v>
      </c>
      <c r="F3" s="3210">
        <v>1500</v>
      </c>
      <c r="G3" s="3210"/>
      <c r="H3" s="3210"/>
      <c r="I3" s="3210"/>
      <c r="J3" s="3210"/>
      <c r="K3" s="3210"/>
      <c r="L3" s="3211"/>
      <c r="M3" s="3212"/>
      <c r="N3" s="3212"/>
      <c r="O3" s="3210"/>
      <c r="P3" s="3210"/>
      <c r="Q3" s="3210"/>
      <c r="R3" s="3210"/>
      <c r="S3" s="3213"/>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v>100</v>
      </c>
      <c r="D4" s="2447">
        <v>98</v>
      </c>
      <c r="E4" s="2447">
        <v>96</v>
      </c>
      <c r="F4" s="3214">
        <v>94</v>
      </c>
      <c r="G4" s="3214"/>
      <c r="H4" s="3214"/>
      <c r="I4" s="3214"/>
      <c r="J4" s="3214"/>
      <c r="K4" s="3214"/>
      <c r="L4" s="3214"/>
      <c r="M4" s="3215"/>
      <c r="N4" s="3215"/>
      <c r="O4" s="3214"/>
      <c r="P4" s="3214"/>
      <c r="Q4" s="3214"/>
      <c r="R4" s="3214"/>
      <c r="S4" s="3216"/>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68" t="s">
        <v>3156</v>
      </c>
      <c r="C5" s="3369" t="s">
        <v>3209</v>
      </c>
      <c r="D5" s="3370" t="s">
        <v>3157</v>
      </c>
      <c r="E5" s="2453"/>
      <c r="F5" s="3217"/>
      <c r="G5" s="3217"/>
      <c r="H5" s="3217"/>
      <c r="I5" s="3217"/>
      <c r="J5" s="3217"/>
      <c r="K5" s="3217"/>
      <c r="L5" s="3218"/>
      <c r="M5" s="3219"/>
      <c r="N5" s="3219"/>
      <c r="O5" s="3217"/>
      <c r="P5" s="3217"/>
      <c r="Q5" s="3217"/>
      <c r="R5" s="3217"/>
      <c r="S5" s="3220"/>
      <c r="T5" s="2455">
        <v>10</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90</v>
      </c>
      <c r="E6" s="2205">
        <f t="shared" ref="E6:S6" si="7">D6-$T5</f>
        <v>80</v>
      </c>
      <c r="F6" s="3221">
        <f t="shared" si="7"/>
        <v>70</v>
      </c>
      <c r="G6" s="3221">
        <f t="shared" si="7"/>
        <v>60</v>
      </c>
      <c r="H6" s="3221">
        <f t="shared" si="7"/>
        <v>50</v>
      </c>
      <c r="I6" s="3221">
        <f t="shared" si="7"/>
        <v>40</v>
      </c>
      <c r="J6" s="3221">
        <f t="shared" si="7"/>
        <v>30</v>
      </c>
      <c r="K6" s="3221">
        <f t="shared" si="7"/>
        <v>20</v>
      </c>
      <c r="L6" s="3221">
        <f t="shared" si="7"/>
        <v>10</v>
      </c>
      <c r="M6" s="3221">
        <f t="shared" si="7"/>
        <v>0</v>
      </c>
      <c r="N6" s="3221">
        <f t="shared" si="7"/>
        <v>-10</v>
      </c>
      <c r="O6" s="3221">
        <f t="shared" si="7"/>
        <v>-20</v>
      </c>
      <c r="P6" s="3221">
        <f t="shared" si="7"/>
        <v>-30</v>
      </c>
      <c r="Q6" s="3221">
        <f t="shared" si="7"/>
        <v>-40</v>
      </c>
      <c r="R6" s="3221">
        <f t="shared" si="7"/>
        <v>-50</v>
      </c>
      <c r="S6" s="3221">
        <f t="shared" si="7"/>
        <v>-60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9" t="s">
        <v>3031</v>
      </c>
      <c r="C7" s="2207"/>
      <c r="D7" s="2201"/>
      <c r="E7" s="2201"/>
      <c r="F7" s="3222"/>
      <c r="G7" s="3222"/>
      <c r="H7" s="3222"/>
      <c r="I7" s="3222"/>
      <c r="J7" s="3222"/>
      <c r="K7" s="3222"/>
      <c r="L7" s="3222"/>
      <c r="M7" s="3223"/>
      <c r="N7" s="3224"/>
      <c r="O7" s="3225"/>
      <c r="P7" s="3226"/>
      <c r="Q7" s="3227"/>
      <c r="R7" s="3228"/>
      <c r="S7" s="3229"/>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21">
        <f t="shared" si="8"/>
        <v>100</v>
      </c>
      <c r="G8" s="3221">
        <f t="shared" si="8"/>
        <v>100</v>
      </c>
      <c r="H8" s="3221">
        <f t="shared" si="8"/>
        <v>100</v>
      </c>
      <c r="I8" s="3221">
        <f t="shared" si="8"/>
        <v>100</v>
      </c>
      <c r="J8" s="3221">
        <f t="shared" si="8"/>
        <v>100</v>
      </c>
      <c r="K8" s="3221">
        <f t="shared" si="8"/>
        <v>100</v>
      </c>
      <c r="L8" s="3221">
        <f t="shared" si="8"/>
        <v>100</v>
      </c>
      <c r="M8" s="3221">
        <f t="shared" si="8"/>
        <v>100</v>
      </c>
      <c r="N8" s="3221">
        <f t="shared" si="8"/>
        <v>100</v>
      </c>
      <c r="O8" s="3221">
        <f t="shared" si="8"/>
        <v>100</v>
      </c>
      <c r="P8" s="3221">
        <f t="shared" si="8"/>
        <v>100</v>
      </c>
      <c r="Q8" s="3221">
        <f t="shared" si="8"/>
        <v>100</v>
      </c>
      <c r="R8" s="3221">
        <f t="shared" si="8"/>
        <v>100</v>
      </c>
      <c r="S8" s="3221">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9" t="s">
        <v>3030</v>
      </c>
      <c r="C9" s="2207"/>
      <c r="D9" s="2201"/>
      <c r="E9" s="2201"/>
      <c r="F9" s="3222"/>
      <c r="G9" s="3222"/>
      <c r="H9" s="3222"/>
      <c r="I9" s="3222"/>
      <c r="J9" s="3222"/>
      <c r="K9" s="3222"/>
      <c r="L9" s="3230"/>
      <c r="M9" s="3223"/>
      <c r="N9" s="3224"/>
      <c r="O9" s="3225"/>
      <c r="P9" s="3226"/>
      <c r="Q9" s="3227"/>
      <c r="R9" s="3228"/>
      <c r="S9" s="3229"/>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8" t="s">
        <v>3029</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8" t="s">
        <v>3028</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8" t="s">
        <v>3027</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2" t="s">
        <v>2385</v>
      </c>
      <c r="B17" s="2483" t="s">
        <v>2386</v>
      </c>
      <c r="C17" s="3371" t="s">
        <v>3158</v>
      </c>
      <c r="D17" s="3372"/>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2"/>
      <c r="AS17" s="1462"/>
    </row>
    <row r="18" spans="1:45" s="1114" customFormat="1" ht="13.5" thickBot="1">
      <c r="A18" s="2476"/>
      <c r="B18" s="2477"/>
      <c r="C18" s="2478">
        <v>100</v>
      </c>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518</v>
      </c>
      <c r="B20" s="672">
        <f ca="1">S22</f>
        <v>2037</v>
      </c>
      <c r="C20" s="499"/>
      <c r="D20" s="499"/>
      <c r="E20" s="499"/>
      <c r="F20" s="499"/>
      <c r="G20" s="499"/>
      <c r="H20" s="499"/>
      <c r="I20" s="499"/>
      <c r="J20" s="499"/>
      <c r="K20" s="499"/>
      <c r="L20" s="499"/>
      <c r="M20" s="499"/>
      <c r="N20" s="499"/>
      <c r="O20" s="499"/>
      <c r="P20" s="499"/>
      <c r="Q20" s="499"/>
      <c r="R20" s="1414"/>
      <c r="S20" s="468"/>
    </row>
    <row r="21" spans="1:45" ht="15.75">
      <c r="A21" s="1122" t="s">
        <v>519</v>
      </c>
      <c r="B21" s="672">
        <f ca="1">R22</f>
        <v>6673</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3052.5699999999997</v>
      </c>
      <c r="C22" s="3751" t="s">
        <v>166</v>
      </c>
      <c r="D22" s="3752"/>
      <c r="E22" s="3752"/>
      <c r="F22" s="3752"/>
      <c r="G22" s="3752"/>
      <c r="H22" s="3752"/>
      <c r="I22" s="3752"/>
      <c r="J22" s="3752"/>
      <c r="K22" s="3752"/>
      <c r="L22" s="3752"/>
      <c r="M22" s="3752"/>
      <c r="N22" s="3752"/>
      <c r="O22" s="3752"/>
      <c r="P22" s="3752"/>
      <c r="Q22" s="3753"/>
      <c r="R22" s="1123">
        <f ca="1">ROUND(S22*10000/B22,0)</f>
        <v>6673</v>
      </c>
      <c r="S22" s="313">
        <f ca="1">SUM(S24:S10000)</f>
        <v>2037</v>
      </c>
    </row>
    <row r="23" spans="1:45" s="300" customFormat="1" ht="24">
      <c r="A23" s="299" t="s">
        <v>521</v>
      </c>
      <c r="B23" s="299" t="s">
        <v>522</v>
      </c>
      <c r="C23" s="299" t="s">
        <v>523</v>
      </c>
      <c r="D23" s="299" t="str">
        <f>B5</f>
        <v>露台</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84" t="s">
        <v>3210</v>
      </c>
      <c r="B24" s="1125">
        <f>面积表!D5+面积表!D6</f>
        <v>1017.52</v>
      </c>
      <c r="C24" s="1126">
        <v>1</v>
      </c>
      <c r="D24" s="1127" t="s">
        <v>147</v>
      </c>
      <c r="E24" s="1126">
        <v>1</v>
      </c>
      <c r="F24" s="1127"/>
      <c r="G24" s="1126">
        <v>1</v>
      </c>
      <c r="H24" s="1127"/>
      <c r="I24" s="1126">
        <v>1</v>
      </c>
      <c r="J24" s="1127"/>
      <c r="K24" s="1126">
        <v>1</v>
      </c>
      <c r="L24" s="1127"/>
      <c r="M24" s="1126">
        <v>1</v>
      </c>
      <c r="N24" s="1127"/>
      <c r="O24" s="1126">
        <v>1</v>
      </c>
      <c r="P24" s="1127" t="s">
        <v>3093</v>
      </c>
      <c r="Q24" s="1126">
        <v>1</v>
      </c>
      <c r="R24" s="1128">
        <f ca="1">'结果表（办公）'!G20</f>
        <v>6459</v>
      </c>
      <c r="S24" s="1126">
        <f t="shared" ref="S24:S54" ca="1" si="11">ROUND(R24*B24/10000,0)</f>
        <v>657</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t="s">
        <v>3211</v>
      </c>
      <c r="B25" s="348">
        <f>面积表!D7</f>
        <v>1017.53</v>
      </c>
      <c r="C25" s="313">
        <f>IF(B25="",1,(LOOKUP(B25,$3:$3,$4:$4)-LOOKUP($B$24,$3:$3,$4:$4)+100)/100)</f>
        <v>1</v>
      </c>
      <c r="D25" s="1127" t="s">
        <v>147</v>
      </c>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t="s">
        <v>3093</v>
      </c>
      <c r="Q25" s="313">
        <f>(SUMIF($17:$17,P25,$18:$18)-SUMIF($17:$17,$P$24,$18:$18)+100)/100</f>
        <v>1</v>
      </c>
      <c r="R25" s="1123">
        <f ca="1">IF(B25="",0,ROUND($R$24*C25*E25*G25*I25*K25*M25*O25*Q25,0))</f>
        <v>6459</v>
      </c>
      <c r="S25" s="697">
        <f t="shared" ca="1" si="11"/>
        <v>657</v>
      </c>
    </row>
    <row r="26" spans="1:45">
      <c r="A26" s="490" t="s">
        <v>3212</v>
      </c>
      <c r="B26" s="348">
        <f>面积表!D3+面积表!D4</f>
        <v>1017.52</v>
      </c>
      <c r="C26" s="313">
        <f t="shared" ref="C26:C89" si="12">IF(B26="",1,(LOOKUP(B26,$3:$3,$4:$4)-LOOKUP($B$24,$3:$3,$4:$4)+100)/100)</f>
        <v>1</v>
      </c>
      <c r="D26" s="1127" t="s">
        <v>3208</v>
      </c>
      <c r="E26" s="313">
        <f t="shared" ref="E26:E89" si="13">(SUMIF($5:$5,D26,$6:$6)-SUMIF($5:$5,$D$24,$6:$6)+100)/100</f>
        <v>1.1000000000000001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t="s">
        <v>3093</v>
      </c>
      <c r="Q26" s="313">
        <f t="shared" ref="Q26:Q89" si="19">(SUMIF($17:$17,P26,$18:$18)-SUMIF($17:$17,$P$24,$18:$18)+100)/100</f>
        <v>1</v>
      </c>
      <c r="R26" s="1123">
        <f t="shared" ref="R26:R89" ca="1" si="20">IF(B26="",0,ROUND($R$24*C26*E26*G26*I26*K26*M26*O26*Q26,0))</f>
        <v>7105</v>
      </c>
      <c r="S26" s="697">
        <f t="shared" ca="1" si="11"/>
        <v>723</v>
      </c>
    </row>
    <row r="27" spans="1:45">
      <c r="A27" s="490"/>
      <c r="B27" s="348"/>
      <c r="C27" s="313">
        <f t="shared" si="12"/>
        <v>1</v>
      </c>
      <c r="D27" s="1127"/>
      <c r="E27" s="313">
        <f t="shared" si="13"/>
        <v>0.1</v>
      </c>
      <c r="F27" s="1127"/>
      <c r="G27" s="313">
        <f t="shared" si="14"/>
        <v>1</v>
      </c>
      <c r="H27" s="1127"/>
      <c r="I27" s="313">
        <f t="shared" si="15"/>
        <v>1</v>
      </c>
      <c r="J27" s="1127"/>
      <c r="K27" s="313">
        <f t="shared" si="16"/>
        <v>1</v>
      </c>
      <c r="L27" s="1127"/>
      <c r="M27" s="313">
        <f t="shared" si="17"/>
        <v>1</v>
      </c>
      <c r="N27" s="1127"/>
      <c r="O27" s="313">
        <f t="shared" si="18"/>
        <v>1</v>
      </c>
      <c r="P27" s="1127"/>
      <c r="Q27" s="313">
        <f t="shared" si="19"/>
        <v>0</v>
      </c>
      <c r="R27" s="1123">
        <f t="shared" si="20"/>
        <v>0</v>
      </c>
      <c r="S27" s="697">
        <f t="shared" si="11"/>
        <v>0</v>
      </c>
    </row>
    <row r="28" spans="1:45">
      <c r="A28" s="490"/>
      <c r="B28" s="348"/>
      <c r="C28" s="313">
        <f t="shared" si="12"/>
        <v>1</v>
      </c>
      <c r="D28" s="1127"/>
      <c r="E28" s="313">
        <f t="shared" si="13"/>
        <v>0.1</v>
      </c>
      <c r="F28" s="1127"/>
      <c r="G28" s="313">
        <f t="shared" si="14"/>
        <v>1</v>
      </c>
      <c r="H28" s="1127"/>
      <c r="I28" s="313">
        <f t="shared" si="15"/>
        <v>1</v>
      </c>
      <c r="J28" s="1127"/>
      <c r="K28" s="313">
        <f t="shared" si="16"/>
        <v>1</v>
      </c>
      <c r="L28" s="1127"/>
      <c r="M28" s="313">
        <f t="shared" si="17"/>
        <v>1</v>
      </c>
      <c r="N28" s="1127"/>
      <c r="O28" s="313">
        <f t="shared" si="18"/>
        <v>1</v>
      </c>
      <c r="P28" s="1127"/>
      <c r="Q28" s="313">
        <f t="shared" si="19"/>
        <v>0</v>
      </c>
      <c r="R28" s="1123">
        <f t="shared" si="20"/>
        <v>0</v>
      </c>
      <c r="S28" s="697">
        <f t="shared" si="11"/>
        <v>0</v>
      </c>
    </row>
    <row r="29" spans="1:45">
      <c r="A29" s="490"/>
      <c r="B29" s="348"/>
      <c r="C29" s="313">
        <f t="shared" si="12"/>
        <v>1</v>
      </c>
      <c r="D29" s="1127"/>
      <c r="E29" s="313">
        <f t="shared" si="13"/>
        <v>0.1</v>
      </c>
      <c r="F29" s="1127"/>
      <c r="G29" s="313">
        <f t="shared" si="14"/>
        <v>1</v>
      </c>
      <c r="H29" s="1127"/>
      <c r="I29" s="313">
        <f t="shared" si="15"/>
        <v>1</v>
      </c>
      <c r="J29" s="1127"/>
      <c r="K29" s="313">
        <f t="shared" si="16"/>
        <v>1</v>
      </c>
      <c r="L29" s="1127"/>
      <c r="M29" s="313">
        <f t="shared" si="17"/>
        <v>1</v>
      </c>
      <c r="N29" s="1127"/>
      <c r="O29" s="313">
        <f t="shared" si="18"/>
        <v>1</v>
      </c>
      <c r="P29" s="1127"/>
      <c r="Q29" s="313">
        <f t="shared" si="19"/>
        <v>0</v>
      </c>
      <c r="R29" s="1123">
        <f t="shared" si="20"/>
        <v>0</v>
      </c>
      <c r="S29" s="697">
        <f t="shared" si="11"/>
        <v>0</v>
      </c>
    </row>
    <row r="30" spans="1:45">
      <c r="A30" s="490"/>
      <c r="B30" s="348"/>
      <c r="C30" s="313">
        <f t="shared" si="12"/>
        <v>1</v>
      </c>
      <c r="D30" s="1127"/>
      <c r="E30" s="313">
        <f t="shared" si="13"/>
        <v>0.1</v>
      </c>
      <c r="F30" s="1127"/>
      <c r="G30" s="313">
        <f t="shared" si="14"/>
        <v>1</v>
      </c>
      <c r="H30" s="1127"/>
      <c r="I30" s="313">
        <f t="shared" si="15"/>
        <v>1</v>
      </c>
      <c r="J30" s="1127"/>
      <c r="K30" s="313">
        <f t="shared" si="16"/>
        <v>1</v>
      </c>
      <c r="L30" s="1127"/>
      <c r="M30" s="313">
        <f t="shared" si="17"/>
        <v>1</v>
      </c>
      <c r="N30" s="1127"/>
      <c r="O30" s="313">
        <f t="shared" si="18"/>
        <v>1</v>
      </c>
      <c r="P30" s="1127"/>
      <c r="Q30" s="313">
        <f t="shared" si="19"/>
        <v>0</v>
      </c>
      <c r="R30" s="1123">
        <f t="shared" si="20"/>
        <v>0</v>
      </c>
      <c r="S30" s="697">
        <f t="shared" si="11"/>
        <v>0</v>
      </c>
    </row>
    <row r="31" spans="1:45">
      <c r="A31" s="490"/>
      <c r="B31" s="348"/>
      <c r="C31" s="313">
        <f t="shared" si="12"/>
        <v>1</v>
      </c>
      <c r="D31" s="1127"/>
      <c r="E31" s="313">
        <f t="shared" si="13"/>
        <v>0.1</v>
      </c>
      <c r="F31" s="1127"/>
      <c r="G31" s="313">
        <f t="shared" si="14"/>
        <v>1</v>
      </c>
      <c r="H31" s="1127"/>
      <c r="I31" s="313">
        <f t="shared" si="15"/>
        <v>1</v>
      </c>
      <c r="J31" s="1127"/>
      <c r="K31" s="313">
        <f t="shared" si="16"/>
        <v>1</v>
      </c>
      <c r="L31" s="1127"/>
      <c r="M31" s="313">
        <f t="shared" si="17"/>
        <v>1</v>
      </c>
      <c r="N31" s="1127"/>
      <c r="O31" s="313">
        <f t="shared" si="18"/>
        <v>1</v>
      </c>
      <c r="P31" s="1127"/>
      <c r="Q31" s="313">
        <f t="shared" si="19"/>
        <v>0</v>
      </c>
      <c r="R31" s="1123">
        <f t="shared" si="20"/>
        <v>0</v>
      </c>
      <c r="S31" s="697">
        <f t="shared" si="11"/>
        <v>0</v>
      </c>
    </row>
    <row r="32" spans="1:45">
      <c r="A32" s="490"/>
      <c r="B32" s="348"/>
      <c r="C32" s="313">
        <f t="shared" si="12"/>
        <v>1</v>
      </c>
      <c r="D32" s="1127"/>
      <c r="E32" s="313">
        <f t="shared" si="13"/>
        <v>0.1</v>
      </c>
      <c r="F32" s="1127"/>
      <c r="G32" s="313">
        <f t="shared" si="14"/>
        <v>1</v>
      </c>
      <c r="H32" s="1127"/>
      <c r="I32" s="313">
        <f t="shared" si="15"/>
        <v>1</v>
      </c>
      <c r="J32" s="1127"/>
      <c r="K32" s="313">
        <f t="shared" si="16"/>
        <v>1</v>
      </c>
      <c r="L32" s="1127"/>
      <c r="M32" s="313">
        <f t="shared" si="17"/>
        <v>1</v>
      </c>
      <c r="N32" s="1127"/>
      <c r="O32" s="313">
        <f t="shared" si="18"/>
        <v>1</v>
      </c>
      <c r="P32" s="1127"/>
      <c r="Q32" s="313">
        <f t="shared" si="19"/>
        <v>0</v>
      </c>
      <c r="R32" s="1123">
        <f t="shared" si="20"/>
        <v>0</v>
      </c>
      <c r="S32" s="697">
        <f t="shared" si="11"/>
        <v>0</v>
      </c>
    </row>
    <row r="33" spans="1:19">
      <c r="A33" s="490"/>
      <c r="B33" s="348"/>
      <c r="C33" s="313">
        <f t="shared" si="12"/>
        <v>1</v>
      </c>
      <c r="D33" s="1127"/>
      <c r="E33" s="313">
        <f t="shared" si="13"/>
        <v>0.1</v>
      </c>
      <c r="F33" s="1127"/>
      <c r="G33" s="313">
        <f t="shared" si="14"/>
        <v>1</v>
      </c>
      <c r="H33" s="1127"/>
      <c r="I33" s="313">
        <f t="shared" si="15"/>
        <v>1</v>
      </c>
      <c r="J33" s="1127"/>
      <c r="K33" s="313">
        <f t="shared" si="16"/>
        <v>1</v>
      </c>
      <c r="L33" s="1127"/>
      <c r="M33" s="313">
        <f t="shared" si="17"/>
        <v>1</v>
      </c>
      <c r="N33" s="1127"/>
      <c r="O33" s="313">
        <f t="shared" si="18"/>
        <v>1</v>
      </c>
      <c r="P33" s="1127"/>
      <c r="Q33" s="313">
        <f t="shared" si="19"/>
        <v>0</v>
      </c>
      <c r="R33" s="1123">
        <f t="shared" si="20"/>
        <v>0</v>
      </c>
      <c r="S33" s="697">
        <f t="shared" si="11"/>
        <v>0</v>
      </c>
    </row>
    <row r="34" spans="1:19">
      <c r="A34" s="490"/>
      <c r="B34" s="348"/>
      <c r="C34" s="313">
        <f t="shared" si="12"/>
        <v>1</v>
      </c>
      <c r="D34" s="1127"/>
      <c r="E34" s="313">
        <f t="shared" si="13"/>
        <v>0.1</v>
      </c>
      <c r="F34" s="1127"/>
      <c r="G34" s="313">
        <f t="shared" si="14"/>
        <v>1</v>
      </c>
      <c r="H34" s="1127"/>
      <c r="I34" s="313">
        <f t="shared" si="15"/>
        <v>1</v>
      </c>
      <c r="J34" s="1127"/>
      <c r="K34" s="313">
        <f t="shared" si="16"/>
        <v>1</v>
      </c>
      <c r="L34" s="1127"/>
      <c r="M34" s="313">
        <f t="shared" si="17"/>
        <v>1</v>
      </c>
      <c r="N34" s="1127"/>
      <c r="O34" s="313">
        <f t="shared" si="18"/>
        <v>1</v>
      </c>
      <c r="P34" s="1127"/>
      <c r="Q34" s="313">
        <f t="shared" si="19"/>
        <v>0</v>
      </c>
      <c r="R34" s="1123">
        <f t="shared" si="20"/>
        <v>0</v>
      </c>
      <c r="S34" s="697">
        <f t="shared" si="11"/>
        <v>0</v>
      </c>
    </row>
    <row r="35" spans="1:19">
      <c r="A35" s="490"/>
      <c r="B35" s="348"/>
      <c r="C35" s="313">
        <f t="shared" si="12"/>
        <v>1</v>
      </c>
      <c r="D35" s="1127"/>
      <c r="E35" s="313">
        <f t="shared" si="13"/>
        <v>0.1</v>
      </c>
      <c r="F35" s="1127"/>
      <c r="G35" s="313">
        <f t="shared" si="14"/>
        <v>1</v>
      </c>
      <c r="H35" s="1127"/>
      <c r="I35" s="313">
        <f t="shared" si="15"/>
        <v>1</v>
      </c>
      <c r="J35" s="1127"/>
      <c r="K35" s="313">
        <f t="shared" si="16"/>
        <v>1</v>
      </c>
      <c r="L35" s="1127"/>
      <c r="M35" s="313">
        <f t="shared" si="17"/>
        <v>1</v>
      </c>
      <c r="N35" s="1127"/>
      <c r="O35" s="313">
        <f t="shared" si="18"/>
        <v>1</v>
      </c>
      <c r="P35" s="1127"/>
      <c r="Q35" s="313">
        <f t="shared" si="19"/>
        <v>0</v>
      </c>
      <c r="R35" s="1123">
        <f t="shared" si="20"/>
        <v>0</v>
      </c>
      <c r="S35" s="697">
        <f t="shared" si="11"/>
        <v>0</v>
      </c>
    </row>
    <row r="36" spans="1:19">
      <c r="A36" s="490"/>
      <c r="B36" s="348"/>
      <c r="C36" s="313">
        <f t="shared" si="12"/>
        <v>1</v>
      </c>
      <c r="D36" s="1127"/>
      <c r="E36" s="313">
        <f t="shared" si="13"/>
        <v>0.1</v>
      </c>
      <c r="F36" s="1127"/>
      <c r="G36" s="313">
        <f t="shared" si="14"/>
        <v>1</v>
      </c>
      <c r="H36" s="1127"/>
      <c r="I36" s="313">
        <f t="shared" si="15"/>
        <v>1</v>
      </c>
      <c r="J36" s="1127"/>
      <c r="K36" s="313">
        <f t="shared" si="16"/>
        <v>1</v>
      </c>
      <c r="L36" s="1127"/>
      <c r="M36" s="313">
        <f t="shared" si="17"/>
        <v>1</v>
      </c>
      <c r="N36" s="1127"/>
      <c r="O36" s="313">
        <f t="shared" si="18"/>
        <v>1</v>
      </c>
      <c r="P36" s="1127"/>
      <c r="Q36" s="313">
        <f t="shared" si="19"/>
        <v>0</v>
      </c>
      <c r="R36" s="1123">
        <f t="shared" si="20"/>
        <v>0</v>
      </c>
      <c r="S36" s="697">
        <f t="shared" si="11"/>
        <v>0</v>
      </c>
    </row>
    <row r="37" spans="1:19">
      <c r="A37" s="490"/>
      <c r="B37" s="348"/>
      <c r="C37" s="313">
        <f t="shared" si="12"/>
        <v>1</v>
      </c>
      <c r="D37" s="1127"/>
      <c r="E37" s="313">
        <f t="shared" si="13"/>
        <v>0.1</v>
      </c>
      <c r="F37" s="1127"/>
      <c r="G37" s="313">
        <f t="shared" si="14"/>
        <v>1</v>
      </c>
      <c r="H37" s="1127"/>
      <c r="I37" s="313">
        <f t="shared" si="15"/>
        <v>1</v>
      </c>
      <c r="J37" s="1127"/>
      <c r="K37" s="313">
        <f t="shared" si="16"/>
        <v>1</v>
      </c>
      <c r="L37" s="1127"/>
      <c r="M37" s="313">
        <f t="shared" si="17"/>
        <v>1</v>
      </c>
      <c r="N37" s="1127"/>
      <c r="O37" s="313">
        <f t="shared" si="18"/>
        <v>1</v>
      </c>
      <c r="P37" s="1127"/>
      <c r="Q37" s="313">
        <f t="shared" si="19"/>
        <v>0</v>
      </c>
      <c r="R37" s="1123">
        <f t="shared" si="20"/>
        <v>0</v>
      </c>
      <c r="S37" s="697">
        <f t="shared" si="11"/>
        <v>0</v>
      </c>
    </row>
    <row r="38" spans="1:19">
      <c r="A38" s="490"/>
      <c r="B38" s="348"/>
      <c r="C38" s="313">
        <f t="shared" si="12"/>
        <v>1</v>
      </c>
      <c r="D38" s="1127"/>
      <c r="E38" s="313">
        <f t="shared" si="13"/>
        <v>0.1</v>
      </c>
      <c r="F38" s="1127"/>
      <c r="G38" s="313">
        <f t="shared" si="14"/>
        <v>1</v>
      </c>
      <c r="H38" s="1127"/>
      <c r="I38" s="313">
        <f t="shared" si="15"/>
        <v>1</v>
      </c>
      <c r="J38" s="1127"/>
      <c r="K38" s="313">
        <f t="shared" si="16"/>
        <v>1</v>
      </c>
      <c r="L38" s="1127"/>
      <c r="M38" s="313">
        <f t="shared" si="17"/>
        <v>1</v>
      </c>
      <c r="N38" s="1127"/>
      <c r="O38" s="313">
        <f t="shared" si="18"/>
        <v>1</v>
      </c>
      <c r="P38" s="1127"/>
      <c r="Q38" s="313">
        <f t="shared" si="19"/>
        <v>0</v>
      </c>
      <c r="R38" s="1123">
        <f t="shared" si="20"/>
        <v>0</v>
      </c>
      <c r="S38" s="697">
        <f t="shared" si="11"/>
        <v>0</v>
      </c>
    </row>
    <row r="39" spans="1:19">
      <c r="A39" s="490"/>
      <c r="B39" s="348"/>
      <c r="C39" s="313">
        <f t="shared" si="12"/>
        <v>1</v>
      </c>
      <c r="D39" s="1127"/>
      <c r="E39" s="313">
        <f t="shared" si="13"/>
        <v>0.1</v>
      </c>
      <c r="F39" s="1127"/>
      <c r="G39" s="313">
        <f t="shared" si="14"/>
        <v>1</v>
      </c>
      <c r="H39" s="1127"/>
      <c r="I39" s="313">
        <f t="shared" si="15"/>
        <v>1</v>
      </c>
      <c r="J39" s="1127"/>
      <c r="K39" s="313">
        <f t="shared" si="16"/>
        <v>1</v>
      </c>
      <c r="L39" s="1127"/>
      <c r="M39" s="313">
        <f t="shared" si="17"/>
        <v>1</v>
      </c>
      <c r="N39" s="1127"/>
      <c r="O39" s="313">
        <f t="shared" si="18"/>
        <v>1</v>
      </c>
      <c r="P39" s="1127"/>
      <c r="Q39" s="313">
        <f t="shared" si="19"/>
        <v>0</v>
      </c>
      <c r="R39" s="1123">
        <f t="shared" si="20"/>
        <v>0</v>
      </c>
      <c r="S39" s="697">
        <f t="shared" si="11"/>
        <v>0</v>
      </c>
    </row>
    <row r="40" spans="1:19">
      <c r="A40" s="490"/>
      <c r="B40" s="348"/>
      <c r="C40" s="313">
        <f t="shared" si="12"/>
        <v>1</v>
      </c>
      <c r="D40" s="1127"/>
      <c r="E40" s="313">
        <f t="shared" si="13"/>
        <v>0.1</v>
      </c>
      <c r="F40" s="1127"/>
      <c r="G40" s="313">
        <f t="shared" si="14"/>
        <v>1</v>
      </c>
      <c r="H40" s="1127"/>
      <c r="I40" s="313">
        <f t="shared" si="15"/>
        <v>1</v>
      </c>
      <c r="J40" s="1127"/>
      <c r="K40" s="313">
        <f t="shared" si="16"/>
        <v>1</v>
      </c>
      <c r="L40" s="1127"/>
      <c r="M40" s="313">
        <f t="shared" si="17"/>
        <v>1</v>
      </c>
      <c r="N40" s="1127"/>
      <c r="O40" s="313">
        <f t="shared" si="18"/>
        <v>1</v>
      </c>
      <c r="P40" s="1127"/>
      <c r="Q40" s="313">
        <f t="shared" si="19"/>
        <v>0</v>
      </c>
      <c r="R40" s="1123">
        <f t="shared" si="20"/>
        <v>0</v>
      </c>
      <c r="S40" s="697">
        <f t="shared" si="11"/>
        <v>0</v>
      </c>
    </row>
    <row r="41" spans="1:19">
      <c r="A41" s="490"/>
      <c r="B41" s="348"/>
      <c r="C41" s="313">
        <f t="shared" si="12"/>
        <v>1</v>
      </c>
      <c r="D41" s="1127"/>
      <c r="E41" s="313">
        <f t="shared" si="13"/>
        <v>0.1</v>
      </c>
      <c r="F41" s="1127"/>
      <c r="G41" s="313">
        <f t="shared" si="14"/>
        <v>1</v>
      </c>
      <c r="H41" s="1127"/>
      <c r="I41" s="313">
        <f t="shared" si="15"/>
        <v>1</v>
      </c>
      <c r="J41" s="1127"/>
      <c r="K41" s="313">
        <f t="shared" si="16"/>
        <v>1</v>
      </c>
      <c r="L41" s="1127"/>
      <c r="M41" s="313">
        <f t="shared" si="17"/>
        <v>1</v>
      </c>
      <c r="N41" s="1127"/>
      <c r="O41" s="313">
        <f t="shared" si="18"/>
        <v>1</v>
      </c>
      <c r="P41" s="1127"/>
      <c r="Q41" s="313">
        <f t="shared" si="19"/>
        <v>0</v>
      </c>
      <c r="R41" s="1123">
        <f t="shared" si="20"/>
        <v>0</v>
      </c>
      <c r="S41" s="697">
        <f t="shared" si="11"/>
        <v>0</v>
      </c>
    </row>
    <row r="42" spans="1:19">
      <c r="A42" s="490"/>
      <c r="B42" s="348"/>
      <c r="C42" s="313">
        <f t="shared" si="12"/>
        <v>1</v>
      </c>
      <c r="D42" s="1127"/>
      <c r="E42" s="313">
        <f t="shared" si="13"/>
        <v>0.1</v>
      </c>
      <c r="F42" s="1127"/>
      <c r="G42" s="313">
        <f t="shared" si="14"/>
        <v>1</v>
      </c>
      <c r="H42" s="1127"/>
      <c r="I42" s="313">
        <f t="shared" si="15"/>
        <v>1</v>
      </c>
      <c r="J42" s="1127"/>
      <c r="K42" s="313">
        <f t="shared" si="16"/>
        <v>1</v>
      </c>
      <c r="L42" s="1127"/>
      <c r="M42" s="313">
        <f t="shared" si="17"/>
        <v>1</v>
      </c>
      <c r="N42" s="1127"/>
      <c r="O42" s="313">
        <f t="shared" si="18"/>
        <v>1</v>
      </c>
      <c r="P42" s="1127"/>
      <c r="Q42" s="313">
        <f t="shared" si="19"/>
        <v>0</v>
      </c>
      <c r="R42" s="1123">
        <f t="shared" si="20"/>
        <v>0</v>
      </c>
      <c r="S42" s="697">
        <f t="shared" si="11"/>
        <v>0</v>
      </c>
    </row>
    <row r="43" spans="1:19">
      <c r="A43" s="490"/>
      <c r="B43" s="348"/>
      <c r="C43" s="313">
        <f t="shared" si="12"/>
        <v>1</v>
      </c>
      <c r="D43" s="1127"/>
      <c r="E43" s="313">
        <f t="shared" si="13"/>
        <v>0.1</v>
      </c>
      <c r="F43" s="1127"/>
      <c r="G43" s="313">
        <f t="shared" si="14"/>
        <v>1</v>
      </c>
      <c r="H43" s="1127"/>
      <c r="I43" s="313">
        <f t="shared" si="15"/>
        <v>1</v>
      </c>
      <c r="J43" s="1127"/>
      <c r="K43" s="313">
        <f t="shared" si="16"/>
        <v>1</v>
      </c>
      <c r="L43" s="1127"/>
      <c r="M43" s="313">
        <f t="shared" si="17"/>
        <v>1</v>
      </c>
      <c r="N43" s="1127"/>
      <c r="O43" s="313">
        <f t="shared" si="18"/>
        <v>1</v>
      </c>
      <c r="P43" s="1127"/>
      <c r="Q43" s="313">
        <f t="shared" si="19"/>
        <v>0</v>
      </c>
      <c r="R43" s="1123">
        <f t="shared" si="20"/>
        <v>0</v>
      </c>
      <c r="S43" s="697">
        <f t="shared" si="11"/>
        <v>0</v>
      </c>
    </row>
    <row r="44" spans="1:19">
      <c r="A44" s="490"/>
      <c r="B44" s="348"/>
      <c r="C44" s="313">
        <f t="shared" si="12"/>
        <v>1</v>
      </c>
      <c r="D44" s="1127"/>
      <c r="E44" s="313">
        <f t="shared" si="13"/>
        <v>0.1</v>
      </c>
      <c r="F44" s="1127"/>
      <c r="G44" s="313">
        <f t="shared" si="14"/>
        <v>1</v>
      </c>
      <c r="H44" s="1127"/>
      <c r="I44" s="313">
        <f t="shared" si="15"/>
        <v>1</v>
      </c>
      <c r="J44" s="1127"/>
      <c r="K44" s="313">
        <f t="shared" si="16"/>
        <v>1</v>
      </c>
      <c r="L44" s="1127"/>
      <c r="M44" s="313">
        <f t="shared" si="17"/>
        <v>1</v>
      </c>
      <c r="N44" s="1127"/>
      <c r="O44" s="313">
        <f t="shared" si="18"/>
        <v>1</v>
      </c>
      <c r="P44" s="1127"/>
      <c r="Q44" s="313">
        <f t="shared" si="19"/>
        <v>0</v>
      </c>
      <c r="R44" s="1123">
        <f t="shared" si="20"/>
        <v>0</v>
      </c>
      <c r="S44" s="697">
        <f t="shared" si="11"/>
        <v>0</v>
      </c>
    </row>
    <row r="45" spans="1:19">
      <c r="A45" s="490"/>
      <c r="B45" s="348"/>
      <c r="C45" s="313">
        <f t="shared" si="12"/>
        <v>1</v>
      </c>
      <c r="D45" s="1127"/>
      <c r="E45" s="313">
        <f t="shared" si="13"/>
        <v>0.1</v>
      </c>
      <c r="F45" s="1127"/>
      <c r="G45" s="313">
        <f t="shared" si="14"/>
        <v>1</v>
      </c>
      <c r="H45" s="1127"/>
      <c r="I45" s="313">
        <f t="shared" si="15"/>
        <v>1</v>
      </c>
      <c r="J45" s="1127"/>
      <c r="K45" s="313">
        <f t="shared" si="16"/>
        <v>1</v>
      </c>
      <c r="L45" s="1127"/>
      <c r="M45" s="313">
        <f t="shared" si="17"/>
        <v>1</v>
      </c>
      <c r="N45" s="1127"/>
      <c r="O45" s="313">
        <f t="shared" si="18"/>
        <v>1</v>
      </c>
      <c r="P45" s="1127"/>
      <c r="Q45" s="313">
        <f t="shared" si="19"/>
        <v>0</v>
      </c>
      <c r="R45" s="1123">
        <f t="shared" si="20"/>
        <v>0</v>
      </c>
      <c r="S45" s="697">
        <f t="shared" si="11"/>
        <v>0</v>
      </c>
    </row>
    <row r="46" spans="1:19">
      <c r="A46" s="490"/>
      <c r="B46" s="348"/>
      <c r="C46" s="313">
        <f t="shared" si="12"/>
        <v>1</v>
      </c>
      <c r="D46" s="1127"/>
      <c r="E46" s="313">
        <f t="shared" si="13"/>
        <v>0.1</v>
      </c>
      <c r="F46" s="1127"/>
      <c r="G46" s="313">
        <f t="shared" si="14"/>
        <v>1</v>
      </c>
      <c r="H46" s="1127"/>
      <c r="I46" s="313">
        <f t="shared" si="15"/>
        <v>1</v>
      </c>
      <c r="J46" s="1127"/>
      <c r="K46" s="313">
        <f t="shared" si="16"/>
        <v>1</v>
      </c>
      <c r="L46" s="1127"/>
      <c r="M46" s="313">
        <f t="shared" si="17"/>
        <v>1</v>
      </c>
      <c r="N46" s="1127"/>
      <c r="O46" s="313">
        <f t="shared" si="18"/>
        <v>1</v>
      </c>
      <c r="P46" s="1127"/>
      <c r="Q46" s="313">
        <f t="shared" si="19"/>
        <v>0</v>
      </c>
      <c r="R46" s="1123">
        <f t="shared" si="20"/>
        <v>0</v>
      </c>
      <c r="S46" s="697">
        <f t="shared" si="11"/>
        <v>0</v>
      </c>
    </row>
    <row r="47" spans="1:19">
      <c r="A47" s="490"/>
      <c r="B47" s="348"/>
      <c r="C47" s="313">
        <f t="shared" si="12"/>
        <v>1</v>
      </c>
      <c r="D47" s="1127"/>
      <c r="E47" s="313">
        <f t="shared" si="13"/>
        <v>0.1</v>
      </c>
      <c r="F47" s="1127"/>
      <c r="G47" s="313">
        <f t="shared" si="14"/>
        <v>1</v>
      </c>
      <c r="H47" s="1127"/>
      <c r="I47" s="313">
        <f t="shared" si="15"/>
        <v>1</v>
      </c>
      <c r="J47" s="1127"/>
      <c r="K47" s="313">
        <f t="shared" si="16"/>
        <v>1</v>
      </c>
      <c r="L47" s="1127"/>
      <c r="M47" s="313">
        <f t="shared" si="17"/>
        <v>1</v>
      </c>
      <c r="N47" s="1127"/>
      <c r="O47" s="313">
        <f t="shared" si="18"/>
        <v>1</v>
      </c>
      <c r="P47" s="1127"/>
      <c r="Q47" s="313">
        <f t="shared" si="19"/>
        <v>0</v>
      </c>
      <c r="R47" s="1123">
        <f t="shared" si="20"/>
        <v>0</v>
      </c>
      <c r="S47" s="697">
        <f t="shared" si="11"/>
        <v>0</v>
      </c>
    </row>
    <row r="48" spans="1:19">
      <c r="A48" s="490"/>
      <c r="B48" s="348"/>
      <c r="C48" s="313">
        <f t="shared" si="12"/>
        <v>1</v>
      </c>
      <c r="D48" s="1127"/>
      <c r="E48" s="313">
        <f t="shared" si="13"/>
        <v>0.1</v>
      </c>
      <c r="F48" s="1127"/>
      <c r="G48" s="313">
        <f t="shared" si="14"/>
        <v>1</v>
      </c>
      <c r="H48" s="1127"/>
      <c r="I48" s="313">
        <f t="shared" si="15"/>
        <v>1</v>
      </c>
      <c r="J48" s="1127"/>
      <c r="K48" s="313">
        <f t="shared" si="16"/>
        <v>1</v>
      </c>
      <c r="L48" s="1127"/>
      <c r="M48" s="313">
        <f t="shared" si="17"/>
        <v>1</v>
      </c>
      <c r="N48" s="1127"/>
      <c r="O48" s="313">
        <f t="shared" si="18"/>
        <v>1</v>
      </c>
      <c r="P48" s="1127"/>
      <c r="Q48" s="313">
        <f t="shared" si="19"/>
        <v>0</v>
      </c>
      <c r="R48" s="1123">
        <f t="shared" si="20"/>
        <v>0</v>
      </c>
      <c r="S48" s="697">
        <f t="shared" si="11"/>
        <v>0</v>
      </c>
    </row>
    <row r="49" spans="1:19">
      <c r="A49" s="490"/>
      <c r="B49" s="348"/>
      <c r="C49" s="313">
        <f t="shared" si="12"/>
        <v>1</v>
      </c>
      <c r="D49" s="1127"/>
      <c r="E49" s="313">
        <f t="shared" si="13"/>
        <v>0.1</v>
      </c>
      <c r="F49" s="1127"/>
      <c r="G49" s="313">
        <f t="shared" si="14"/>
        <v>1</v>
      </c>
      <c r="H49" s="1127"/>
      <c r="I49" s="313">
        <f t="shared" si="15"/>
        <v>1</v>
      </c>
      <c r="J49" s="1127"/>
      <c r="K49" s="313">
        <f t="shared" si="16"/>
        <v>1</v>
      </c>
      <c r="L49" s="1127"/>
      <c r="M49" s="313">
        <f t="shared" si="17"/>
        <v>1</v>
      </c>
      <c r="N49" s="1127"/>
      <c r="O49" s="313">
        <f t="shared" si="18"/>
        <v>1</v>
      </c>
      <c r="P49" s="1127"/>
      <c r="Q49" s="313">
        <f t="shared" si="19"/>
        <v>0</v>
      </c>
      <c r="R49" s="1123">
        <f t="shared" si="20"/>
        <v>0</v>
      </c>
      <c r="S49" s="697">
        <f t="shared" si="11"/>
        <v>0</v>
      </c>
    </row>
    <row r="50" spans="1:19">
      <c r="A50" s="490"/>
      <c r="B50" s="348"/>
      <c r="C50" s="313">
        <f t="shared" si="12"/>
        <v>1</v>
      </c>
      <c r="D50" s="1127"/>
      <c r="E50" s="313">
        <f t="shared" si="13"/>
        <v>0.1</v>
      </c>
      <c r="F50" s="1127"/>
      <c r="G50" s="313">
        <f t="shared" si="14"/>
        <v>1</v>
      </c>
      <c r="H50" s="1127"/>
      <c r="I50" s="313">
        <f t="shared" si="15"/>
        <v>1</v>
      </c>
      <c r="J50" s="1127"/>
      <c r="K50" s="313">
        <f t="shared" si="16"/>
        <v>1</v>
      </c>
      <c r="L50" s="1127"/>
      <c r="M50" s="313">
        <f t="shared" si="17"/>
        <v>1</v>
      </c>
      <c r="N50" s="1127"/>
      <c r="O50" s="313">
        <f t="shared" si="18"/>
        <v>1</v>
      </c>
      <c r="P50" s="1127"/>
      <c r="Q50" s="313">
        <f t="shared" si="19"/>
        <v>0</v>
      </c>
      <c r="R50" s="1123">
        <f t="shared" si="20"/>
        <v>0</v>
      </c>
      <c r="S50" s="697">
        <f t="shared" si="11"/>
        <v>0</v>
      </c>
    </row>
    <row r="51" spans="1:19">
      <c r="A51" s="490"/>
      <c r="B51" s="348"/>
      <c r="C51" s="313">
        <f t="shared" si="12"/>
        <v>1</v>
      </c>
      <c r="D51" s="1127"/>
      <c r="E51" s="313">
        <f t="shared" si="13"/>
        <v>0.1</v>
      </c>
      <c r="F51" s="1127"/>
      <c r="G51" s="313">
        <f t="shared" si="14"/>
        <v>1</v>
      </c>
      <c r="H51" s="1127"/>
      <c r="I51" s="313">
        <f t="shared" si="15"/>
        <v>1</v>
      </c>
      <c r="J51" s="1127"/>
      <c r="K51" s="313">
        <f t="shared" si="16"/>
        <v>1</v>
      </c>
      <c r="L51" s="1127"/>
      <c r="M51" s="313">
        <f t="shared" si="17"/>
        <v>1</v>
      </c>
      <c r="N51" s="1127"/>
      <c r="O51" s="313">
        <f t="shared" si="18"/>
        <v>1</v>
      </c>
      <c r="P51" s="1127"/>
      <c r="Q51" s="313">
        <f t="shared" si="19"/>
        <v>0</v>
      </c>
      <c r="R51" s="1123">
        <f t="shared" si="20"/>
        <v>0</v>
      </c>
      <c r="S51" s="697">
        <f t="shared" si="11"/>
        <v>0</v>
      </c>
    </row>
    <row r="52" spans="1:19">
      <c r="A52" s="490"/>
      <c r="B52" s="348"/>
      <c r="C52" s="313">
        <f t="shared" si="12"/>
        <v>1</v>
      </c>
      <c r="D52" s="1127"/>
      <c r="E52" s="313">
        <f t="shared" si="13"/>
        <v>0.1</v>
      </c>
      <c r="F52" s="1127"/>
      <c r="G52" s="313">
        <f t="shared" si="14"/>
        <v>1</v>
      </c>
      <c r="H52" s="1127"/>
      <c r="I52" s="313">
        <f t="shared" si="15"/>
        <v>1</v>
      </c>
      <c r="J52" s="1127"/>
      <c r="K52" s="313">
        <f t="shared" si="16"/>
        <v>1</v>
      </c>
      <c r="L52" s="1127"/>
      <c r="M52" s="313">
        <f t="shared" si="17"/>
        <v>1</v>
      </c>
      <c r="N52" s="1127"/>
      <c r="O52" s="313">
        <f t="shared" si="18"/>
        <v>1</v>
      </c>
      <c r="P52" s="1127"/>
      <c r="Q52" s="313">
        <f t="shared" si="19"/>
        <v>0</v>
      </c>
      <c r="R52" s="1123">
        <f t="shared" si="20"/>
        <v>0</v>
      </c>
      <c r="S52" s="697">
        <f t="shared" si="11"/>
        <v>0</v>
      </c>
    </row>
    <row r="53" spans="1:19">
      <c r="A53" s="490"/>
      <c r="B53" s="348"/>
      <c r="C53" s="313">
        <f t="shared" si="12"/>
        <v>1</v>
      </c>
      <c r="D53" s="1127"/>
      <c r="E53" s="313">
        <f t="shared" si="13"/>
        <v>0.1</v>
      </c>
      <c r="F53" s="1127"/>
      <c r="G53" s="313">
        <f t="shared" si="14"/>
        <v>1</v>
      </c>
      <c r="H53" s="1127"/>
      <c r="I53" s="313">
        <f t="shared" si="15"/>
        <v>1</v>
      </c>
      <c r="J53" s="1127"/>
      <c r="K53" s="313">
        <f t="shared" si="16"/>
        <v>1</v>
      </c>
      <c r="L53" s="1127"/>
      <c r="M53" s="313">
        <f t="shared" si="17"/>
        <v>1</v>
      </c>
      <c r="N53" s="1127"/>
      <c r="O53" s="313">
        <f t="shared" si="18"/>
        <v>1</v>
      </c>
      <c r="P53" s="1127"/>
      <c r="Q53" s="313">
        <f t="shared" si="19"/>
        <v>0</v>
      </c>
      <c r="R53" s="1123">
        <f t="shared" si="20"/>
        <v>0</v>
      </c>
      <c r="S53" s="697">
        <f t="shared" si="11"/>
        <v>0</v>
      </c>
    </row>
    <row r="54" spans="1:19">
      <c r="A54" s="490"/>
      <c r="B54" s="348"/>
      <c r="C54" s="313">
        <f t="shared" si="12"/>
        <v>1</v>
      </c>
      <c r="D54" s="1127"/>
      <c r="E54" s="313">
        <f t="shared" si="13"/>
        <v>0.1</v>
      </c>
      <c r="F54" s="1127"/>
      <c r="G54" s="313">
        <f t="shared" si="14"/>
        <v>1</v>
      </c>
      <c r="H54" s="1127"/>
      <c r="I54" s="313">
        <f t="shared" si="15"/>
        <v>1</v>
      </c>
      <c r="J54" s="1127"/>
      <c r="K54" s="313">
        <f t="shared" si="16"/>
        <v>1</v>
      </c>
      <c r="L54" s="1127"/>
      <c r="M54" s="313">
        <f t="shared" si="17"/>
        <v>1</v>
      </c>
      <c r="N54" s="1127"/>
      <c r="O54" s="313">
        <f t="shared" si="18"/>
        <v>1</v>
      </c>
      <c r="P54" s="1127"/>
      <c r="Q54" s="313">
        <f t="shared" si="19"/>
        <v>0</v>
      </c>
      <c r="R54" s="1123">
        <f t="shared" si="20"/>
        <v>0</v>
      </c>
      <c r="S54" s="697">
        <f t="shared" si="11"/>
        <v>0</v>
      </c>
    </row>
    <row r="55" spans="1:19">
      <c r="A55" s="490"/>
      <c r="B55" s="348"/>
      <c r="C55" s="313">
        <f t="shared" si="12"/>
        <v>1</v>
      </c>
      <c r="D55" s="1127"/>
      <c r="E55" s="313">
        <f t="shared" si="13"/>
        <v>0.1</v>
      </c>
      <c r="F55" s="1127"/>
      <c r="G55" s="313">
        <f t="shared" si="14"/>
        <v>1</v>
      </c>
      <c r="H55" s="1127"/>
      <c r="I55" s="313">
        <f t="shared" si="15"/>
        <v>1</v>
      </c>
      <c r="J55" s="1127"/>
      <c r="K55" s="313">
        <f t="shared" si="16"/>
        <v>1</v>
      </c>
      <c r="L55" s="1127"/>
      <c r="M55" s="313">
        <f t="shared" si="17"/>
        <v>1</v>
      </c>
      <c r="N55" s="1127"/>
      <c r="O55" s="313">
        <f t="shared" si="18"/>
        <v>1</v>
      </c>
      <c r="P55" s="1127"/>
      <c r="Q55" s="313">
        <f t="shared" si="19"/>
        <v>0</v>
      </c>
      <c r="R55" s="1123">
        <f t="shared" si="20"/>
        <v>0</v>
      </c>
      <c r="S55" s="697">
        <f t="shared" ref="S55:S77" si="21">ROUND(R55*B55/10000,0)</f>
        <v>0</v>
      </c>
    </row>
    <row r="56" spans="1:19">
      <c r="A56" s="490"/>
      <c r="B56" s="348"/>
      <c r="C56" s="313">
        <f t="shared" si="12"/>
        <v>1</v>
      </c>
      <c r="D56" s="1127"/>
      <c r="E56" s="313">
        <f t="shared" si="13"/>
        <v>0.1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7">
        <f t="shared" si="21"/>
        <v>0</v>
      </c>
    </row>
    <row r="57" spans="1:19">
      <c r="A57" s="490"/>
      <c r="B57" s="348"/>
      <c r="C57" s="313">
        <f t="shared" si="12"/>
        <v>1</v>
      </c>
      <c r="D57" s="1127"/>
      <c r="E57" s="313">
        <f t="shared" si="13"/>
        <v>0.1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7">
        <f t="shared" si="21"/>
        <v>0</v>
      </c>
    </row>
    <row r="58" spans="1:19">
      <c r="A58" s="490"/>
      <c r="B58" s="348"/>
      <c r="C58" s="313">
        <f t="shared" si="12"/>
        <v>1</v>
      </c>
      <c r="D58" s="1127"/>
      <c r="E58" s="313">
        <f t="shared" si="13"/>
        <v>0.1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7">
        <f t="shared" si="21"/>
        <v>0</v>
      </c>
    </row>
    <row r="59" spans="1:19">
      <c r="A59" s="490"/>
      <c r="B59" s="348"/>
      <c r="C59" s="313">
        <f t="shared" si="12"/>
        <v>1</v>
      </c>
      <c r="D59" s="1127"/>
      <c r="E59" s="313">
        <f t="shared" si="13"/>
        <v>0.1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7">
        <f t="shared" si="21"/>
        <v>0</v>
      </c>
    </row>
    <row r="60" spans="1:19">
      <c r="A60" s="490"/>
      <c r="B60" s="348"/>
      <c r="C60" s="313">
        <f t="shared" si="12"/>
        <v>1</v>
      </c>
      <c r="D60" s="1127"/>
      <c r="E60" s="313">
        <f t="shared" si="13"/>
        <v>0.1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7">
        <f t="shared" si="21"/>
        <v>0</v>
      </c>
    </row>
    <row r="61" spans="1:19">
      <c r="A61" s="490"/>
      <c r="B61" s="348"/>
      <c r="C61" s="313">
        <f t="shared" si="12"/>
        <v>1</v>
      </c>
      <c r="D61" s="1127"/>
      <c r="E61" s="313">
        <f t="shared" si="13"/>
        <v>0.1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7">
        <f t="shared" si="21"/>
        <v>0</v>
      </c>
    </row>
    <row r="62" spans="1:19">
      <c r="A62" s="490"/>
      <c r="B62" s="348"/>
      <c r="C62" s="313">
        <f t="shared" si="12"/>
        <v>1</v>
      </c>
      <c r="D62" s="1127"/>
      <c r="E62" s="313">
        <f t="shared" si="13"/>
        <v>0.1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7">
        <f t="shared" si="21"/>
        <v>0</v>
      </c>
    </row>
    <row r="63" spans="1:19">
      <c r="A63" s="490"/>
      <c r="B63" s="348"/>
      <c r="C63" s="313">
        <f t="shared" si="12"/>
        <v>1</v>
      </c>
      <c r="D63" s="1127"/>
      <c r="E63" s="313">
        <f t="shared" si="13"/>
        <v>0.1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7">
        <f t="shared" si="21"/>
        <v>0</v>
      </c>
    </row>
    <row r="64" spans="1:19">
      <c r="A64" s="490"/>
      <c r="B64" s="348"/>
      <c r="C64" s="313">
        <f t="shared" si="12"/>
        <v>1</v>
      </c>
      <c r="D64" s="1127"/>
      <c r="E64" s="313">
        <f t="shared" si="13"/>
        <v>0.1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7">
        <f t="shared" si="21"/>
        <v>0</v>
      </c>
    </row>
    <row r="65" spans="1:19">
      <c r="A65" s="490"/>
      <c r="B65" s="348"/>
      <c r="C65" s="313">
        <f t="shared" si="12"/>
        <v>1</v>
      </c>
      <c r="D65" s="1127"/>
      <c r="E65" s="313">
        <f t="shared" si="13"/>
        <v>0.1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7">
        <f t="shared" si="21"/>
        <v>0</v>
      </c>
    </row>
    <row r="66" spans="1:19">
      <c r="A66" s="490"/>
      <c r="B66" s="348"/>
      <c r="C66" s="313">
        <f t="shared" si="12"/>
        <v>1</v>
      </c>
      <c r="D66" s="1127"/>
      <c r="E66" s="313">
        <f t="shared" si="13"/>
        <v>0.1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7">
        <f t="shared" si="21"/>
        <v>0</v>
      </c>
    </row>
    <row r="67" spans="1:19">
      <c r="A67" s="490"/>
      <c r="B67" s="348"/>
      <c r="C67" s="313">
        <f t="shared" si="12"/>
        <v>1</v>
      </c>
      <c r="D67" s="1127"/>
      <c r="E67" s="313">
        <f t="shared" si="13"/>
        <v>0.1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7">
        <f t="shared" si="21"/>
        <v>0</v>
      </c>
    </row>
    <row r="68" spans="1:19">
      <c r="A68" s="490"/>
      <c r="B68" s="348"/>
      <c r="C68" s="313">
        <f t="shared" si="12"/>
        <v>1</v>
      </c>
      <c r="D68" s="1127"/>
      <c r="E68" s="313">
        <f t="shared" si="13"/>
        <v>0.1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7">
        <f t="shared" si="21"/>
        <v>0</v>
      </c>
    </row>
    <row r="69" spans="1:19">
      <c r="A69" s="490"/>
      <c r="B69" s="348"/>
      <c r="C69" s="313">
        <f t="shared" si="12"/>
        <v>1</v>
      </c>
      <c r="D69" s="1127"/>
      <c r="E69" s="313">
        <f t="shared" si="13"/>
        <v>0.1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7">
        <f t="shared" si="21"/>
        <v>0</v>
      </c>
    </row>
    <row r="70" spans="1:19">
      <c r="A70" s="490"/>
      <c r="B70" s="348"/>
      <c r="C70" s="313">
        <f t="shared" si="12"/>
        <v>1</v>
      </c>
      <c r="D70" s="1127"/>
      <c r="E70" s="313">
        <f t="shared" si="13"/>
        <v>0.1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7">
        <f t="shared" si="21"/>
        <v>0</v>
      </c>
    </row>
    <row r="71" spans="1:19">
      <c r="A71" s="490"/>
      <c r="B71" s="348"/>
      <c r="C71" s="313">
        <f t="shared" si="12"/>
        <v>1</v>
      </c>
      <c r="D71" s="1127"/>
      <c r="E71" s="313">
        <f t="shared" si="13"/>
        <v>0.1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7">
        <f t="shared" si="21"/>
        <v>0</v>
      </c>
    </row>
    <row r="72" spans="1:19">
      <c r="A72" s="490"/>
      <c r="B72" s="348"/>
      <c r="C72" s="313">
        <f t="shared" si="12"/>
        <v>1</v>
      </c>
      <c r="D72" s="1127"/>
      <c r="E72" s="313">
        <f t="shared" si="13"/>
        <v>0.1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7">
        <f t="shared" si="21"/>
        <v>0</v>
      </c>
    </row>
    <row r="73" spans="1:19">
      <c r="A73" s="490"/>
      <c r="B73" s="348"/>
      <c r="C73" s="313">
        <f t="shared" si="12"/>
        <v>1</v>
      </c>
      <c r="D73" s="1127"/>
      <c r="E73" s="313">
        <f t="shared" si="13"/>
        <v>0.1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7">
        <f t="shared" si="21"/>
        <v>0</v>
      </c>
    </row>
    <row r="74" spans="1:19">
      <c r="A74" s="490"/>
      <c r="B74" s="348"/>
      <c r="C74" s="313">
        <f t="shared" si="12"/>
        <v>1</v>
      </c>
      <c r="D74" s="1127"/>
      <c r="E74" s="313">
        <f t="shared" si="13"/>
        <v>0.1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7">
        <f t="shared" si="21"/>
        <v>0</v>
      </c>
    </row>
    <row r="75" spans="1:19">
      <c r="A75" s="490"/>
      <c r="B75" s="348"/>
      <c r="C75" s="313">
        <f t="shared" si="12"/>
        <v>1</v>
      </c>
      <c r="D75" s="1127"/>
      <c r="E75" s="313">
        <f t="shared" si="13"/>
        <v>0.1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7">
        <f t="shared" si="21"/>
        <v>0</v>
      </c>
    </row>
    <row r="76" spans="1:19">
      <c r="A76" s="490"/>
      <c r="B76" s="348"/>
      <c r="C76" s="313">
        <f t="shared" si="12"/>
        <v>1</v>
      </c>
      <c r="D76" s="1127"/>
      <c r="E76" s="313">
        <f t="shared" si="13"/>
        <v>0.1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7">
        <f t="shared" si="21"/>
        <v>0</v>
      </c>
    </row>
    <row r="77" spans="1:19">
      <c r="A77" s="490"/>
      <c r="B77" s="348"/>
      <c r="C77" s="313">
        <f t="shared" si="12"/>
        <v>1</v>
      </c>
      <c r="D77" s="1127"/>
      <c r="E77" s="313">
        <f t="shared" si="13"/>
        <v>0.1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7">
        <f t="shared" si="21"/>
        <v>0</v>
      </c>
    </row>
    <row r="78" spans="1:19">
      <c r="A78" s="490"/>
      <c r="B78" s="348"/>
      <c r="C78" s="313">
        <f t="shared" si="12"/>
        <v>1</v>
      </c>
      <c r="D78" s="1127"/>
      <c r="E78" s="313">
        <f t="shared" si="13"/>
        <v>0.1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7">
        <f t="shared" ref="S78:S122" si="22">ROUND(R78*B78/10000,0)</f>
        <v>0</v>
      </c>
    </row>
    <row r="79" spans="1:19">
      <c r="A79" s="490"/>
      <c r="B79" s="348"/>
      <c r="C79" s="313">
        <f t="shared" si="12"/>
        <v>1</v>
      </c>
      <c r="D79" s="1127"/>
      <c r="E79" s="313">
        <f t="shared" si="13"/>
        <v>0.1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7">
        <f t="shared" si="22"/>
        <v>0</v>
      </c>
    </row>
    <row r="80" spans="1:19">
      <c r="A80" s="490"/>
      <c r="B80" s="348"/>
      <c r="C80" s="313">
        <f t="shared" si="12"/>
        <v>1</v>
      </c>
      <c r="D80" s="1127"/>
      <c r="E80" s="313">
        <f t="shared" si="13"/>
        <v>0.1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7">
        <f t="shared" si="22"/>
        <v>0</v>
      </c>
    </row>
    <row r="81" spans="1:19">
      <c r="A81" s="490"/>
      <c r="B81" s="348"/>
      <c r="C81" s="313">
        <f t="shared" si="12"/>
        <v>1</v>
      </c>
      <c r="D81" s="1127"/>
      <c r="E81" s="313">
        <f t="shared" si="13"/>
        <v>0.1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7">
        <f t="shared" si="22"/>
        <v>0</v>
      </c>
    </row>
    <row r="82" spans="1:19">
      <c r="A82" s="490"/>
      <c r="B82" s="348"/>
      <c r="C82" s="313">
        <f t="shared" si="12"/>
        <v>1</v>
      </c>
      <c r="D82" s="1127"/>
      <c r="E82" s="313">
        <f t="shared" si="13"/>
        <v>0.1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7">
        <f t="shared" si="22"/>
        <v>0</v>
      </c>
    </row>
    <row r="83" spans="1:19">
      <c r="A83" s="490"/>
      <c r="B83" s="348"/>
      <c r="C83" s="313">
        <f t="shared" si="12"/>
        <v>1</v>
      </c>
      <c r="D83" s="1127"/>
      <c r="E83" s="313">
        <f t="shared" si="13"/>
        <v>0.1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7">
        <f t="shared" si="22"/>
        <v>0</v>
      </c>
    </row>
    <row r="84" spans="1:19">
      <c r="A84" s="490"/>
      <c r="B84" s="348"/>
      <c r="C84" s="313">
        <f t="shared" si="12"/>
        <v>1</v>
      </c>
      <c r="D84" s="1127"/>
      <c r="E84" s="313">
        <f t="shared" si="13"/>
        <v>0.1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7">
        <f t="shared" si="22"/>
        <v>0</v>
      </c>
    </row>
    <row r="85" spans="1:19">
      <c r="A85" s="490"/>
      <c r="B85" s="348"/>
      <c r="C85" s="313">
        <f t="shared" si="12"/>
        <v>1</v>
      </c>
      <c r="D85" s="1127"/>
      <c r="E85" s="313">
        <f t="shared" si="13"/>
        <v>0.1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7">
        <f t="shared" si="22"/>
        <v>0</v>
      </c>
    </row>
    <row r="86" spans="1:19">
      <c r="A86" s="490"/>
      <c r="B86" s="348"/>
      <c r="C86" s="313">
        <f t="shared" si="12"/>
        <v>1</v>
      </c>
      <c r="D86" s="1127"/>
      <c r="E86" s="313">
        <f t="shared" si="13"/>
        <v>0.1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7">
        <f t="shared" si="22"/>
        <v>0</v>
      </c>
    </row>
    <row r="87" spans="1:19">
      <c r="A87" s="490"/>
      <c r="B87" s="348"/>
      <c r="C87" s="313">
        <f t="shared" si="12"/>
        <v>1</v>
      </c>
      <c r="D87" s="1127"/>
      <c r="E87" s="313">
        <f t="shared" si="13"/>
        <v>0.1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7">
        <f t="shared" si="22"/>
        <v>0</v>
      </c>
    </row>
    <row r="88" spans="1:19">
      <c r="A88" s="490"/>
      <c r="B88" s="348"/>
      <c r="C88" s="313">
        <f t="shared" si="12"/>
        <v>1</v>
      </c>
      <c r="D88" s="1127"/>
      <c r="E88" s="313">
        <f t="shared" si="13"/>
        <v>0.1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7">
        <f t="shared" si="22"/>
        <v>0</v>
      </c>
    </row>
    <row r="89" spans="1:19">
      <c r="A89" s="490"/>
      <c r="B89" s="348"/>
      <c r="C89" s="313">
        <f t="shared" si="12"/>
        <v>1</v>
      </c>
      <c r="D89" s="1127"/>
      <c r="E89" s="313">
        <f t="shared" si="13"/>
        <v>0.1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0.1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v>
      </c>
      <c r="R90" s="1123">
        <f t="shared" ref="R90:R153" si="31">IF(B90="",0,ROUND($R$24*C90*E90*G90*I90*K90*M90*O90*Q90,0))</f>
        <v>0</v>
      </c>
      <c r="S90" s="697">
        <f t="shared" si="22"/>
        <v>0</v>
      </c>
    </row>
    <row r="91" spans="1:19">
      <c r="A91" s="490"/>
      <c r="B91" s="348"/>
      <c r="C91" s="313">
        <f t="shared" si="23"/>
        <v>1</v>
      </c>
      <c r="D91" s="1127"/>
      <c r="E91" s="313">
        <f t="shared" si="24"/>
        <v>0.1</v>
      </c>
      <c r="F91" s="1127"/>
      <c r="G91" s="313">
        <f t="shared" si="25"/>
        <v>1</v>
      </c>
      <c r="H91" s="1127"/>
      <c r="I91" s="313">
        <f t="shared" si="26"/>
        <v>1</v>
      </c>
      <c r="J91" s="1127"/>
      <c r="K91" s="313">
        <f t="shared" si="27"/>
        <v>1</v>
      </c>
      <c r="L91" s="1127"/>
      <c r="M91" s="313">
        <f t="shared" si="28"/>
        <v>1</v>
      </c>
      <c r="N91" s="1127"/>
      <c r="O91" s="313">
        <f t="shared" si="29"/>
        <v>1</v>
      </c>
      <c r="P91" s="1127"/>
      <c r="Q91" s="313">
        <f t="shared" si="30"/>
        <v>0</v>
      </c>
      <c r="R91" s="1123">
        <f t="shared" si="31"/>
        <v>0</v>
      </c>
      <c r="S91" s="697">
        <f t="shared" si="22"/>
        <v>0</v>
      </c>
    </row>
    <row r="92" spans="1:19">
      <c r="A92" s="490"/>
      <c r="B92" s="348"/>
      <c r="C92" s="313">
        <f t="shared" si="23"/>
        <v>1</v>
      </c>
      <c r="D92" s="1127"/>
      <c r="E92" s="313">
        <f t="shared" si="24"/>
        <v>0.1</v>
      </c>
      <c r="F92" s="1127"/>
      <c r="G92" s="313">
        <f t="shared" si="25"/>
        <v>1</v>
      </c>
      <c r="H92" s="1127"/>
      <c r="I92" s="313">
        <f t="shared" si="26"/>
        <v>1</v>
      </c>
      <c r="J92" s="1127"/>
      <c r="K92" s="313">
        <f t="shared" si="27"/>
        <v>1</v>
      </c>
      <c r="L92" s="1127"/>
      <c r="M92" s="313">
        <f t="shared" si="28"/>
        <v>1</v>
      </c>
      <c r="N92" s="1127"/>
      <c r="O92" s="313">
        <f t="shared" si="29"/>
        <v>1</v>
      </c>
      <c r="P92" s="1127"/>
      <c r="Q92" s="313">
        <f t="shared" si="30"/>
        <v>0</v>
      </c>
      <c r="R92" s="1123">
        <f t="shared" si="31"/>
        <v>0</v>
      </c>
      <c r="S92" s="697">
        <f t="shared" si="22"/>
        <v>0</v>
      </c>
    </row>
    <row r="93" spans="1:19">
      <c r="A93" s="490"/>
      <c r="B93" s="348"/>
      <c r="C93" s="313">
        <f t="shared" si="23"/>
        <v>1</v>
      </c>
      <c r="D93" s="1127"/>
      <c r="E93" s="313">
        <f t="shared" si="24"/>
        <v>0.1</v>
      </c>
      <c r="F93" s="1127"/>
      <c r="G93" s="313">
        <f t="shared" si="25"/>
        <v>1</v>
      </c>
      <c r="H93" s="1127"/>
      <c r="I93" s="313">
        <f t="shared" si="26"/>
        <v>1</v>
      </c>
      <c r="J93" s="1127"/>
      <c r="K93" s="313">
        <f t="shared" si="27"/>
        <v>1</v>
      </c>
      <c r="L93" s="1127"/>
      <c r="M93" s="313">
        <f t="shared" si="28"/>
        <v>1</v>
      </c>
      <c r="N93" s="1127"/>
      <c r="O93" s="313">
        <f t="shared" si="29"/>
        <v>1</v>
      </c>
      <c r="P93" s="1127"/>
      <c r="Q93" s="313">
        <f t="shared" si="30"/>
        <v>0</v>
      </c>
      <c r="R93" s="1123">
        <f t="shared" si="31"/>
        <v>0</v>
      </c>
      <c r="S93" s="697">
        <f t="shared" si="22"/>
        <v>0</v>
      </c>
    </row>
    <row r="94" spans="1:19">
      <c r="A94" s="490"/>
      <c r="B94" s="348"/>
      <c r="C94" s="313">
        <f t="shared" si="23"/>
        <v>1</v>
      </c>
      <c r="D94" s="1127"/>
      <c r="E94" s="313">
        <f t="shared" si="24"/>
        <v>0.1</v>
      </c>
      <c r="F94" s="1127"/>
      <c r="G94" s="313">
        <f t="shared" si="25"/>
        <v>1</v>
      </c>
      <c r="H94" s="1127"/>
      <c r="I94" s="313">
        <f t="shared" si="26"/>
        <v>1</v>
      </c>
      <c r="J94" s="1127"/>
      <c r="K94" s="313">
        <f t="shared" si="27"/>
        <v>1</v>
      </c>
      <c r="L94" s="1127"/>
      <c r="M94" s="313">
        <f t="shared" si="28"/>
        <v>1</v>
      </c>
      <c r="N94" s="1127"/>
      <c r="O94" s="313">
        <f t="shared" si="29"/>
        <v>1</v>
      </c>
      <c r="P94" s="1127"/>
      <c r="Q94" s="313">
        <f t="shared" si="30"/>
        <v>0</v>
      </c>
      <c r="R94" s="1123">
        <f t="shared" si="31"/>
        <v>0</v>
      </c>
      <c r="S94" s="697">
        <f t="shared" si="22"/>
        <v>0</v>
      </c>
    </row>
    <row r="95" spans="1:19">
      <c r="A95" s="490"/>
      <c r="B95" s="348"/>
      <c r="C95" s="313">
        <f t="shared" si="23"/>
        <v>1</v>
      </c>
      <c r="D95" s="1127"/>
      <c r="E95" s="313">
        <f t="shared" si="24"/>
        <v>0.1</v>
      </c>
      <c r="F95" s="1127"/>
      <c r="G95" s="313">
        <f t="shared" si="25"/>
        <v>1</v>
      </c>
      <c r="H95" s="1127"/>
      <c r="I95" s="313">
        <f t="shared" si="26"/>
        <v>1</v>
      </c>
      <c r="J95" s="1127"/>
      <c r="K95" s="313">
        <f t="shared" si="27"/>
        <v>1</v>
      </c>
      <c r="L95" s="1127"/>
      <c r="M95" s="313">
        <f t="shared" si="28"/>
        <v>1</v>
      </c>
      <c r="N95" s="1127"/>
      <c r="O95" s="313">
        <f t="shared" si="29"/>
        <v>1</v>
      </c>
      <c r="P95" s="1127"/>
      <c r="Q95" s="313">
        <f t="shared" si="30"/>
        <v>0</v>
      </c>
      <c r="R95" s="1123">
        <f t="shared" si="31"/>
        <v>0</v>
      </c>
      <c r="S95" s="697">
        <f t="shared" si="22"/>
        <v>0</v>
      </c>
    </row>
    <row r="96" spans="1:19">
      <c r="A96" s="490"/>
      <c r="B96" s="348"/>
      <c r="C96" s="313">
        <f t="shared" si="23"/>
        <v>1</v>
      </c>
      <c r="D96" s="1127"/>
      <c r="E96" s="313">
        <f t="shared" si="24"/>
        <v>0.1</v>
      </c>
      <c r="F96" s="1127"/>
      <c r="G96" s="313">
        <f t="shared" si="25"/>
        <v>1</v>
      </c>
      <c r="H96" s="1127"/>
      <c r="I96" s="313">
        <f t="shared" si="26"/>
        <v>1</v>
      </c>
      <c r="J96" s="1127"/>
      <c r="K96" s="313">
        <f t="shared" si="27"/>
        <v>1</v>
      </c>
      <c r="L96" s="1127"/>
      <c r="M96" s="313">
        <f t="shared" si="28"/>
        <v>1</v>
      </c>
      <c r="N96" s="1127"/>
      <c r="O96" s="313">
        <f t="shared" si="29"/>
        <v>1</v>
      </c>
      <c r="P96" s="1127"/>
      <c r="Q96" s="313">
        <f t="shared" si="30"/>
        <v>0</v>
      </c>
      <c r="R96" s="1123">
        <f t="shared" si="31"/>
        <v>0</v>
      </c>
      <c r="S96" s="697">
        <f t="shared" si="22"/>
        <v>0</v>
      </c>
    </row>
    <row r="97" spans="1:19">
      <c r="A97" s="490"/>
      <c r="B97" s="348"/>
      <c r="C97" s="313">
        <f t="shared" si="23"/>
        <v>1</v>
      </c>
      <c r="D97" s="1127"/>
      <c r="E97" s="313">
        <f t="shared" si="24"/>
        <v>0.1</v>
      </c>
      <c r="F97" s="1127"/>
      <c r="G97" s="313">
        <f t="shared" si="25"/>
        <v>1</v>
      </c>
      <c r="H97" s="1127"/>
      <c r="I97" s="313">
        <f t="shared" si="26"/>
        <v>1</v>
      </c>
      <c r="J97" s="1127"/>
      <c r="K97" s="313">
        <f t="shared" si="27"/>
        <v>1</v>
      </c>
      <c r="L97" s="1127"/>
      <c r="M97" s="313">
        <f t="shared" si="28"/>
        <v>1</v>
      </c>
      <c r="N97" s="1127"/>
      <c r="O97" s="313">
        <f t="shared" si="29"/>
        <v>1</v>
      </c>
      <c r="P97" s="1127"/>
      <c r="Q97" s="313">
        <f t="shared" si="30"/>
        <v>0</v>
      </c>
      <c r="R97" s="1123">
        <f t="shared" si="31"/>
        <v>0</v>
      </c>
      <c r="S97" s="697">
        <f t="shared" si="22"/>
        <v>0</v>
      </c>
    </row>
    <row r="98" spans="1:19">
      <c r="A98" s="490"/>
      <c r="B98" s="348"/>
      <c r="C98" s="313">
        <f t="shared" si="23"/>
        <v>1</v>
      </c>
      <c r="D98" s="1127"/>
      <c r="E98" s="313">
        <f t="shared" si="24"/>
        <v>0.1</v>
      </c>
      <c r="F98" s="1127"/>
      <c r="G98" s="313">
        <f t="shared" si="25"/>
        <v>1</v>
      </c>
      <c r="H98" s="1127"/>
      <c r="I98" s="313">
        <f t="shared" si="26"/>
        <v>1</v>
      </c>
      <c r="J98" s="1127"/>
      <c r="K98" s="313">
        <f t="shared" si="27"/>
        <v>1</v>
      </c>
      <c r="L98" s="1127"/>
      <c r="M98" s="313">
        <f t="shared" si="28"/>
        <v>1</v>
      </c>
      <c r="N98" s="1127"/>
      <c r="O98" s="313">
        <f t="shared" si="29"/>
        <v>1</v>
      </c>
      <c r="P98" s="1127"/>
      <c r="Q98" s="313">
        <f t="shared" si="30"/>
        <v>0</v>
      </c>
      <c r="R98" s="1123">
        <f t="shared" si="31"/>
        <v>0</v>
      </c>
      <c r="S98" s="697">
        <f t="shared" si="22"/>
        <v>0</v>
      </c>
    </row>
    <row r="99" spans="1:19">
      <c r="A99" s="490"/>
      <c r="B99" s="348"/>
      <c r="C99" s="313">
        <f t="shared" si="23"/>
        <v>1</v>
      </c>
      <c r="D99" s="1127"/>
      <c r="E99" s="313">
        <f t="shared" si="24"/>
        <v>0.1</v>
      </c>
      <c r="F99" s="1127"/>
      <c r="G99" s="313">
        <f t="shared" si="25"/>
        <v>1</v>
      </c>
      <c r="H99" s="1127"/>
      <c r="I99" s="313">
        <f t="shared" si="26"/>
        <v>1</v>
      </c>
      <c r="J99" s="1127"/>
      <c r="K99" s="313">
        <f t="shared" si="27"/>
        <v>1</v>
      </c>
      <c r="L99" s="1127"/>
      <c r="M99" s="313">
        <f t="shared" si="28"/>
        <v>1</v>
      </c>
      <c r="N99" s="1127"/>
      <c r="O99" s="313">
        <f t="shared" si="29"/>
        <v>1</v>
      </c>
      <c r="P99" s="1127"/>
      <c r="Q99" s="313">
        <f t="shared" si="30"/>
        <v>0</v>
      </c>
      <c r="R99" s="1123">
        <f t="shared" si="31"/>
        <v>0</v>
      </c>
      <c r="S99" s="697">
        <f t="shared" si="22"/>
        <v>0</v>
      </c>
    </row>
    <row r="100" spans="1:19">
      <c r="A100" s="490"/>
      <c r="B100" s="348"/>
      <c r="C100" s="313">
        <f t="shared" si="23"/>
        <v>1</v>
      </c>
      <c r="D100" s="1127"/>
      <c r="E100" s="313">
        <f t="shared" si="24"/>
        <v>0.1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v>
      </c>
      <c r="R100" s="1123">
        <f t="shared" si="31"/>
        <v>0</v>
      </c>
      <c r="S100" s="697">
        <f t="shared" si="22"/>
        <v>0</v>
      </c>
    </row>
    <row r="101" spans="1:19">
      <c r="A101" s="490"/>
      <c r="B101" s="348"/>
      <c r="C101" s="313">
        <f t="shared" si="23"/>
        <v>1</v>
      </c>
      <c r="D101" s="1127"/>
      <c r="E101" s="313">
        <f t="shared" si="24"/>
        <v>0.1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v>
      </c>
      <c r="R101" s="1123">
        <f t="shared" si="31"/>
        <v>0</v>
      </c>
      <c r="S101" s="697">
        <f t="shared" si="22"/>
        <v>0</v>
      </c>
    </row>
    <row r="102" spans="1:19">
      <c r="A102" s="490"/>
      <c r="B102" s="348"/>
      <c r="C102" s="313">
        <f t="shared" si="23"/>
        <v>1</v>
      </c>
      <c r="D102" s="1127"/>
      <c r="E102" s="313">
        <f t="shared" si="24"/>
        <v>0.1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v>
      </c>
      <c r="R102" s="1123">
        <f t="shared" si="31"/>
        <v>0</v>
      </c>
      <c r="S102" s="697">
        <f t="shared" si="22"/>
        <v>0</v>
      </c>
    </row>
    <row r="103" spans="1:19">
      <c r="A103" s="490"/>
      <c r="B103" s="348"/>
      <c r="C103" s="313">
        <f t="shared" si="23"/>
        <v>1</v>
      </c>
      <c r="D103" s="1127"/>
      <c r="E103" s="313">
        <f t="shared" si="24"/>
        <v>0.1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v>
      </c>
      <c r="R103" s="1123">
        <f t="shared" si="31"/>
        <v>0</v>
      </c>
      <c r="S103" s="697">
        <f t="shared" si="22"/>
        <v>0</v>
      </c>
    </row>
    <row r="104" spans="1:19">
      <c r="A104" s="490"/>
      <c r="B104" s="348"/>
      <c r="C104" s="313">
        <f t="shared" si="23"/>
        <v>1</v>
      </c>
      <c r="D104" s="1127"/>
      <c r="E104" s="313">
        <f t="shared" si="24"/>
        <v>0.1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v>
      </c>
      <c r="R104" s="1123">
        <f t="shared" si="31"/>
        <v>0</v>
      </c>
      <c r="S104" s="697">
        <f t="shared" si="22"/>
        <v>0</v>
      </c>
    </row>
    <row r="105" spans="1:19">
      <c r="A105" s="490"/>
      <c r="B105" s="348"/>
      <c r="C105" s="313">
        <f t="shared" si="23"/>
        <v>1</v>
      </c>
      <c r="D105" s="1127"/>
      <c r="E105" s="313">
        <f t="shared" si="24"/>
        <v>0.1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v>
      </c>
      <c r="R105" s="1123">
        <f t="shared" si="31"/>
        <v>0</v>
      </c>
      <c r="S105" s="697">
        <f t="shared" si="22"/>
        <v>0</v>
      </c>
    </row>
    <row r="106" spans="1:19">
      <c r="A106" s="490"/>
      <c r="B106" s="348"/>
      <c r="C106" s="313">
        <f t="shared" si="23"/>
        <v>1</v>
      </c>
      <c r="D106" s="1127"/>
      <c r="E106" s="313">
        <f t="shared" si="24"/>
        <v>0.1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v>
      </c>
      <c r="R106" s="1123">
        <f t="shared" si="31"/>
        <v>0</v>
      </c>
      <c r="S106" s="697">
        <f t="shared" si="22"/>
        <v>0</v>
      </c>
    </row>
    <row r="107" spans="1:19">
      <c r="A107" s="490"/>
      <c r="B107" s="348"/>
      <c r="C107" s="313">
        <f t="shared" si="23"/>
        <v>1</v>
      </c>
      <c r="D107" s="1127"/>
      <c r="E107" s="313">
        <f t="shared" si="24"/>
        <v>0.1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v>
      </c>
      <c r="R107" s="1123">
        <f t="shared" si="31"/>
        <v>0</v>
      </c>
      <c r="S107" s="697">
        <f t="shared" si="22"/>
        <v>0</v>
      </c>
    </row>
    <row r="108" spans="1:19">
      <c r="A108" s="490"/>
      <c r="B108" s="348"/>
      <c r="C108" s="313">
        <f t="shared" si="23"/>
        <v>1</v>
      </c>
      <c r="D108" s="1127"/>
      <c r="E108" s="313">
        <f t="shared" si="24"/>
        <v>0.1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v>
      </c>
      <c r="R108" s="1123">
        <f t="shared" si="31"/>
        <v>0</v>
      </c>
      <c r="S108" s="697">
        <f t="shared" si="22"/>
        <v>0</v>
      </c>
    </row>
    <row r="109" spans="1:19">
      <c r="A109" s="490"/>
      <c r="B109" s="348"/>
      <c r="C109" s="313">
        <f t="shared" si="23"/>
        <v>1</v>
      </c>
      <c r="D109" s="1127"/>
      <c r="E109" s="313">
        <f t="shared" si="24"/>
        <v>0.1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v>
      </c>
      <c r="R109" s="1123">
        <f t="shared" si="31"/>
        <v>0</v>
      </c>
      <c r="S109" s="697">
        <f t="shared" si="22"/>
        <v>0</v>
      </c>
    </row>
    <row r="110" spans="1:19">
      <c r="A110" s="490"/>
      <c r="B110" s="348"/>
      <c r="C110" s="313">
        <f t="shared" si="23"/>
        <v>1</v>
      </c>
      <c r="D110" s="1127"/>
      <c r="E110" s="313">
        <f t="shared" si="24"/>
        <v>0.1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v>
      </c>
      <c r="R110" s="1123">
        <f t="shared" si="31"/>
        <v>0</v>
      </c>
      <c r="S110" s="697">
        <f t="shared" si="22"/>
        <v>0</v>
      </c>
    </row>
    <row r="111" spans="1:19">
      <c r="A111" s="490"/>
      <c r="B111" s="348"/>
      <c r="C111" s="313">
        <f t="shared" si="23"/>
        <v>1</v>
      </c>
      <c r="D111" s="1127"/>
      <c r="E111" s="313">
        <f t="shared" si="24"/>
        <v>0.1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v>
      </c>
      <c r="R111" s="1123">
        <f t="shared" si="31"/>
        <v>0</v>
      </c>
      <c r="S111" s="697">
        <f t="shared" si="22"/>
        <v>0</v>
      </c>
    </row>
    <row r="112" spans="1:19">
      <c r="A112" s="490"/>
      <c r="B112" s="348"/>
      <c r="C112" s="313">
        <f t="shared" si="23"/>
        <v>1</v>
      </c>
      <c r="D112" s="1127"/>
      <c r="E112" s="313">
        <f t="shared" si="24"/>
        <v>0.1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v>
      </c>
      <c r="R112" s="1123">
        <f t="shared" si="31"/>
        <v>0</v>
      </c>
      <c r="S112" s="697">
        <f t="shared" si="22"/>
        <v>0</v>
      </c>
    </row>
    <row r="113" spans="1:19">
      <c r="A113" s="490"/>
      <c r="B113" s="348"/>
      <c r="C113" s="313">
        <f t="shared" si="23"/>
        <v>1</v>
      </c>
      <c r="D113" s="1127"/>
      <c r="E113" s="313">
        <f t="shared" si="24"/>
        <v>0.1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v>
      </c>
      <c r="R113" s="1123">
        <f t="shared" si="31"/>
        <v>0</v>
      </c>
      <c r="S113" s="697">
        <f t="shared" si="22"/>
        <v>0</v>
      </c>
    </row>
    <row r="114" spans="1:19">
      <c r="A114" s="490"/>
      <c r="B114" s="348"/>
      <c r="C114" s="313">
        <f t="shared" si="23"/>
        <v>1</v>
      </c>
      <c r="D114" s="1127"/>
      <c r="E114" s="313">
        <f t="shared" si="24"/>
        <v>0.1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v>
      </c>
      <c r="R114" s="1123">
        <f t="shared" si="31"/>
        <v>0</v>
      </c>
      <c r="S114" s="697">
        <f t="shared" si="22"/>
        <v>0</v>
      </c>
    </row>
    <row r="115" spans="1:19">
      <c r="A115" s="490"/>
      <c r="B115" s="348"/>
      <c r="C115" s="313">
        <f t="shared" si="23"/>
        <v>1</v>
      </c>
      <c r="D115" s="1127"/>
      <c r="E115" s="313">
        <f t="shared" si="24"/>
        <v>0.1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v>
      </c>
      <c r="R115" s="1123">
        <f t="shared" si="31"/>
        <v>0</v>
      </c>
      <c r="S115" s="697">
        <f t="shared" si="22"/>
        <v>0</v>
      </c>
    </row>
    <row r="116" spans="1:19">
      <c r="A116" s="490"/>
      <c r="B116" s="348"/>
      <c r="C116" s="313">
        <f t="shared" si="23"/>
        <v>1</v>
      </c>
      <c r="D116" s="1127"/>
      <c r="E116" s="313">
        <f t="shared" si="24"/>
        <v>0.1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v>
      </c>
      <c r="R116" s="1123">
        <f t="shared" si="31"/>
        <v>0</v>
      </c>
      <c r="S116" s="697">
        <f t="shared" si="22"/>
        <v>0</v>
      </c>
    </row>
    <row r="117" spans="1:19">
      <c r="A117" s="490"/>
      <c r="B117" s="348"/>
      <c r="C117" s="313">
        <f t="shared" si="23"/>
        <v>1</v>
      </c>
      <c r="D117" s="1127"/>
      <c r="E117" s="313">
        <f t="shared" si="24"/>
        <v>0.1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v>
      </c>
      <c r="R117" s="1123">
        <f t="shared" si="31"/>
        <v>0</v>
      </c>
      <c r="S117" s="697">
        <f t="shared" si="22"/>
        <v>0</v>
      </c>
    </row>
    <row r="118" spans="1:19">
      <c r="A118" s="490"/>
      <c r="B118" s="348"/>
      <c r="C118" s="313">
        <f t="shared" si="23"/>
        <v>1</v>
      </c>
      <c r="D118" s="1127"/>
      <c r="E118" s="313">
        <f t="shared" si="24"/>
        <v>0.1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v>
      </c>
      <c r="R118" s="1123">
        <f t="shared" si="31"/>
        <v>0</v>
      </c>
      <c r="S118" s="697">
        <f t="shared" si="22"/>
        <v>0</v>
      </c>
    </row>
    <row r="119" spans="1:19">
      <c r="A119" s="490"/>
      <c r="B119" s="348"/>
      <c r="C119" s="313">
        <f t="shared" si="23"/>
        <v>1</v>
      </c>
      <c r="D119" s="1127"/>
      <c r="E119" s="313">
        <f t="shared" si="24"/>
        <v>0.1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v>
      </c>
      <c r="R119" s="1123">
        <f t="shared" si="31"/>
        <v>0</v>
      </c>
      <c r="S119" s="697">
        <f t="shared" si="22"/>
        <v>0</v>
      </c>
    </row>
    <row r="120" spans="1:19">
      <c r="A120" s="490"/>
      <c r="B120" s="348"/>
      <c r="C120" s="313">
        <f t="shared" si="23"/>
        <v>1</v>
      </c>
      <c r="D120" s="1127"/>
      <c r="E120" s="313">
        <f t="shared" si="24"/>
        <v>0.1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v>
      </c>
      <c r="R120" s="1123">
        <f t="shared" si="31"/>
        <v>0</v>
      </c>
      <c r="S120" s="697">
        <f t="shared" si="22"/>
        <v>0</v>
      </c>
    </row>
    <row r="121" spans="1:19">
      <c r="A121" s="490"/>
      <c r="B121" s="348"/>
      <c r="C121" s="313">
        <f t="shared" si="23"/>
        <v>1</v>
      </c>
      <c r="D121" s="1127"/>
      <c r="E121" s="313">
        <f t="shared" si="24"/>
        <v>0.1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v>
      </c>
      <c r="R121" s="1123">
        <f t="shared" si="31"/>
        <v>0</v>
      </c>
      <c r="S121" s="697">
        <f t="shared" si="22"/>
        <v>0</v>
      </c>
    </row>
    <row r="122" spans="1:19">
      <c r="A122" s="490"/>
      <c r="B122" s="348"/>
      <c r="C122" s="313">
        <f t="shared" si="23"/>
        <v>1</v>
      </c>
      <c r="D122" s="1127"/>
      <c r="E122" s="313">
        <f t="shared" si="24"/>
        <v>0.1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v>
      </c>
      <c r="R122" s="1123">
        <f t="shared" si="31"/>
        <v>0</v>
      </c>
      <c r="S122" s="697">
        <f t="shared" si="22"/>
        <v>0</v>
      </c>
    </row>
    <row r="123" spans="1:19">
      <c r="A123" s="490"/>
      <c r="B123" s="348"/>
      <c r="C123" s="313">
        <f t="shared" si="23"/>
        <v>1</v>
      </c>
      <c r="D123" s="1127"/>
      <c r="E123" s="313">
        <f t="shared" si="24"/>
        <v>0.1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v>
      </c>
      <c r="R123" s="1123">
        <f t="shared" si="31"/>
        <v>0</v>
      </c>
      <c r="S123" s="697">
        <f t="shared" ref="S123:S186" si="32">ROUND(R123*B123/10000,0)</f>
        <v>0</v>
      </c>
    </row>
    <row r="124" spans="1:19">
      <c r="A124" s="490"/>
      <c r="B124" s="348"/>
      <c r="C124" s="313">
        <f t="shared" si="23"/>
        <v>1</v>
      </c>
      <c r="D124" s="1127"/>
      <c r="E124" s="313">
        <f t="shared" si="24"/>
        <v>0.1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v>
      </c>
      <c r="R124" s="1123">
        <f t="shared" si="31"/>
        <v>0</v>
      </c>
      <c r="S124" s="697">
        <f t="shared" si="32"/>
        <v>0</v>
      </c>
    </row>
    <row r="125" spans="1:19">
      <c r="A125" s="490"/>
      <c r="B125" s="348"/>
      <c r="C125" s="313">
        <f t="shared" si="23"/>
        <v>1</v>
      </c>
      <c r="D125" s="1127"/>
      <c r="E125" s="313">
        <f t="shared" si="24"/>
        <v>0.1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v>
      </c>
      <c r="R125" s="1123">
        <f t="shared" si="31"/>
        <v>0</v>
      </c>
      <c r="S125" s="697">
        <f t="shared" si="32"/>
        <v>0</v>
      </c>
    </row>
    <row r="126" spans="1:19">
      <c r="A126" s="490"/>
      <c r="B126" s="348"/>
      <c r="C126" s="313">
        <f t="shared" si="23"/>
        <v>1</v>
      </c>
      <c r="D126" s="1127"/>
      <c r="E126" s="313">
        <f t="shared" si="24"/>
        <v>0.1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v>
      </c>
      <c r="R126" s="1123">
        <f t="shared" si="31"/>
        <v>0</v>
      </c>
      <c r="S126" s="697">
        <f t="shared" si="32"/>
        <v>0</v>
      </c>
    </row>
    <row r="127" spans="1:19">
      <c r="A127" s="490"/>
      <c r="B127" s="348"/>
      <c r="C127" s="313">
        <f t="shared" si="23"/>
        <v>1</v>
      </c>
      <c r="D127" s="1127"/>
      <c r="E127" s="313">
        <f t="shared" si="24"/>
        <v>0.1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v>
      </c>
      <c r="R127" s="1123">
        <f t="shared" si="31"/>
        <v>0</v>
      </c>
      <c r="S127" s="697">
        <f t="shared" si="32"/>
        <v>0</v>
      </c>
    </row>
    <row r="128" spans="1:19">
      <c r="A128" s="490"/>
      <c r="B128" s="348"/>
      <c r="C128" s="313">
        <f t="shared" si="23"/>
        <v>1</v>
      </c>
      <c r="D128" s="1127"/>
      <c r="E128" s="313">
        <f t="shared" si="24"/>
        <v>0.1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v>
      </c>
      <c r="R128" s="1123">
        <f t="shared" si="31"/>
        <v>0</v>
      </c>
      <c r="S128" s="697">
        <f t="shared" si="32"/>
        <v>0</v>
      </c>
    </row>
    <row r="129" spans="1:19">
      <c r="A129" s="490"/>
      <c r="B129" s="348"/>
      <c r="C129" s="313">
        <f t="shared" si="23"/>
        <v>1</v>
      </c>
      <c r="D129" s="1127"/>
      <c r="E129" s="313">
        <f t="shared" si="24"/>
        <v>0.1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v>
      </c>
      <c r="R129" s="1123">
        <f t="shared" si="31"/>
        <v>0</v>
      </c>
      <c r="S129" s="697">
        <f t="shared" si="32"/>
        <v>0</v>
      </c>
    </row>
    <row r="130" spans="1:19">
      <c r="A130" s="490"/>
      <c r="B130" s="348"/>
      <c r="C130" s="313">
        <f t="shared" si="23"/>
        <v>1</v>
      </c>
      <c r="D130" s="1127"/>
      <c r="E130" s="313">
        <f t="shared" si="24"/>
        <v>0.1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v>
      </c>
      <c r="R130" s="1123">
        <f t="shared" si="31"/>
        <v>0</v>
      </c>
      <c r="S130" s="697">
        <f t="shared" si="32"/>
        <v>0</v>
      </c>
    </row>
    <row r="131" spans="1:19">
      <c r="A131" s="490"/>
      <c r="B131" s="348"/>
      <c r="C131" s="313">
        <f t="shared" si="23"/>
        <v>1</v>
      </c>
      <c r="D131" s="1127"/>
      <c r="E131" s="313">
        <f t="shared" si="24"/>
        <v>0.1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v>
      </c>
      <c r="R131" s="1123">
        <f t="shared" si="31"/>
        <v>0</v>
      </c>
      <c r="S131" s="697">
        <f t="shared" si="32"/>
        <v>0</v>
      </c>
    </row>
    <row r="132" spans="1:19">
      <c r="A132" s="490"/>
      <c r="B132" s="348"/>
      <c r="C132" s="313">
        <f t="shared" si="23"/>
        <v>1</v>
      </c>
      <c r="D132" s="1127"/>
      <c r="E132" s="313">
        <f t="shared" si="24"/>
        <v>0.1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v>
      </c>
      <c r="R132" s="1123">
        <f t="shared" si="31"/>
        <v>0</v>
      </c>
      <c r="S132" s="697">
        <f t="shared" si="32"/>
        <v>0</v>
      </c>
    </row>
    <row r="133" spans="1:19">
      <c r="A133" s="490"/>
      <c r="B133" s="348"/>
      <c r="C133" s="313">
        <f t="shared" si="23"/>
        <v>1</v>
      </c>
      <c r="D133" s="1127"/>
      <c r="E133" s="313">
        <f t="shared" si="24"/>
        <v>0.1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v>
      </c>
      <c r="R133" s="1123">
        <f t="shared" si="31"/>
        <v>0</v>
      </c>
      <c r="S133" s="697">
        <f t="shared" si="32"/>
        <v>0</v>
      </c>
    </row>
    <row r="134" spans="1:19">
      <c r="A134" s="490"/>
      <c r="B134" s="348"/>
      <c r="C134" s="313">
        <f t="shared" si="23"/>
        <v>1</v>
      </c>
      <c r="D134" s="1127"/>
      <c r="E134" s="313">
        <f t="shared" si="24"/>
        <v>0.1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v>
      </c>
      <c r="R134" s="1123">
        <f t="shared" si="31"/>
        <v>0</v>
      </c>
      <c r="S134" s="697">
        <f t="shared" si="32"/>
        <v>0</v>
      </c>
    </row>
    <row r="135" spans="1:19">
      <c r="A135" s="490"/>
      <c r="B135" s="348"/>
      <c r="C135" s="313">
        <f t="shared" si="23"/>
        <v>1</v>
      </c>
      <c r="D135" s="1127"/>
      <c r="E135" s="313">
        <f t="shared" si="24"/>
        <v>0.1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v>
      </c>
      <c r="R135" s="1123">
        <f t="shared" si="31"/>
        <v>0</v>
      </c>
      <c r="S135" s="697">
        <f t="shared" si="32"/>
        <v>0</v>
      </c>
    </row>
    <row r="136" spans="1:19">
      <c r="A136" s="490"/>
      <c r="B136" s="348"/>
      <c r="C136" s="313">
        <f t="shared" si="23"/>
        <v>1</v>
      </c>
      <c r="D136" s="1127"/>
      <c r="E136" s="313">
        <f t="shared" si="24"/>
        <v>0.1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v>
      </c>
      <c r="R136" s="1123">
        <f t="shared" si="31"/>
        <v>0</v>
      </c>
      <c r="S136" s="697">
        <f t="shared" si="32"/>
        <v>0</v>
      </c>
    </row>
    <row r="137" spans="1:19">
      <c r="A137" s="490"/>
      <c r="B137" s="348"/>
      <c r="C137" s="313">
        <f t="shared" si="23"/>
        <v>1</v>
      </c>
      <c r="D137" s="1127"/>
      <c r="E137" s="313">
        <f t="shared" si="24"/>
        <v>0.1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v>
      </c>
      <c r="R137" s="1123">
        <f t="shared" si="31"/>
        <v>0</v>
      </c>
      <c r="S137" s="697">
        <f t="shared" si="32"/>
        <v>0</v>
      </c>
    </row>
    <row r="138" spans="1:19">
      <c r="A138" s="490"/>
      <c r="B138" s="348"/>
      <c r="C138" s="313">
        <f t="shared" si="23"/>
        <v>1</v>
      </c>
      <c r="D138" s="1127"/>
      <c r="E138" s="313">
        <f t="shared" si="24"/>
        <v>0.1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v>
      </c>
      <c r="R138" s="1123">
        <f t="shared" si="31"/>
        <v>0</v>
      </c>
      <c r="S138" s="697">
        <f t="shared" si="32"/>
        <v>0</v>
      </c>
    </row>
    <row r="139" spans="1:19">
      <c r="A139" s="490"/>
      <c r="B139" s="348"/>
      <c r="C139" s="313">
        <f t="shared" si="23"/>
        <v>1</v>
      </c>
      <c r="D139" s="1127"/>
      <c r="E139" s="313">
        <f t="shared" si="24"/>
        <v>0.1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v>
      </c>
      <c r="R139" s="1123">
        <f t="shared" si="31"/>
        <v>0</v>
      </c>
      <c r="S139" s="697">
        <f t="shared" si="32"/>
        <v>0</v>
      </c>
    </row>
    <row r="140" spans="1:19">
      <c r="A140" s="490"/>
      <c r="B140" s="348"/>
      <c r="C140" s="313">
        <f t="shared" si="23"/>
        <v>1</v>
      </c>
      <c r="D140" s="1127"/>
      <c r="E140" s="313">
        <f t="shared" si="24"/>
        <v>0.1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v>
      </c>
      <c r="R140" s="1123">
        <f t="shared" si="31"/>
        <v>0</v>
      </c>
      <c r="S140" s="697">
        <f t="shared" si="32"/>
        <v>0</v>
      </c>
    </row>
    <row r="141" spans="1:19">
      <c r="A141" s="490"/>
      <c r="B141" s="348"/>
      <c r="C141" s="313">
        <f t="shared" si="23"/>
        <v>1</v>
      </c>
      <c r="D141" s="1127"/>
      <c r="E141" s="313">
        <f t="shared" si="24"/>
        <v>0.1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v>
      </c>
      <c r="R141" s="1123">
        <f t="shared" si="31"/>
        <v>0</v>
      </c>
      <c r="S141" s="697">
        <f t="shared" si="32"/>
        <v>0</v>
      </c>
    </row>
    <row r="142" spans="1:19">
      <c r="A142" s="490"/>
      <c r="B142" s="348"/>
      <c r="C142" s="313">
        <f t="shared" si="23"/>
        <v>1</v>
      </c>
      <c r="D142" s="1127"/>
      <c r="E142" s="313">
        <f t="shared" si="24"/>
        <v>0.1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v>
      </c>
      <c r="R142" s="1123">
        <f t="shared" si="31"/>
        <v>0</v>
      </c>
      <c r="S142" s="697">
        <f t="shared" si="32"/>
        <v>0</v>
      </c>
    </row>
    <row r="143" spans="1:19">
      <c r="A143" s="490"/>
      <c r="B143" s="348"/>
      <c r="C143" s="313">
        <f t="shared" si="23"/>
        <v>1</v>
      </c>
      <c r="D143" s="1127"/>
      <c r="E143" s="313">
        <f t="shared" si="24"/>
        <v>0.1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v>
      </c>
      <c r="R143" s="1123">
        <f t="shared" si="31"/>
        <v>0</v>
      </c>
      <c r="S143" s="697">
        <f t="shared" si="32"/>
        <v>0</v>
      </c>
    </row>
    <row r="144" spans="1:19">
      <c r="A144" s="490"/>
      <c r="B144" s="348"/>
      <c r="C144" s="313">
        <f t="shared" si="23"/>
        <v>1</v>
      </c>
      <c r="D144" s="1127"/>
      <c r="E144" s="313">
        <f t="shared" si="24"/>
        <v>0.1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v>
      </c>
      <c r="R144" s="1123">
        <f t="shared" si="31"/>
        <v>0</v>
      </c>
      <c r="S144" s="697">
        <f t="shared" si="32"/>
        <v>0</v>
      </c>
    </row>
    <row r="145" spans="1:19">
      <c r="A145" s="490"/>
      <c r="B145" s="348"/>
      <c r="C145" s="313">
        <f t="shared" si="23"/>
        <v>1</v>
      </c>
      <c r="D145" s="1127"/>
      <c r="E145" s="313">
        <f t="shared" si="24"/>
        <v>0.1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v>
      </c>
      <c r="R145" s="1123">
        <f t="shared" si="31"/>
        <v>0</v>
      </c>
      <c r="S145" s="697">
        <f t="shared" si="32"/>
        <v>0</v>
      </c>
    </row>
    <row r="146" spans="1:19">
      <c r="A146" s="490"/>
      <c r="B146" s="348"/>
      <c r="C146" s="313">
        <f t="shared" si="23"/>
        <v>1</v>
      </c>
      <c r="D146" s="1127"/>
      <c r="E146" s="313">
        <f t="shared" si="24"/>
        <v>0.1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v>
      </c>
      <c r="R146" s="1123">
        <f t="shared" si="31"/>
        <v>0</v>
      </c>
      <c r="S146" s="697">
        <f t="shared" si="32"/>
        <v>0</v>
      </c>
    </row>
    <row r="147" spans="1:19">
      <c r="A147" s="490"/>
      <c r="B147" s="348"/>
      <c r="C147" s="313">
        <f t="shared" si="23"/>
        <v>1</v>
      </c>
      <c r="D147" s="1127"/>
      <c r="E147" s="313">
        <f t="shared" si="24"/>
        <v>0.1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v>
      </c>
      <c r="R147" s="1123">
        <f t="shared" si="31"/>
        <v>0</v>
      </c>
      <c r="S147" s="697">
        <f t="shared" si="32"/>
        <v>0</v>
      </c>
    </row>
    <row r="148" spans="1:19">
      <c r="A148" s="490"/>
      <c r="B148" s="348"/>
      <c r="C148" s="313">
        <f t="shared" si="23"/>
        <v>1</v>
      </c>
      <c r="D148" s="1127"/>
      <c r="E148" s="313">
        <f t="shared" si="24"/>
        <v>0.1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v>
      </c>
      <c r="R148" s="1123">
        <f t="shared" si="31"/>
        <v>0</v>
      </c>
      <c r="S148" s="697">
        <f t="shared" si="32"/>
        <v>0</v>
      </c>
    </row>
    <row r="149" spans="1:19">
      <c r="A149" s="490"/>
      <c r="B149" s="348"/>
      <c r="C149" s="313">
        <f t="shared" si="23"/>
        <v>1</v>
      </c>
      <c r="D149" s="1127"/>
      <c r="E149" s="313">
        <f t="shared" si="24"/>
        <v>0.1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v>
      </c>
      <c r="R149" s="1123">
        <f t="shared" si="31"/>
        <v>0</v>
      </c>
      <c r="S149" s="697">
        <f t="shared" si="32"/>
        <v>0</v>
      </c>
    </row>
    <row r="150" spans="1:19">
      <c r="A150" s="490"/>
      <c r="B150" s="348"/>
      <c r="C150" s="313">
        <f t="shared" si="23"/>
        <v>1</v>
      </c>
      <c r="D150" s="1127"/>
      <c r="E150" s="313">
        <f t="shared" si="24"/>
        <v>0.1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v>
      </c>
      <c r="R150" s="1123">
        <f t="shared" si="31"/>
        <v>0</v>
      </c>
      <c r="S150" s="697">
        <f t="shared" si="32"/>
        <v>0</v>
      </c>
    </row>
    <row r="151" spans="1:19">
      <c r="A151" s="490"/>
      <c r="B151" s="348"/>
      <c r="C151" s="313">
        <f t="shared" si="23"/>
        <v>1</v>
      </c>
      <c r="D151" s="1127"/>
      <c r="E151" s="313">
        <f t="shared" si="24"/>
        <v>0.1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v>
      </c>
      <c r="R151" s="1123">
        <f t="shared" si="31"/>
        <v>0</v>
      </c>
      <c r="S151" s="697">
        <f t="shared" si="32"/>
        <v>0</v>
      </c>
    </row>
    <row r="152" spans="1:19">
      <c r="A152" s="490"/>
      <c r="B152" s="348"/>
      <c r="C152" s="313">
        <f t="shared" si="23"/>
        <v>1</v>
      </c>
      <c r="D152" s="1127"/>
      <c r="E152" s="313">
        <f t="shared" si="24"/>
        <v>0.1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v>
      </c>
      <c r="R152" s="1123">
        <f t="shared" si="31"/>
        <v>0</v>
      </c>
      <c r="S152" s="697">
        <f t="shared" si="32"/>
        <v>0</v>
      </c>
    </row>
    <row r="153" spans="1:19">
      <c r="A153" s="490"/>
      <c r="B153" s="348"/>
      <c r="C153" s="313">
        <f t="shared" si="23"/>
        <v>1</v>
      </c>
      <c r="D153" s="1127"/>
      <c r="E153" s="313">
        <f t="shared" si="24"/>
        <v>0.1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0.1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v>
      </c>
      <c r="R154" s="1123">
        <f t="shared" ref="R154:R217" si="41">IF(B154="",0,ROUND($R$24*C154*E154*G154*I154*K154*M154*O154*Q154,0))</f>
        <v>0</v>
      </c>
      <c r="S154" s="697">
        <f t="shared" si="32"/>
        <v>0</v>
      </c>
    </row>
    <row r="155" spans="1:19">
      <c r="A155" s="490"/>
      <c r="B155" s="348"/>
      <c r="C155" s="313">
        <f t="shared" si="33"/>
        <v>1</v>
      </c>
      <c r="D155" s="1127"/>
      <c r="E155" s="313">
        <f t="shared" si="34"/>
        <v>0.1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v>
      </c>
      <c r="R155" s="1123">
        <f t="shared" si="41"/>
        <v>0</v>
      </c>
      <c r="S155" s="697">
        <f t="shared" si="32"/>
        <v>0</v>
      </c>
    </row>
    <row r="156" spans="1:19">
      <c r="A156" s="490"/>
      <c r="B156" s="348"/>
      <c r="C156" s="313">
        <f t="shared" si="33"/>
        <v>1</v>
      </c>
      <c r="D156" s="1127"/>
      <c r="E156" s="313">
        <f t="shared" si="34"/>
        <v>0.1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v>
      </c>
      <c r="R156" s="1123">
        <f t="shared" si="41"/>
        <v>0</v>
      </c>
      <c r="S156" s="697">
        <f t="shared" si="32"/>
        <v>0</v>
      </c>
    </row>
    <row r="157" spans="1:19">
      <c r="A157" s="490"/>
      <c r="B157" s="348"/>
      <c r="C157" s="313">
        <f t="shared" si="33"/>
        <v>1</v>
      </c>
      <c r="D157" s="1127"/>
      <c r="E157" s="313">
        <f t="shared" si="34"/>
        <v>0.1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v>
      </c>
      <c r="R157" s="1123">
        <f t="shared" si="41"/>
        <v>0</v>
      </c>
      <c r="S157" s="697">
        <f t="shared" si="32"/>
        <v>0</v>
      </c>
    </row>
    <row r="158" spans="1:19">
      <c r="A158" s="490"/>
      <c r="B158" s="348"/>
      <c r="C158" s="313">
        <f t="shared" si="33"/>
        <v>1</v>
      </c>
      <c r="D158" s="1127"/>
      <c r="E158" s="313">
        <f t="shared" si="34"/>
        <v>0.1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v>
      </c>
      <c r="R158" s="1123">
        <f t="shared" si="41"/>
        <v>0</v>
      </c>
      <c r="S158" s="697">
        <f t="shared" si="32"/>
        <v>0</v>
      </c>
    </row>
    <row r="159" spans="1:19">
      <c r="A159" s="490"/>
      <c r="B159" s="348"/>
      <c r="C159" s="313">
        <f t="shared" si="33"/>
        <v>1</v>
      </c>
      <c r="D159" s="1127"/>
      <c r="E159" s="313">
        <f t="shared" si="34"/>
        <v>0.1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v>
      </c>
      <c r="R159" s="1123">
        <f t="shared" si="41"/>
        <v>0</v>
      </c>
      <c r="S159" s="697">
        <f t="shared" si="32"/>
        <v>0</v>
      </c>
    </row>
    <row r="160" spans="1:19">
      <c r="A160" s="490"/>
      <c r="B160" s="348"/>
      <c r="C160" s="313">
        <f t="shared" si="33"/>
        <v>1</v>
      </c>
      <c r="D160" s="1127"/>
      <c r="E160" s="313">
        <f t="shared" si="34"/>
        <v>0.1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v>
      </c>
      <c r="R160" s="1123">
        <f t="shared" si="41"/>
        <v>0</v>
      </c>
      <c r="S160" s="697">
        <f t="shared" si="32"/>
        <v>0</v>
      </c>
    </row>
    <row r="161" spans="1:19">
      <c r="A161" s="490"/>
      <c r="B161" s="348"/>
      <c r="C161" s="313">
        <f t="shared" si="33"/>
        <v>1</v>
      </c>
      <c r="D161" s="1127"/>
      <c r="E161" s="313">
        <f t="shared" si="34"/>
        <v>0.1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v>
      </c>
      <c r="R161" s="1123">
        <f t="shared" si="41"/>
        <v>0</v>
      </c>
      <c r="S161" s="697">
        <f t="shared" si="32"/>
        <v>0</v>
      </c>
    </row>
    <row r="162" spans="1:19">
      <c r="A162" s="490"/>
      <c r="B162" s="348"/>
      <c r="C162" s="313">
        <f t="shared" si="33"/>
        <v>1</v>
      </c>
      <c r="D162" s="1127"/>
      <c r="E162" s="313">
        <f t="shared" si="34"/>
        <v>0.1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v>
      </c>
      <c r="R162" s="1123">
        <f t="shared" si="41"/>
        <v>0</v>
      </c>
      <c r="S162" s="697">
        <f t="shared" si="32"/>
        <v>0</v>
      </c>
    </row>
    <row r="163" spans="1:19">
      <c r="A163" s="490"/>
      <c r="B163" s="348"/>
      <c r="C163" s="313">
        <f t="shared" si="33"/>
        <v>1</v>
      </c>
      <c r="D163" s="1127"/>
      <c r="E163" s="313">
        <f t="shared" si="34"/>
        <v>0.1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v>
      </c>
      <c r="R163" s="1123">
        <f t="shared" si="41"/>
        <v>0</v>
      </c>
      <c r="S163" s="697">
        <f t="shared" si="32"/>
        <v>0</v>
      </c>
    </row>
    <row r="164" spans="1:19">
      <c r="A164" s="490"/>
      <c r="B164" s="348"/>
      <c r="C164" s="313">
        <f t="shared" si="33"/>
        <v>1</v>
      </c>
      <c r="D164" s="1127"/>
      <c r="E164" s="313">
        <f t="shared" si="34"/>
        <v>0.1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v>
      </c>
      <c r="R164" s="1123">
        <f t="shared" si="41"/>
        <v>0</v>
      </c>
      <c r="S164" s="697">
        <f t="shared" si="32"/>
        <v>0</v>
      </c>
    </row>
    <row r="165" spans="1:19">
      <c r="A165" s="490"/>
      <c r="B165" s="348"/>
      <c r="C165" s="313">
        <f t="shared" si="33"/>
        <v>1</v>
      </c>
      <c r="D165" s="1127"/>
      <c r="E165" s="313">
        <f t="shared" si="34"/>
        <v>0.1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v>
      </c>
      <c r="R165" s="1123">
        <f t="shared" si="41"/>
        <v>0</v>
      </c>
      <c r="S165" s="697">
        <f t="shared" si="32"/>
        <v>0</v>
      </c>
    </row>
    <row r="166" spans="1:19">
      <c r="A166" s="490"/>
      <c r="B166" s="348"/>
      <c r="C166" s="313">
        <f t="shared" si="33"/>
        <v>1</v>
      </c>
      <c r="D166" s="1127"/>
      <c r="E166" s="313">
        <f t="shared" si="34"/>
        <v>0.1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v>
      </c>
      <c r="R166" s="1123">
        <f t="shared" si="41"/>
        <v>0</v>
      </c>
      <c r="S166" s="697">
        <f t="shared" si="32"/>
        <v>0</v>
      </c>
    </row>
    <row r="167" spans="1:19">
      <c r="A167" s="490"/>
      <c r="B167" s="348"/>
      <c r="C167" s="313">
        <f t="shared" si="33"/>
        <v>1</v>
      </c>
      <c r="D167" s="1127"/>
      <c r="E167" s="313">
        <f t="shared" si="34"/>
        <v>0.1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v>
      </c>
      <c r="R167" s="1123">
        <f t="shared" si="41"/>
        <v>0</v>
      </c>
      <c r="S167" s="697">
        <f t="shared" si="32"/>
        <v>0</v>
      </c>
    </row>
    <row r="168" spans="1:19">
      <c r="A168" s="490"/>
      <c r="B168" s="348"/>
      <c r="C168" s="313">
        <f t="shared" si="33"/>
        <v>1</v>
      </c>
      <c r="D168" s="1127"/>
      <c r="E168" s="313">
        <f t="shared" si="34"/>
        <v>0.1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v>
      </c>
      <c r="R168" s="1123">
        <f t="shared" si="41"/>
        <v>0</v>
      </c>
      <c r="S168" s="697">
        <f t="shared" si="32"/>
        <v>0</v>
      </c>
    </row>
    <row r="169" spans="1:19">
      <c r="A169" s="490"/>
      <c r="B169" s="348"/>
      <c r="C169" s="313">
        <f t="shared" si="33"/>
        <v>1</v>
      </c>
      <c r="D169" s="1127"/>
      <c r="E169" s="313">
        <f t="shared" si="34"/>
        <v>0.1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v>
      </c>
      <c r="R169" s="1123">
        <f t="shared" si="41"/>
        <v>0</v>
      </c>
      <c r="S169" s="697">
        <f t="shared" si="32"/>
        <v>0</v>
      </c>
    </row>
    <row r="170" spans="1:19">
      <c r="A170" s="490"/>
      <c r="B170" s="348"/>
      <c r="C170" s="313">
        <f t="shared" si="33"/>
        <v>1</v>
      </c>
      <c r="D170" s="1127"/>
      <c r="E170" s="313">
        <f t="shared" si="34"/>
        <v>0.1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v>
      </c>
      <c r="R170" s="1123">
        <f t="shared" si="41"/>
        <v>0</v>
      </c>
      <c r="S170" s="697">
        <f t="shared" si="32"/>
        <v>0</v>
      </c>
    </row>
    <row r="171" spans="1:19">
      <c r="A171" s="490"/>
      <c r="B171" s="348"/>
      <c r="C171" s="313">
        <f t="shared" si="33"/>
        <v>1</v>
      </c>
      <c r="D171" s="1127"/>
      <c r="E171" s="313">
        <f t="shared" si="34"/>
        <v>0.1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v>
      </c>
      <c r="R171" s="1123">
        <f t="shared" si="41"/>
        <v>0</v>
      </c>
      <c r="S171" s="697">
        <f t="shared" si="32"/>
        <v>0</v>
      </c>
    </row>
    <row r="172" spans="1:19">
      <c r="A172" s="490"/>
      <c r="B172" s="348"/>
      <c r="C172" s="313">
        <f t="shared" si="33"/>
        <v>1</v>
      </c>
      <c r="D172" s="1127"/>
      <c r="E172" s="313">
        <f t="shared" si="34"/>
        <v>0.1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v>
      </c>
      <c r="R172" s="1123">
        <f t="shared" si="41"/>
        <v>0</v>
      </c>
      <c r="S172" s="697">
        <f t="shared" si="32"/>
        <v>0</v>
      </c>
    </row>
    <row r="173" spans="1:19">
      <c r="A173" s="490"/>
      <c r="B173" s="348"/>
      <c r="C173" s="313">
        <f t="shared" si="33"/>
        <v>1</v>
      </c>
      <c r="D173" s="1127"/>
      <c r="E173" s="313">
        <f t="shared" si="34"/>
        <v>0.1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v>
      </c>
      <c r="R173" s="1123">
        <f t="shared" si="41"/>
        <v>0</v>
      </c>
      <c r="S173" s="697">
        <f t="shared" si="32"/>
        <v>0</v>
      </c>
    </row>
    <row r="174" spans="1:19">
      <c r="A174" s="490"/>
      <c r="B174" s="348"/>
      <c r="C174" s="313">
        <f t="shared" si="33"/>
        <v>1</v>
      </c>
      <c r="D174" s="1127"/>
      <c r="E174" s="313">
        <f t="shared" si="34"/>
        <v>0.1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v>
      </c>
      <c r="R174" s="1123">
        <f t="shared" si="41"/>
        <v>0</v>
      </c>
      <c r="S174" s="697">
        <f t="shared" si="32"/>
        <v>0</v>
      </c>
    </row>
    <row r="175" spans="1:19">
      <c r="A175" s="490"/>
      <c r="B175" s="348"/>
      <c r="C175" s="313">
        <f t="shared" si="33"/>
        <v>1</v>
      </c>
      <c r="D175" s="1127"/>
      <c r="E175" s="313">
        <f t="shared" si="34"/>
        <v>0.1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v>
      </c>
      <c r="R175" s="1123">
        <f t="shared" si="41"/>
        <v>0</v>
      </c>
      <c r="S175" s="697">
        <f t="shared" si="32"/>
        <v>0</v>
      </c>
    </row>
    <row r="176" spans="1:19">
      <c r="A176" s="490"/>
      <c r="B176" s="348"/>
      <c r="C176" s="313">
        <f t="shared" si="33"/>
        <v>1</v>
      </c>
      <c r="D176" s="1127"/>
      <c r="E176" s="313">
        <f t="shared" si="34"/>
        <v>0.1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v>
      </c>
      <c r="R176" s="1123">
        <f t="shared" si="41"/>
        <v>0</v>
      </c>
      <c r="S176" s="697">
        <f t="shared" si="32"/>
        <v>0</v>
      </c>
    </row>
    <row r="177" spans="1:19">
      <c r="A177" s="490"/>
      <c r="B177" s="348"/>
      <c r="C177" s="313">
        <f t="shared" si="33"/>
        <v>1</v>
      </c>
      <c r="D177" s="1127"/>
      <c r="E177" s="313">
        <f t="shared" si="34"/>
        <v>0.1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v>
      </c>
      <c r="R177" s="1123">
        <f t="shared" si="41"/>
        <v>0</v>
      </c>
      <c r="S177" s="697">
        <f t="shared" si="32"/>
        <v>0</v>
      </c>
    </row>
    <row r="178" spans="1:19">
      <c r="A178" s="490"/>
      <c r="B178" s="348"/>
      <c r="C178" s="313">
        <f t="shared" si="33"/>
        <v>1</v>
      </c>
      <c r="D178" s="1127"/>
      <c r="E178" s="313">
        <f t="shared" si="34"/>
        <v>0.1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v>
      </c>
      <c r="R178" s="1123">
        <f t="shared" si="41"/>
        <v>0</v>
      </c>
      <c r="S178" s="697">
        <f t="shared" si="32"/>
        <v>0</v>
      </c>
    </row>
    <row r="179" spans="1:19">
      <c r="A179" s="490"/>
      <c r="B179" s="348"/>
      <c r="C179" s="313">
        <f t="shared" si="33"/>
        <v>1</v>
      </c>
      <c r="D179" s="1127"/>
      <c r="E179" s="313">
        <f t="shared" si="34"/>
        <v>0.1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v>
      </c>
      <c r="R179" s="1123">
        <f t="shared" si="41"/>
        <v>0</v>
      </c>
      <c r="S179" s="697">
        <f t="shared" si="32"/>
        <v>0</v>
      </c>
    </row>
    <row r="180" spans="1:19">
      <c r="A180" s="490"/>
      <c r="B180" s="348"/>
      <c r="C180" s="313">
        <f t="shared" si="33"/>
        <v>1</v>
      </c>
      <c r="D180" s="1127"/>
      <c r="E180" s="313">
        <f t="shared" si="34"/>
        <v>0.1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v>
      </c>
      <c r="R180" s="1123">
        <f t="shared" si="41"/>
        <v>0</v>
      </c>
      <c r="S180" s="697">
        <f t="shared" si="32"/>
        <v>0</v>
      </c>
    </row>
    <row r="181" spans="1:19">
      <c r="A181" s="490"/>
      <c r="B181" s="348"/>
      <c r="C181" s="313">
        <f t="shared" si="33"/>
        <v>1</v>
      </c>
      <c r="D181" s="1127"/>
      <c r="E181" s="313">
        <f t="shared" si="34"/>
        <v>0.1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v>
      </c>
      <c r="R181" s="1123">
        <f t="shared" si="41"/>
        <v>0</v>
      </c>
      <c r="S181" s="697">
        <f t="shared" si="32"/>
        <v>0</v>
      </c>
    </row>
    <row r="182" spans="1:19">
      <c r="A182" s="490"/>
      <c r="B182" s="348"/>
      <c r="C182" s="313">
        <f t="shared" si="33"/>
        <v>1</v>
      </c>
      <c r="D182" s="1127"/>
      <c r="E182" s="313">
        <f t="shared" si="34"/>
        <v>0.1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v>
      </c>
      <c r="R182" s="1123">
        <f t="shared" si="41"/>
        <v>0</v>
      </c>
      <c r="S182" s="697">
        <f t="shared" si="32"/>
        <v>0</v>
      </c>
    </row>
    <row r="183" spans="1:19">
      <c r="A183" s="490"/>
      <c r="B183" s="348"/>
      <c r="C183" s="313">
        <f t="shared" si="33"/>
        <v>1</v>
      </c>
      <c r="D183" s="1127"/>
      <c r="E183" s="313">
        <f t="shared" si="34"/>
        <v>0.1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v>
      </c>
      <c r="R183" s="1123">
        <f t="shared" si="41"/>
        <v>0</v>
      </c>
      <c r="S183" s="697">
        <f t="shared" si="32"/>
        <v>0</v>
      </c>
    </row>
    <row r="184" spans="1:19">
      <c r="A184" s="490"/>
      <c r="B184" s="348"/>
      <c r="C184" s="313">
        <f t="shared" si="33"/>
        <v>1</v>
      </c>
      <c r="D184" s="1127"/>
      <c r="E184" s="313">
        <f t="shared" si="34"/>
        <v>0.1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v>
      </c>
      <c r="R184" s="1123">
        <f t="shared" si="41"/>
        <v>0</v>
      </c>
      <c r="S184" s="697">
        <f t="shared" si="32"/>
        <v>0</v>
      </c>
    </row>
    <row r="185" spans="1:19">
      <c r="A185" s="490"/>
      <c r="B185" s="348"/>
      <c r="C185" s="313">
        <f t="shared" si="33"/>
        <v>1</v>
      </c>
      <c r="D185" s="1127"/>
      <c r="E185" s="313">
        <f t="shared" si="34"/>
        <v>0.1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v>
      </c>
      <c r="R185" s="1123">
        <f t="shared" si="41"/>
        <v>0</v>
      </c>
      <c r="S185" s="697">
        <f t="shared" si="32"/>
        <v>0</v>
      </c>
    </row>
    <row r="186" spans="1:19">
      <c r="A186" s="490"/>
      <c r="B186" s="348"/>
      <c r="C186" s="313">
        <f t="shared" si="33"/>
        <v>1</v>
      </c>
      <c r="D186" s="1127"/>
      <c r="E186" s="313">
        <f t="shared" si="34"/>
        <v>0.1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v>
      </c>
      <c r="R186" s="1123">
        <f t="shared" si="41"/>
        <v>0</v>
      </c>
      <c r="S186" s="697">
        <f t="shared" si="32"/>
        <v>0</v>
      </c>
    </row>
    <row r="187" spans="1:19">
      <c r="A187" s="490"/>
      <c r="B187" s="348"/>
      <c r="C187" s="313">
        <f t="shared" si="33"/>
        <v>1</v>
      </c>
      <c r="D187" s="1127"/>
      <c r="E187" s="313">
        <f t="shared" si="34"/>
        <v>0.1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v>
      </c>
      <c r="R187" s="1123">
        <f t="shared" si="41"/>
        <v>0</v>
      </c>
      <c r="S187" s="697">
        <f t="shared" ref="S187:S222" si="42">ROUND(R187*B187/10000,0)</f>
        <v>0</v>
      </c>
    </row>
    <row r="188" spans="1:19">
      <c r="A188" s="490"/>
      <c r="B188" s="348"/>
      <c r="C188" s="313">
        <f t="shared" si="33"/>
        <v>1</v>
      </c>
      <c r="D188" s="1127"/>
      <c r="E188" s="313">
        <f t="shared" si="34"/>
        <v>0.1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v>
      </c>
      <c r="R188" s="1123">
        <f t="shared" si="41"/>
        <v>0</v>
      </c>
      <c r="S188" s="697">
        <f t="shared" si="42"/>
        <v>0</v>
      </c>
    </row>
    <row r="189" spans="1:19">
      <c r="A189" s="490"/>
      <c r="B189" s="348"/>
      <c r="C189" s="313">
        <f t="shared" si="33"/>
        <v>1</v>
      </c>
      <c r="D189" s="1127"/>
      <c r="E189" s="313">
        <f t="shared" si="34"/>
        <v>0.1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v>
      </c>
      <c r="R189" s="1123">
        <f t="shared" si="41"/>
        <v>0</v>
      </c>
      <c r="S189" s="697">
        <f t="shared" si="42"/>
        <v>0</v>
      </c>
    </row>
    <row r="190" spans="1:19">
      <c r="A190" s="490"/>
      <c r="B190" s="348"/>
      <c r="C190" s="313">
        <f t="shared" si="33"/>
        <v>1</v>
      </c>
      <c r="D190" s="1127"/>
      <c r="E190" s="313">
        <f t="shared" si="34"/>
        <v>0.1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v>
      </c>
      <c r="R190" s="1123">
        <f t="shared" si="41"/>
        <v>0</v>
      </c>
      <c r="S190" s="697">
        <f t="shared" si="42"/>
        <v>0</v>
      </c>
    </row>
    <row r="191" spans="1:19">
      <c r="A191" s="490"/>
      <c r="B191" s="348"/>
      <c r="C191" s="313">
        <f t="shared" si="33"/>
        <v>1</v>
      </c>
      <c r="D191" s="1127"/>
      <c r="E191" s="313">
        <f t="shared" si="34"/>
        <v>0.1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v>
      </c>
      <c r="R191" s="1123">
        <f t="shared" si="41"/>
        <v>0</v>
      </c>
      <c r="S191" s="697">
        <f t="shared" si="42"/>
        <v>0</v>
      </c>
    </row>
    <row r="192" spans="1:19">
      <c r="A192" s="490"/>
      <c r="B192" s="348"/>
      <c r="C192" s="313">
        <f t="shared" si="33"/>
        <v>1</v>
      </c>
      <c r="D192" s="1127"/>
      <c r="E192" s="313">
        <f t="shared" si="34"/>
        <v>0.1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v>
      </c>
      <c r="R192" s="1123">
        <f t="shared" si="41"/>
        <v>0</v>
      </c>
      <c r="S192" s="697">
        <f t="shared" si="42"/>
        <v>0</v>
      </c>
    </row>
    <row r="193" spans="1:19">
      <c r="A193" s="490"/>
      <c r="B193" s="348"/>
      <c r="C193" s="313">
        <f t="shared" si="33"/>
        <v>1</v>
      </c>
      <c r="D193" s="1127"/>
      <c r="E193" s="313">
        <f t="shared" si="34"/>
        <v>0.1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v>
      </c>
      <c r="R193" s="1123">
        <f t="shared" si="41"/>
        <v>0</v>
      </c>
      <c r="S193" s="697">
        <f t="shared" si="42"/>
        <v>0</v>
      </c>
    </row>
    <row r="194" spans="1:19">
      <c r="A194" s="490"/>
      <c r="B194" s="348"/>
      <c r="C194" s="313">
        <f t="shared" si="33"/>
        <v>1</v>
      </c>
      <c r="D194" s="1127"/>
      <c r="E194" s="313">
        <f t="shared" si="34"/>
        <v>0.1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v>
      </c>
      <c r="R194" s="1123">
        <f t="shared" si="41"/>
        <v>0</v>
      </c>
      <c r="S194" s="697">
        <f t="shared" si="42"/>
        <v>0</v>
      </c>
    </row>
    <row r="195" spans="1:19">
      <c r="A195" s="490"/>
      <c r="B195" s="348"/>
      <c r="C195" s="313">
        <f t="shared" si="33"/>
        <v>1</v>
      </c>
      <c r="D195" s="1127"/>
      <c r="E195" s="313">
        <f t="shared" si="34"/>
        <v>0.1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v>
      </c>
      <c r="R195" s="1123">
        <f t="shared" si="41"/>
        <v>0</v>
      </c>
      <c r="S195" s="697">
        <f t="shared" si="42"/>
        <v>0</v>
      </c>
    </row>
    <row r="196" spans="1:19">
      <c r="A196" s="490"/>
      <c r="B196" s="348"/>
      <c r="C196" s="313">
        <f t="shared" si="33"/>
        <v>1</v>
      </c>
      <c r="D196" s="1127"/>
      <c r="E196" s="313">
        <f t="shared" si="34"/>
        <v>0.1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v>
      </c>
      <c r="R196" s="1123">
        <f t="shared" si="41"/>
        <v>0</v>
      </c>
      <c r="S196" s="697">
        <f t="shared" si="42"/>
        <v>0</v>
      </c>
    </row>
    <row r="197" spans="1:19">
      <c r="A197" s="490"/>
      <c r="B197" s="348"/>
      <c r="C197" s="313">
        <f t="shared" si="33"/>
        <v>1</v>
      </c>
      <c r="D197" s="1127"/>
      <c r="E197" s="313">
        <f t="shared" si="34"/>
        <v>0.1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v>
      </c>
      <c r="R197" s="1123">
        <f t="shared" si="41"/>
        <v>0</v>
      </c>
      <c r="S197" s="697">
        <f t="shared" si="42"/>
        <v>0</v>
      </c>
    </row>
    <row r="198" spans="1:19">
      <c r="A198" s="490"/>
      <c r="B198" s="348"/>
      <c r="C198" s="313">
        <f t="shared" si="33"/>
        <v>1</v>
      </c>
      <c r="D198" s="1127"/>
      <c r="E198" s="313">
        <f t="shared" si="34"/>
        <v>0.1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v>
      </c>
      <c r="R198" s="1123">
        <f t="shared" si="41"/>
        <v>0</v>
      </c>
      <c r="S198" s="697">
        <f t="shared" si="42"/>
        <v>0</v>
      </c>
    </row>
    <row r="199" spans="1:19">
      <c r="A199" s="490"/>
      <c r="B199" s="348"/>
      <c r="C199" s="313">
        <f t="shared" si="33"/>
        <v>1</v>
      </c>
      <c r="D199" s="1127"/>
      <c r="E199" s="313">
        <f t="shared" si="34"/>
        <v>0.1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v>
      </c>
      <c r="R199" s="1123">
        <f t="shared" si="41"/>
        <v>0</v>
      </c>
      <c r="S199" s="697">
        <f t="shared" si="42"/>
        <v>0</v>
      </c>
    </row>
    <row r="200" spans="1:19">
      <c r="A200" s="490"/>
      <c r="B200" s="348"/>
      <c r="C200" s="313">
        <f t="shared" si="33"/>
        <v>1</v>
      </c>
      <c r="D200" s="1127"/>
      <c r="E200" s="313">
        <f t="shared" si="34"/>
        <v>0.1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v>
      </c>
      <c r="R200" s="1123">
        <f t="shared" si="41"/>
        <v>0</v>
      </c>
      <c r="S200" s="697">
        <f t="shared" si="42"/>
        <v>0</v>
      </c>
    </row>
    <row r="201" spans="1:19">
      <c r="A201" s="490"/>
      <c r="B201" s="348"/>
      <c r="C201" s="313">
        <f t="shared" si="33"/>
        <v>1</v>
      </c>
      <c r="D201" s="1127"/>
      <c r="E201" s="313">
        <f t="shared" si="34"/>
        <v>0.1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v>
      </c>
      <c r="R201" s="1123">
        <f t="shared" si="41"/>
        <v>0</v>
      </c>
      <c r="S201" s="697">
        <f t="shared" si="42"/>
        <v>0</v>
      </c>
    </row>
    <row r="202" spans="1:19">
      <c r="A202" s="490"/>
      <c r="B202" s="348"/>
      <c r="C202" s="313">
        <f t="shared" si="33"/>
        <v>1</v>
      </c>
      <c r="D202" s="1127"/>
      <c r="E202" s="313">
        <f t="shared" si="34"/>
        <v>0.1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v>
      </c>
      <c r="R202" s="1123">
        <f t="shared" si="41"/>
        <v>0</v>
      </c>
      <c r="S202" s="697">
        <f t="shared" si="42"/>
        <v>0</v>
      </c>
    </row>
    <row r="203" spans="1:19">
      <c r="A203" s="490"/>
      <c r="B203" s="348"/>
      <c r="C203" s="313">
        <f t="shared" si="33"/>
        <v>1</v>
      </c>
      <c r="D203" s="1127"/>
      <c r="E203" s="313">
        <f t="shared" si="34"/>
        <v>0.1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v>
      </c>
      <c r="R203" s="1123">
        <f t="shared" si="41"/>
        <v>0</v>
      </c>
      <c r="S203" s="697">
        <f t="shared" si="42"/>
        <v>0</v>
      </c>
    </row>
    <row r="204" spans="1:19">
      <c r="A204" s="490"/>
      <c r="B204" s="348"/>
      <c r="C204" s="313">
        <f t="shared" si="33"/>
        <v>1</v>
      </c>
      <c r="D204" s="1127"/>
      <c r="E204" s="313">
        <f t="shared" si="34"/>
        <v>0.1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v>
      </c>
      <c r="R204" s="1123">
        <f t="shared" si="41"/>
        <v>0</v>
      </c>
      <c r="S204" s="697">
        <f t="shared" si="42"/>
        <v>0</v>
      </c>
    </row>
    <row r="205" spans="1:19">
      <c r="A205" s="490"/>
      <c r="B205" s="348"/>
      <c r="C205" s="313">
        <f t="shared" si="33"/>
        <v>1</v>
      </c>
      <c r="D205" s="1127"/>
      <c r="E205" s="313">
        <f t="shared" si="34"/>
        <v>0.1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v>
      </c>
      <c r="R205" s="1123">
        <f t="shared" si="41"/>
        <v>0</v>
      </c>
      <c r="S205" s="697">
        <f t="shared" si="42"/>
        <v>0</v>
      </c>
    </row>
    <row r="206" spans="1:19">
      <c r="A206" s="490"/>
      <c r="B206" s="348"/>
      <c r="C206" s="313">
        <f t="shared" si="33"/>
        <v>1</v>
      </c>
      <c r="D206" s="1127"/>
      <c r="E206" s="313">
        <f t="shared" si="34"/>
        <v>0.1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v>
      </c>
      <c r="R206" s="1123">
        <f t="shared" si="41"/>
        <v>0</v>
      </c>
      <c r="S206" s="697">
        <f t="shared" si="42"/>
        <v>0</v>
      </c>
    </row>
    <row r="207" spans="1:19">
      <c r="A207" s="490"/>
      <c r="B207" s="348"/>
      <c r="C207" s="313">
        <f t="shared" si="33"/>
        <v>1</v>
      </c>
      <c r="D207" s="1127"/>
      <c r="E207" s="313">
        <f t="shared" si="34"/>
        <v>0.1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v>
      </c>
      <c r="R207" s="1123">
        <f t="shared" si="41"/>
        <v>0</v>
      </c>
      <c r="S207" s="697">
        <f t="shared" si="42"/>
        <v>0</v>
      </c>
    </row>
    <row r="208" spans="1:19">
      <c r="A208" s="490"/>
      <c r="B208" s="348"/>
      <c r="C208" s="313">
        <f t="shared" si="33"/>
        <v>1</v>
      </c>
      <c r="D208" s="1127"/>
      <c r="E208" s="313">
        <f t="shared" si="34"/>
        <v>0.1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v>
      </c>
      <c r="R208" s="1123">
        <f t="shared" si="41"/>
        <v>0</v>
      </c>
      <c r="S208" s="697">
        <f t="shared" si="42"/>
        <v>0</v>
      </c>
    </row>
    <row r="209" spans="1:19">
      <c r="A209" s="490"/>
      <c r="B209" s="348"/>
      <c r="C209" s="313">
        <f t="shared" si="33"/>
        <v>1</v>
      </c>
      <c r="D209" s="1127"/>
      <c r="E209" s="313">
        <f t="shared" si="34"/>
        <v>0.1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v>
      </c>
      <c r="R209" s="1123">
        <f t="shared" si="41"/>
        <v>0</v>
      </c>
      <c r="S209" s="697">
        <f t="shared" si="42"/>
        <v>0</v>
      </c>
    </row>
    <row r="210" spans="1:19">
      <c r="A210" s="490"/>
      <c r="B210" s="348"/>
      <c r="C210" s="313">
        <f t="shared" si="33"/>
        <v>1</v>
      </c>
      <c r="D210" s="1127"/>
      <c r="E210" s="313">
        <f t="shared" si="34"/>
        <v>0.1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v>
      </c>
      <c r="R210" s="1123">
        <f t="shared" si="41"/>
        <v>0</v>
      </c>
      <c r="S210" s="697">
        <f t="shared" si="42"/>
        <v>0</v>
      </c>
    </row>
    <row r="211" spans="1:19">
      <c r="A211" s="490"/>
      <c r="B211" s="348"/>
      <c r="C211" s="313">
        <f t="shared" si="33"/>
        <v>1</v>
      </c>
      <c r="D211" s="1127"/>
      <c r="E211" s="313">
        <f t="shared" si="34"/>
        <v>0.1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v>
      </c>
      <c r="R211" s="1123">
        <f t="shared" si="41"/>
        <v>0</v>
      </c>
      <c r="S211" s="697">
        <f t="shared" si="42"/>
        <v>0</v>
      </c>
    </row>
    <row r="212" spans="1:19">
      <c r="A212" s="490"/>
      <c r="B212" s="348"/>
      <c r="C212" s="313">
        <f t="shared" si="33"/>
        <v>1</v>
      </c>
      <c r="D212" s="1127"/>
      <c r="E212" s="313">
        <f t="shared" si="34"/>
        <v>0.1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v>
      </c>
      <c r="R212" s="1123">
        <f t="shared" si="41"/>
        <v>0</v>
      </c>
      <c r="S212" s="697">
        <f t="shared" si="42"/>
        <v>0</v>
      </c>
    </row>
    <row r="213" spans="1:19">
      <c r="A213" s="490"/>
      <c r="B213" s="348"/>
      <c r="C213" s="313">
        <f t="shared" si="33"/>
        <v>1</v>
      </c>
      <c r="D213" s="1127"/>
      <c r="E213" s="313">
        <f t="shared" si="34"/>
        <v>0.1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v>
      </c>
      <c r="R213" s="1123">
        <f t="shared" si="41"/>
        <v>0</v>
      </c>
      <c r="S213" s="697">
        <f t="shared" si="42"/>
        <v>0</v>
      </c>
    </row>
    <row r="214" spans="1:19">
      <c r="A214" s="490"/>
      <c r="B214" s="348"/>
      <c r="C214" s="313">
        <f t="shared" si="33"/>
        <v>1</v>
      </c>
      <c r="D214" s="1127"/>
      <c r="E214" s="313">
        <f t="shared" si="34"/>
        <v>0.1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v>
      </c>
      <c r="R214" s="1123">
        <f t="shared" si="41"/>
        <v>0</v>
      </c>
      <c r="S214" s="697">
        <f t="shared" si="42"/>
        <v>0</v>
      </c>
    </row>
    <row r="215" spans="1:19">
      <c r="A215" s="490"/>
      <c r="B215" s="348"/>
      <c r="C215" s="313">
        <f t="shared" si="33"/>
        <v>1</v>
      </c>
      <c r="D215" s="1127"/>
      <c r="E215" s="313">
        <f t="shared" si="34"/>
        <v>0.1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v>
      </c>
      <c r="R215" s="1123">
        <f t="shared" si="41"/>
        <v>0</v>
      </c>
      <c r="S215" s="697">
        <f t="shared" si="42"/>
        <v>0</v>
      </c>
    </row>
    <row r="216" spans="1:19">
      <c r="A216" s="490"/>
      <c r="B216" s="348"/>
      <c r="C216" s="313">
        <f t="shared" si="33"/>
        <v>1</v>
      </c>
      <c r="D216" s="1127"/>
      <c r="E216" s="313">
        <f t="shared" si="34"/>
        <v>0.1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v>
      </c>
      <c r="R216" s="1123">
        <f t="shared" si="41"/>
        <v>0</v>
      </c>
      <c r="S216" s="697">
        <f t="shared" si="42"/>
        <v>0</v>
      </c>
    </row>
    <row r="217" spans="1:19">
      <c r="A217" s="490"/>
      <c r="B217" s="348"/>
      <c r="C217" s="313">
        <f t="shared" si="33"/>
        <v>1</v>
      </c>
      <c r="D217" s="1127"/>
      <c r="E217" s="313">
        <f t="shared" si="34"/>
        <v>0.1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0.1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v>
      </c>
      <c r="R218" s="1123">
        <f t="shared" ref="R218:R281" si="51">IF(B218="",0,ROUND($R$24*C218*E218*G218*I218*K218*M218*O218*Q218,0))</f>
        <v>0</v>
      </c>
      <c r="S218" s="697">
        <f t="shared" si="42"/>
        <v>0</v>
      </c>
    </row>
    <row r="219" spans="1:19">
      <c r="A219" s="490"/>
      <c r="B219" s="348"/>
      <c r="C219" s="313">
        <f t="shared" si="43"/>
        <v>1</v>
      </c>
      <c r="D219" s="1127"/>
      <c r="E219" s="313">
        <f t="shared" si="44"/>
        <v>0.1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v>
      </c>
      <c r="R219" s="1123">
        <f t="shared" si="51"/>
        <v>0</v>
      </c>
      <c r="S219" s="697">
        <f t="shared" si="42"/>
        <v>0</v>
      </c>
    </row>
    <row r="220" spans="1:19">
      <c r="A220" s="490"/>
      <c r="B220" s="348"/>
      <c r="C220" s="313">
        <f t="shared" si="43"/>
        <v>1</v>
      </c>
      <c r="D220" s="1127"/>
      <c r="E220" s="313">
        <f t="shared" si="44"/>
        <v>0.1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v>
      </c>
      <c r="R220" s="1123">
        <f t="shared" si="51"/>
        <v>0</v>
      </c>
      <c r="S220" s="697">
        <f t="shared" si="42"/>
        <v>0</v>
      </c>
    </row>
    <row r="221" spans="1:19">
      <c r="A221" s="490"/>
      <c r="B221" s="348"/>
      <c r="C221" s="313">
        <f t="shared" si="43"/>
        <v>1</v>
      </c>
      <c r="D221" s="1127"/>
      <c r="E221" s="313">
        <f t="shared" si="44"/>
        <v>0.1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v>
      </c>
      <c r="R221" s="1123">
        <f t="shared" si="51"/>
        <v>0</v>
      </c>
      <c r="S221" s="697">
        <f t="shared" si="42"/>
        <v>0</v>
      </c>
    </row>
    <row r="222" spans="1:19">
      <c r="A222" s="490"/>
      <c r="B222" s="348"/>
      <c r="C222" s="313">
        <f t="shared" si="43"/>
        <v>1</v>
      </c>
      <c r="D222" s="1127"/>
      <c r="E222" s="313">
        <f t="shared" si="44"/>
        <v>0.1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v>
      </c>
      <c r="R222" s="1123">
        <f t="shared" si="51"/>
        <v>0</v>
      </c>
      <c r="S222" s="697">
        <f t="shared" si="42"/>
        <v>0</v>
      </c>
    </row>
    <row r="223" spans="1:19">
      <c r="A223" s="490"/>
      <c r="B223" s="348"/>
      <c r="C223" s="313">
        <f t="shared" si="43"/>
        <v>1</v>
      </c>
      <c r="D223" s="1127"/>
      <c r="E223" s="313">
        <f t="shared" si="44"/>
        <v>0.1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v>
      </c>
      <c r="R223" s="1123">
        <f t="shared" si="51"/>
        <v>0</v>
      </c>
      <c r="S223" s="697">
        <f t="shared" ref="S223:S286" si="52">ROUND(R223*B223/10000,0)</f>
        <v>0</v>
      </c>
    </row>
    <row r="224" spans="1:19">
      <c r="A224" s="490"/>
      <c r="B224" s="348"/>
      <c r="C224" s="313">
        <f t="shared" si="43"/>
        <v>1</v>
      </c>
      <c r="D224" s="1127"/>
      <c r="E224" s="313">
        <f t="shared" si="44"/>
        <v>0.1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v>
      </c>
      <c r="R224" s="1123">
        <f t="shared" si="51"/>
        <v>0</v>
      </c>
      <c r="S224" s="697">
        <f t="shared" si="52"/>
        <v>0</v>
      </c>
    </row>
    <row r="225" spans="1:19">
      <c r="A225" s="490"/>
      <c r="B225" s="348"/>
      <c r="C225" s="313">
        <f t="shared" si="43"/>
        <v>1</v>
      </c>
      <c r="D225" s="1127"/>
      <c r="E225" s="313">
        <f t="shared" si="44"/>
        <v>0.1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v>
      </c>
      <c r="R225" s="1123">
        <f t="shared" si="51"/>
        <v>0</v>
      </c>
      <c r="S225" s="697">
        <f t="shared" si="52"/>
        <v>0</v>
      </c>
    </row>
    <row r="226" spans="1:19">
      <c r="A226" s="490"/>
      <c r="B226" s="348"/>
      <c r="C226" s="313">
        <f t="shared" si="43"/>
        <v>1</v>
      </c>
      <c r="D226" s="1127"/>
      <c r="E226" s="313">
        <f t="shared" si="44"/>
        <v>0.1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v>
      </c>
      <c r="R226" s="1123">
        <f t="shared" si="51"/>
        <v>0</v>
      </c>
      <c r="S226" s="697">
        <f t="shared" si="52"/>
        <v>0</v>
      </c>
    </row>
    <row r="227" spans="1:19">
      <c r="A227" s="490"/>
      <c r="B227" s="348"/>
      <c r="C227" s="313">
        <f t="shared" si="43"/>
        <v>1</v>
      </c>
      <c r="D227" s="1127"/>
      <c r="E227" s="313">
        <f t="shared" si="44"/>
        <v>0.1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v>
      </c>
      <c r="R227" s="1123">
        <f t="shared" si="51"/>
        <v>0</v>
      </c>
      <c r="S227" s="697">
        <f t="shared" si="52"/>
        <v>0</v>
      </c>
    </row>
    <row r="228" spans="1:19">
      <c r="A228" s="490"/>
      <c r="B228" s="348"/>
      <c r="C228" s="313">
        <f t="shared" si="43"/>
        <v>1</v>
      </c>
      <c r="D228" s="1127"/>
      <c r="E228" s="313">
        <f t="shared" si="44"/>
        <v>0.1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v>
      </c>
      <c r="R228" s="1123">
        <f t="shared" si="51"/>
        <v>0</v>
      </c>
      <c r="S228" s="697">
        <f t="shared" si="52"/>
        <v>0</v>
      </c>
    </row>
    <row r="229" spans="1:19">
      <c r="A229" s="490"/>
      <c r="B229" s="348"/>
      <c r="C229" s="313">
        <f t="shared" si="43"/>
        <v>1</v>
      </c>
      <c r="D229" s="1127"/>
      <c r="E229" s="313">
        <f t="shared" si="44"/>
        <v>0.1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v>
      </c>
      <c r="R229" s="1123">
        <f t="shared" si="51"/>
        <v>0</v>
      </c>
      <c r="S229" s="697">
        <f t="shared" si="52"/>
        <v>0</v>
      </c>
    </row>
    <row r="230" spans="1:19">
      <c r="A230" s="490"/>
      <c r="B230" s="348"/>
      <c r="C230" s="313">
        <f t="shared" si="43"/>
        <v>1</v>
      </c>
      <c r="D230" s="1127"/>
      <c r="E230" s="313">
        <f t="shared" si="44"/>
        <v>0.1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v>
      </c>
      <c r="R230" s="1123">
        <f t="shared" si="51"/>
        <v>0</v>
      </c>
      <c r="S230" s="697">
        <f t="shared" si="52"/>
        <v>0</v>
      </c>
    </row>
    <row r="231" spans="1:19">
      <c r="A231" s="490"/>
      <c r="B231" s="348"/>
      <c r="C231" s="313">
        <f t="shared" si="43"/>
        <v>1</v>
      </c>
      <c r="D231" s="1127"/>
      <c r="E231" s="313">
        <f t="shared" si="44"/>
        <v>0.1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v>
      </c>
      <c r="R231" s="1123">
        <f t="shared" si="51"/>
        <v>0</v>
      </c>
      <c r="S231" s="697">
        <f t="shared" si="52"/>
        <v>0</v>
      </c>
    </row>
    <row r="232" spans="1:19">
      <c r="A232" s="490"/>
      <c r="B232" s="348"/>
      <c r="C232" s="313">
        <f t="shared" si="43"/>
        <v>1</v>
      </c>
      <c r="D232" s="1127"/>
      <c r="E232" s="313">
        <f t="shared" si="44"/>
        <v>0.1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v>
      </c>
      <c r="R232" s="1123">
        <f t="shared" si="51"/>
        <v>0</v>
      </c>
      <c r="S232" s="697">
        <f t="shared" si="52"/>
        <v>0</v>
      </c>
    </row>
    <row r="233" spans="1:19">
      <c r="A233" s="490"/>
      <c r="B233" s="348"/>
      <c r="C233" s="313">
        <f t="shared" si="43"/>
        <v>1</v>
      </c>
      <c r="D233" s="1127"/>
      <c r="E233" s="313">
        <f t="shared" si="44"/>
        <v>0.1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v>
      </c>
      <c r="R233" s="1123">
        <f t="shared" si="51"/>
        <v>0</v>
      </c>
      <c r="S233" s="697">
        <f t="shared" si="52"/>
        <v>0</v>
      </c>
    </row>
    <row r="234" spans="1:19">
      <c r="A234" s="490"/>
      <c r="B234" s="348"/>
      <c r="C234" s="313">
        <f t="shared" si="43"/>
        <v>1</v>
      </c>
      <c r="D234" s="1127"/>
      <c r="E234" s="313">
        <f t="shared" si="44"/>
        <v>0.1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v>
      </c>
      <c r="R234" s="1123">
        <f t="shared" si="51"/>
        <v>0</v>
      </c>
      <c r="S234" s="697">
        <f t="shared" si="52"/>
        <v>0</v>
      </c>
    </row>
    <row r="235" spans="1:19">
      <c r="A235" s="490"/>
      <c r="B235" s="348"/>
      <c r="C235" s="313">
        <f t="shared" si="43"/>
        <v>1</v>
      </c>
      <c r="D235" s="1127"/>
      <c r="E235" s="313">
        <f t="shared" si="44"/>
        <v>0.1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v>
      </c>
      <c r="R235" s="1123">
        <f t="shared" si="51"/>
        <v>0</v>
      </c>
      <c r="S235" s="697">
        <f t="shared" si="52"/>
        <v>0</v>
      </c>
    </row>
    <row r="236" spans="1:19">
      <c r="A236" s="490"/>
      <c r="B236" s="348"/>
      <c r="C236" s="313">
        <f t="shared" si="43"/>
        <v>1</v>
      </c>
      <c r="D236" s="1127"/>
      <c r="E236" s="313">
        <f t="shared" si="44"/>
        <v>0.1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v>
      </c>
      <c r="R236" s="1123">
        <f t="shared" si="51"/>
        <v>0</v>
      </c>
      <c r="S236" s="697">
        <f t="shared" si="52"/>
        <v>0</v>
      </c>
    </row>
    <row r="237" spans="1:19">
      <c r="A237" s="490"/>
      <c r="B237" s="348"/>
      <c r="C237" s="313">
        <f t="shared" si="43"/>
        <v>1</v>
      </c>
      <c r="D237" s="1127"/>
      <c r="E237" s="313">
        <f t="shared" si="44"/>
        <v>0.1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v>
      </c>
      <c r="R237" s="1123">
        <f t="shared" si="51"/>
        <v>0</v>
      </c>
      <c r="S237" s="697">
        <f t="shared" si="52"/>
        <v>0</v>
      </c>
    </row>
    <row r="238" spans="1:19">
      <c r="A238" s="490"/>
      <c r="B238" s="348"/>
      <c r="C238" s="313">
        <f t="shared" si="43"/>
        <v>1</v>
      </c>
      <c r="D238" s="1127"/>
      <c r="E238" s="313">
        <f t="shared" si="44"/>
        <v>0.1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v>
      </c>
      <c r="R238" s="1123">
        <f t="shared" si="51"/>
        <v>0</v>
      </c>
      <c r="S238" s="697">
        <f t="shared" si="52"/>
        <v>0</v>
      </c>
    </row>
    <row r="239" spans="1:19">
      <c r="A239" s="490"/>
      <c r="B239" s="348"/>
      <c r="C239" s="313">
        <f t="shared" si="43"/>
        <v>1</v>
      </c>
      <c r="D239" s="1127"/>
      <c r="E239" s="313">
        <f t="shared" si="44"/>
        <v>0.1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v>
      </c>
      <c r="R239" s="1123">
        <f t="shared" si="51"/>
        <v>0</v>
      </c>
      <c r="S239" s="697">
        <f t="shared" si="52"/>
        <v>0</v>
      </c>
    </row>
    <row r="240" spans="1:19">
      <c r="A240" s="490"/>
      <c r="B240" s="348"/>
      <c r="C240" s="313">
        <f t="shared" si="43"/>
        <v>1</v>
      </c>
      <c r="D240" s="1127"/>
      <c r="E240" s="313">
        <f t="shared" si="44"/>
        <v>0.1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v>
      </c>
      <c r="R240" s="1123">
        <f t="shared" si="51"/>
        <v>0</v>
      </c>
      <c r="S240" s="697">
        <f t="shared" si="52"/>
        <v>0</v>
      </c>
    </row>
    <row r="241" spans="1:19">
      <c r="A241" s="490"/>
      <c r="B241" s="348"/>
      <c r="C241" s="313">
        <f t="shared" si="43"/>
        <v>1</v>
      </c>
      <c r="D241" s="1127"/>
      <c r="E241" s="313">
        <f t="shared" si="44"/>
        <v>0.1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v>
      </c>
      <c r="R241" s="1123">
        <f t="shared" si="51"/>
        <v>0</v>
      </c>
      <c r="S241" s="697">
        <f t="shared" si="52"/>
        <v>0</v>
      </c>
    </row>
    <row r="242" spans="1:19">
      <c r="A242" s="490"/>
      <c r="B242" s="348"/>
      <c r="C242" s="313">
        <f t="shared" si="43"/>
        <v>1</v>
      </c>
      <c r="D242" s="1127"/>
      <c r="E242" s="313">
        <f t="shared" si="44"/>
        <v>0.1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v>
      </c>
      <c r="R242" s="1123">
        <f t="shared" si="51"/>
        <v>0</v>
      </c>
      <c r="S242" s="697">
        <f t="shared" si="52"/>
        <v>0</v>
      </c>
    </row>
    <row r="243" spans="1:19">
      <c r="A243" s="490"/>
      <c r="B243" s="348"/>
      <c r="C243" s="313">
        <f t="shared" si="43"/>
        <v>1</v>
      </c>
      <c r="D243" s="1127"/>
      <c r="E243" s="313">
        <f t="shared" si="44"/>
        <v>0.1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v>
      </c>
      <c r="R243" s="1123">
        <f t="shared" si="51"/>
        <v>0</v>
      </c>
      <c r="S243" s="697">
        <f t="shared" si="52"/>
        <v>0</v>
      </c>
    </row>
    <row r="244" spans="1:19">
      <c r="A244" s="490"/>
      <c r="B244" s="348"/>
      <c r="C244" s="313">
        <f t="shared" si="43"/>
        <v>1</v>
      </c>
      <c r="D244" s="1127"/>
      <c r="E244" s="313">
        <f t="shared" si="44"/>
        <v>0.1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v>
      </c>
      <c r="R244" s="1123">
        <f t="shared" si="51"/>
        <v>0</v>
      </c>
      <c r="S244" s="697">
        <f t="shared" si="52"/>
        <v>0</v>
      </c>
    </row>
    <row r="245" spans="1:19">
      <c r="A245" s="490"/>
      <c r="B245" s="348"/>
      <c r="C245" s="313">
        <f t="shared" si="43"/>
        <v>1</v>
      </c>
      <c r="D245" s="1127"/>
      <c r="E245" s="313">
        <f t="shared" si="44"/>
        <v>0.1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v>
      </c>
      <c r="R245" s="1123">
        <f t="shared" si="51"/>
        <v>0</v>
      </c>
      <c r="S245" s="697">
        <f t="shared" si="52"/>
        <v>0</v>
      </c>
    </row>
    <row r="246" spans="1:19">
      <c r="A246" s="490"/>
      <c r="B246" s="348"/>
      <c r="C246" s="313">
        <f t="shared" si="43"/>
        <v>1</v>
      </c>
      <c r="D246" s="1127"/>
      <c r="E246" s="313">
        <f t="shared" si="44"/>
        <v>0.1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v>
      </c>
      <c r="R246" s="1123">
        <f t="shared" si="51"/>
        <v>0</v>
      </c>
      <c r="S246" s="697">
        <f t="shared" si="52"/>
        <v>0</v>
      </c>
    </row>
    <row r="247" spans="1:19">
      <c r="A247" s="490"/>
      <c r="B247" s="348"/>
      <c r="C247" s="313">
        <f t="shared" si="43"/>
        <v>1</v>
      </c>
      <c r="D247" s="1127"/>
      <c r="E247" s="313">
        <f t="shared" si="44"/>
        <v>0.1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v>
      </c>
      <c r="R247" s="1123">
        <f t="shared" si="51"/>
        <v>0</v>
      </c>
      <c r="S247" s="697">
        <f t="shared" si="52"/>
        <v>0</v>
      </c>
    </row>
    <row r="248" spans="1:19">
      <c r="A248" s="490"/>
      <c r="B248" s="348"/>
      <c r="C248" s="313">
        <f t="shared" si="43"/>
        <v>1</v>
      </c>
      <c r="D248" s="1127"/>
      <c r="E248" s="313">
        <f t="shared" si="44"/>
        <v>0.1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v>
      </c>
      <c r="R248" s="1123">
        <f t="shared" si="51"/>
        <v>0</v>
      </c>
      <c r="S248" s="697">
        <f t="shared" si="52"/>
        <v>0</v>
      </c>
    </row>
    <row r="249" spans="1:19">
      <c r="A249" s="490"/>
      <c r="B249" s="348"/>
      <c r="C249" s="313">
        <f t="shared" si="43"/>
        <v>1</v>
      </c>
      <c r="D249" s="1127"/>
      <c r="E249" s="313">
        <f t="shared" si="44"/>
        <v>0.1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v>
      </c>
      <c r="R249" s="1123">
        <f t="shared" si="51"/>
        <v>0</v>
      </c>
      <c r="S249" s="697">
        <f t="shared" si="52"/>
        <v>0</v>
      </c>
    </row>
    <row r="250" spans="1:19">
      <c r="A250" s="490"/>
      <c r="B250" s="348"/>
      <c r="C250" s="313">
        <f t="shared" si="43"/>
        <v>1</v>
      </c>
      <c r="D250" s="1127"/>
      <c r="E250" s="313">
        <f t="shared" si="44"/>
        <v>0.1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v>
      </c>
      <c r="R250" s="1123">
        <f t="shared" si="51"/>
        <v>0</v>
      </c>
      <c r="S250" s="697">
        <f t="shared" si="52"/>
        <v>0</v>
      </c>
    </row>
    <row r="251" spans="1:19">
      <c r="A251" s="490"/>
      <c r="B251" s="348"/>
      <c r="C251" s="313">
        <f t="shared" si="43"/>
        <v>1</v>
      </c>
      <c r="D251" s="1127"/>
      <c r="E251" s="313">
        <f t="shared" si="44"/>
        <v>0.1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v>
      </c>
      <c r="R251" s="1123">
        <f t="shared" si="51"/>
        <v>0</v>
      </c>
      <c r="S251" s="697">
        <f t="shared" si="52"/>
        <v>0</v>
      </c>
    </row>
    <row r="252" spans="1:19">
      <c r="A252" s="490"/>
      <c r="B252" s="348"/>
      <c r="C252" s="313">
        <f t="shared" si="43"/>
        <v>1</v>
      </c>
      <c r="D252" s="1127"/>
      <c r="E252" s="313">
        <f t="shared" si="44"/>
        <v>0.1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v>
      </c>
      <c r="R252" s="1123">
        <f t="shared" si="51"/>
        <v>0</v>
      </c>
      <c r="S252" s="697">
        <f t="shared" si="52"/>
        <v>0</v>
      </c>
    </row>
    <row r="253" spans="1:19">
      <c r="A253" s="490"/>
      <c r="B253" s="348"/>
      <c r="C253" s="313">
        <f t="shared" si="43"/>
        <v>1</v>
      </c>
      <c r="D253" s="1127"/>
      <c r="E253" s="313">
        <f t="shared" si="44"/>
        <v>0.1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v>
      </c>
      <c r="R253" s="1123">
        <f t="shared" si="51"/>
        <v>0</v>
      </c>
      <c r="S253" s="697">
        <f t="shared" si="52"/>
        <v>0</v>
      </c>
    </row>
    <row r="254" spans="1:19">
      <c r="A254" s="490"/>
      <c r="B254" s="348"/>
      <c r="C254" s="313">
        <f t="shared" si="43"/>
        <v>1</v>
      </c>
      <c r="D254" s="1127"/>
      <c r="E254" s="313">
        <f t="shared" si="44"/>
        <v>0.1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v>
      </c>
      <c r="R254" s="1123">
        <f t="shared" si="51"/>
        <v>0</v>
      </c>
      <c r="S254" s="697">
        <f t="shared" si="52"/>
        <v>0</v>
      </c>
    </row>
    <row r="255" spans="1:19">
      <c r="A255" s="490"/>
      <c r="B255" s="348"/>
      <c r="C255" s="313">
        <f t="shared" si="43"/>
        <v>1</v>
      </c>
      <c r="D255" s="1127"/>
      <c r="E255" s="313">
        <f t="shared" si="44"/>
        <v>0.1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v>
      </c>
      <c r="R255" s="1123">
        <f t="shared" si="51"/>
        <v>0</v>
      </c>
      <c r="S255" s="697">
        <f t="shared" si="52"/>
        <v>0</v>
      </c>
    </row>
    <row r="256" spans="1:19">
      <c r="A256" s="490"/>
      <c r="B256" s="348"/>
      <c r="C256" s="313">
        <f t="shared" si="43"/>
        <v>1</v>
      </c>
      <c r="D256" s="1127"/>
      <c r="E256" s="313">
        <f t="shared" si="44"/>
        <v>0.1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v>
      </c>
      <c r="R256" s="1123">
        <f t="shared" si="51"/>
        <v>0</v>
      </c>
      <c r="S256" s="697">
        <f t="shared" si="52"/>
        <v>0</v>
      </c>
    </row>
    <row r="257" spans="1:19">
      <c r="A257" s="490"/>
      <c r="B257" s="348"/>
      <c r="C257" s="313">
        <f t="shared" si="43"/>
        <v>1</v>
      </c>
      <c r="D257" s="1127"/>
      <c r="E257" s="313">
        <f t="shared" si="44"/>
        <v>0.1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v>
      </c>
      <c r="R257" s="1123">
        <f t="shared" si="51"/>
        <v>0</v>
      </c>
      <c r="S257" s="697">
        <f t="shared" si="52"/>
        <v>0</v>
      </c>
    </row>
    <row r="258" spans="1:19">
      <c r="A258" s="490"/>
      <c r="B258" s="348"/>
      <c r="C258" s="313">
        <f t="shared" si="43"/>
        <v>1</v>
      </c>
      <c r="D258" s="1127"/>
      <c r="E258" s="313">
        <f t="shared" si="44"/>
        <v>0.1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v>
      </c>
      <c r="R258" s="1123">
        <f t="shared" si="51"/>
        <v>0</v>
      </c>
      <c r="S258" s="697">
        <f t="shared" si="52"/>
        <v>0</v>
      </c>
    </row>
    <row r="259" spans="1:19">
      <c r="A259" s="490"/>
      <c r="B259" s="348"/>
      <c r="C259" s="313">
        <f t="shared" si="43"/>
        <v>1</v>
      </c>
      <c r="D259" s="1127"/>
      <c r="E259" s="313">
        <f t="shared" si="44"/>
        <v>0.1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v>
      </c>
      <c r="R259" s="1123">
        <f t="shared" si="51"/>
        <v>0</v>
      </c>
      <c r="S259" s="697">
        <f t="shared" si="52"/>
        <v>0</v>
      </c>
    </row>
    <row r="260" spans="1:19">
      <c r="A260" s="490"/>
      <c r="B260" s="348"/>
      <c r="C260" s="313">
        <f t="shared" si="43"/>
        <v>1</v>
      </c>
      <c r="D260" s="1127"/>
      <c r="E260" s="313">
        <f t="shared" si="44"/>
        <v>0.1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v>
      </c>
      <c r="R260" s="1123">
        <f t="shared" si="51"/>
        <v>0</v>
      </c>
      <c r="S260" s="697">
        <f t="shared" si="52"/>
        <v>0</v>
      </c>
    </row>
    <row r="261" spans="1:19">
      <c r="A261" s="490"/>
      <c r="B261" s="348"/>
      <c r="C261" s="313">
        <f t="shared" si="43"/>
        <v>1</v>
      </c>
      <c r="D261" s="1127"/>
      <c r="E261" s="313">
        <f t="shared" si="44"/>
        <v>0.1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v>
      </c>
      <c r="R261" s="1123">
        <f t="shared" si="51"/>
        <v>0</v>
      </c>
      <c r="S261" s="697">
        <f t="shared" si="52"/>
        <v>0</v>
      </c>
    </row>
    <row r="262" spans="1:19">
      <c r="A262" s="490"/>
      <c r="B262" s="348"/>
      <c r="C262" s="313">
        <f t="shared" si="43"/>
        <v>1</v>
      </c>
      <c r="D262" s="1127"/>
      <c r="E262" s="313">
        <f t="shared" si="44"/>
        <v>0.1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v>
      </c>
      <c r="R262" s="1123">
        <f t="shared" si="51"/>
        <v>0</v>
      </c>
      <c r="S262" s="697">
        <f t="shared" si="52"/>
        <v>0</v>
      </c>
    </row>
    <row r="263" spans="1:19">
      <c r="A263" s="490"/>
      <c r="B263" s="348"/>
      <c r="C263" s="313">
        <f t="shared" si="43"/>
        <v>1</v>
      </c>
      <c r="D263" s="1127"/>
      <c r="E263" s="313">
        <f t="shared" si="44"/>
        <v>0.1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v>
      </c>
      <c r="R263" s="1123">
        <f t="shared" si="51"/>
        <v>0</v>
      </c>
      <c r="S263" s="697">
        <f t="shared" si="52"/>
        <v>0</v>
      </c>
    </row>
    <row r="264" spans="1:19">
      <c r="A264" s="490"/>
      <c r="B264" s="348"/>
      <c r="C264" s="313">
        <f t="shared" si="43"/>
        <v>1</v>
      </c>
      <c r="D264" s="1127"/>
      <c r="E264" s="313">
        <f t="shared" si="44"/>
        <v>0.1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v>
      </c>
      <c r="R264" s="1123">
        <f t="shared" si="51"/>
        <v>0</v>
      </c>
      <c r="S264" s="697">
        <f t="shared" si="52"/>
        <v>0</v>
      </c>
    </row>
    <row r="265" spans="1:19">
      <c r="A265" s="490"/>
      <c r="B265" s="348"/>
      <c r="C265" s="313">
        <f t="shared" si="43"/>
        <v>1</v>
      </c>
      <c r="D265" s="1127"/>
      <c r="E265" s="313">
        <f t="shared" si="44"/>
        <v>0.1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v>
      </c>
      <c r="R265" s="1123">
        <f t="shared" si="51"/>
        <v>0</v>
      </c>
      <c r="S265" s="697">
        <f t="shared" si="52"/>
        <v>0</v>
      </c>
    </row>
    <row r="266" spans="1:19">
      <c r="A266" s="490"/>
      <c r="B266" s="348"/>
      <c r="C266" s="313">
        <f t="shared" si="43"/>
        <v>1</v>
      </c>
      <c r="D266" s="1127"/>
      <c r="E266" s="313">
        <f t="shared" si="44"/>
        <v>0.1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v>
      </c>
      <c r="R266" s="1123">
        <f t="shared" si="51"/>
        <v>0</v>
      </c>
      <c r="S266" s="697">
        <f t="shared" si="52"/>
        <v>0</v>
      </c>
    </row>
    <row r="267" spans="1:19">
      <c r="A267" s="490"/>
      <c r="B267" s="348"/>
      <c r="C267" s="313">
        <f t="shared" si="43"/>
        <v>1</v>
      </c>
      <c r="D267" s="1127"/>
      <c r="E267" s="313">
        <f t="shared" si="44"/>
        <v>0.1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v>
      </c>
      <c r="R267" s="1123">
        <f t="shared" si="51"/>
        <v>0</v>
      </c>
      <c r="S267" s="697">
        <f t="shared" si="52"/>
        <v>0</v>
      </c>
    </row>
    <row r="268" spans="1:19">
      <c r="A268" s="490"/>
      <c r="B268" s="348"/>
      <c r="C268" s="313">
        <f t="shared" si="43"/>
        <v>1</v>
      </c>
      <c r="D268" s="1127"/>
      <c r="E268" s="313">
        <f t="shared" si="44"/>
        <v>0.1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v>
      </c>
      <c r="R268" s="1123">
        <f t="shared" si="51"/>
        <v>0</v>
      </c>
      <c r="S268" s="697">
        <f t="shared" si="52"/>
        <v>0</v>
      </c>
    </row>
    <row r="269" spans="1:19">
      <c r="A269" s="490"/>
      <c r="B269" s="348"/>
      <c r="C269" s="313">
        <f t="shared" si="43"/>
        <v>1</v>
      </c>
      <c r="D269" s="1127"/>
      <c r="E269" s="313">
        <f t="shared" si="44"/>
        <v>0.1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v>
      </c>
      <c r="R269" s="1123">
        <f t="shared" si="51"/>
        <v>0</v>
      </c>
      <c r="S269" s="697">
        <f t="shared" si="52"/>
        <v>0</v>
      </c>
    </row>
    <row r="270" spans="1:19">
      <c r="A270" s="490"/>
      <c r="B270" s="348"/>
      <c r="C270" s="313">
        <f t="shared" si="43"/>
        <v>1</v>
      </c>
      <c r="D270" s="1127"/>
      <c r="E270" s="313">
        <f t="shared" si="44"/>
        <v>0.1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v>
      </c>
      <c r="R270" s="1123">
        <f t="shared" si="51"/>
        <v>0</v>
      </c>
      <c r="S270" s="697">
        <f t="shared" si="52"/>
        <v>0</v>
      </c>
    </row>
    <row r="271" spans="1:19">
      <c r="A271" s="490"/>
      <c r="B271" s="348"/>
      <c r="C271" s="313">
        <f t="shared" si="43"/>
        <v>1</v>
      </c>
      <c r="D271" s="1127"/>
      <c r="E271" s="313">
        <f t="shared" si="44"/>
        <v>0.1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v>
      </c>
      <c r="R271" s="1123">
        <f t="shared" si="51"/>
        <v>0</v>
      </c>
      <c r="S271" s="697">
        <f t="shared" si="52"/>
        <v>0</v>
      </c>
    </row>
    <row r="272" spans="1:19">
      <c r="A272" s="490"/>
      <c r="B272" s="348"/>
      <c r="C272" s="313">
        <f t="shared" si="43"/>
        <v>1</v>
      </c>
      <c r="D272" s="1127"/>
      <c r="E272" s="313">
        <f t="shared" si="44"/>
        <v>0.1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v>
      </c>
      <c r="R272" s="1123">
        <f t="shared" si="51"/>
        <v>0</v>
      </c>
      <c r="S272" s="697">
        <f t="shared" si="52"/>
        <v>0</v>
      </c>
    </row>
    <row r="273" spans="1:19">
      <c r="A273" s="490"/>
      <c r="B273" s="348"/>
      <c r="C273" s="313">
        <f t="shared" si="43"/>
        <v>1</v>
      </c>
      <c r="D273" s="1127"/>
      <c r="E273" s="313">
        <f t="shared" si="44"/>
        <v>0.1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v>
      </c>
      <c r="R273" s="1123">
        <f t="shared" si="51"/>
        <v>0</v>
      </c>
      <c r="S273" s="697">
        <f t="shared" si="52"/>
        <v>0</v>
      </c>
    </row>
    <row r="274" spans="1:19">
      <c r="A274" s="490"/>
      <c r="B274" s="348"/>
      <c r="C274" s="313">
        <f t="shared" si="43"/>
        <v>1</v>
      </c>
      <c r="D274" s="1127"/>
      <c r="E274" s="313">
        <f t="shared" si="44"/>
        <v>0.1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v>
      </c>
      <c r="R274" s="1123">
        <f t="shared" si="51"/>
        <v>0</v>
      </c>
      <c r="S274" s="697">
        <f t="shared" si="52"/>
        <v>0</v>
      </c>
    </row>
    <row r="275" spans="1:19">
      <c r="A275" s="490"/>
      <c r="B275" s="348"/>
      <c r="C275" s="313">
        <f t="shared" si="43"/>
        <v>1</v>
      </c>
      <c r="D275" s="1127"/>
      <c r="E275" s="313">
        <f t="shared" si="44"/>
        <v>0.1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v>
      </c>
      <c r="R275" s="1123">
        <f t="shared" si="51"/>
        <v>0</v>
      </c>
      <c r="S275" s="697">
        <f t="shared" si="52"/>
        <v>0</v>
      </c>
    </row>
    <row r="276" spans="1:19">
      <c r="A276" s="490"/>
      <c r="B276" s="348"/>
      <c r="C276" s="313">
        <f t="shared" si="43"/>
        <v>1</v>
      </c>
      <c r="D276" s="1127"/>
      <c r="E276" s="313">
        <f t="shared" si="44"/>
        <v>0.1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v>
      </c>
      <c r="R276" s="1123">
        <f t="shared" si="51"/>
        <v>0</v>
      </c>
      <c r="S276" s="697">
        <f t="shared" si="52"/>
        <v>0</v>
      </c>
    </row>
    <row r="277" spans="1:19">
      <c r="A277" s="490"/>
      <c r="B277" s="348"/>
      <c r="C277" s="313">
        <f t="shared" si="43"/>
        <v>1</v>
      </c>
      <c r="D277" s="1127"/>
      <c r="E277" s="313">
        <f t="shared" si="44"/>
        <v>0.1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v>
      </c>
      <c r="R277" s="1123">
        <f t="shared" si="51"/>
        <v>0</v>
      </c>
      <c r="S277" s="697">
        <f t="shared" si="52"/>
        <v>0</v>
      </c>
    </row>
    <row r="278" spans="1:19">
      <c r="A278" s="490"/>
      <c r="B278" s="348"/>
      <c r="C278" s="313">
        <f t="shared" si="43"/>
        <v>1</v>
      </c>
      <c r="D278" s="1127"/>
      <c r="E278" s="313">
        <f t="shared" si="44"/>
        <v>0.1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v>
      </c>
      <c r="R278" s="1123">
        <f t="shared" si="51"/>
        <v>0</v>
      </c>
      <c r="S278" s="697">
        <f t="shared" si="52"/>
        <v>0</v>
      </c>
    </row>
    <row r="279" spans="1:19">
      <c r="A279" s="490"/>
      <c r="B279" s="348"/>
      <c r="C279" s="313">
        <f t="shared" si="43"/>
        <v>1</v>
      </c>
      <c r="D279" s="1127"/>
      <c r="E279" s="313">
        <f t="shared" si="44"/>
        <v>0.1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v>
      </c>
      <c r="R279" s="1123">
        <f t="shared" si="51"/>
        <v>0</v>
      </c>
      <c r="S279" s="697">
        <f t="shared" si="52"/>
        <v>0</v>
      </c>
    </row>
    <row r="280" spans="1:19">
      <c r="A280" s="490"/>
      <c r="B280" s="348"/>
      <c r="C280" s="313">
        <f t="shared" si="43"/>
        <v>1</v>
      </c>
      <c r="D280" s="1127"/>
      <c r="E280" s="313">
        <f t="shared" si="44"/>
        <v>0.1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v>
      </c>
      <c r="R280" s="1123">
        <f t="shared" si="51"/>
        <v>0</v>
      </c>
      <c r="S280" s="697">
        <f t="shared" si="52"/>
        <v>0</v>
      </c>
    </row>
    <row r="281" spans="1:19">
      <c r="A281" s="490"/>
      <c r="B281" s="348"/>
      <c r="C281" s="313">
        <f t="shared" si="43"/>
        <v>1</v>
      </c>
      <c r="D281" s="1127"/>
      <c r="E281" s="313">
        <f t="shared" si="44"/>
        <v>0.1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0.1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v>
      </c>
      <c r="R282" s="1123">
        <f t="shared" ref="R282:R345" si="61">IF(B282="",0,ROUND($R$24*C282*E282*G282*I282*K282*M282*O282*Q282,0))</f>
        <v>0</v>
      </c>
      <c r="S282" s="697">
        <f t="shared" si="52"/>
        <v>0</v>
      </c>
    </row>
    <row r="283" spans="1:19">
      <c r="A283" s="490"/>
      <c r="B283" s="348"/>
      <c r="C283" s="313">
        <f t="shared" si="53"/>
        <v>1</v>
      </c>
      <c r="D283" s="1127"/>
      <c r="E283" s="313">
        <f t="shared" si="54"/>
        <v>0.1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v>
      </c>
      <c r="R283" s="1123">
        <f t="shared" si="61"/>
        <v>0</v>
      </c>
      <c r="S283" s="697">
        <f t="shared" si="52"/>
        <v>0</v>
      </c>
    </row>
    <row r="284" spans="1:19">
      <c r="A284" s="490"/>
      <c r="B284" s="348"/>
      <c r="C284" s="313">
        <f t="shared" si="53"/>
        <v>1</v>
      </c>
      <c r="D284" s="1127"/>
      <c r="E284" s="313">
        <f t="shared" si="54"/>
        <v>0.1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v>
      </c>
      <c r="R284" s="1123">
        <f t="shared" si="61"/>
        <v>0</v>
      </c>
      <c r="S284" s="697">
        <f t="shared" si="52"/>
        <v>0</v>
      </c>
    </row>
    <row r="285" spans="1:19">
      <c r="A285" s="490"/>
      <c r="B285" s="348"/>
      <c r="C285" s="313">
        <f t="shared" si="53"/>
        <v>1</v>
      </c>
      <c r="D285" s="1127"/>
      <c r="E285" s="313">
        <f t="shared" si="54"/>
        <v>0.1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v>
      </c>
      <c r="R285" s="1123">
        <f t="shared" si="61"/>
        <v>0</v>
      </c>
      <c r="S285" s="697">
        <f t="shared" si="52"/>
        <v>0</v>
      </c>
    </row>
    <row r="286" spans="1:19">
      <c r="A286" s="490"/>
      <c r="B286" s="348"/>
      <c r="C286" s="313">
        <f t="shared" si="53"/>
        <v>1</v>
      </c>
      <c r="D286" s="1127"/>
      <c r="E286" s="313">
        <f t="shared" si="54"/>
        <v>0.1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v>
      </c>
      <c r="R286" s="1123">
        <f t="shared" si="61"/>
        <v>0</v>
      </c>
      <c r="S286" s="697">
        <f t="shared" si="52"/>
        <v>0</v>
      </c>
    </row>
    <row r="287" spans="1:19">
      <c r="A287" s="490"/>
      <c r="B287" s="348"/>
      <c r="C287" s="313">
        <f t="shared" si="53"/>
        <v>1</v>
      </c>
      <c r="D287" s="1127"/>
      <c r="E287" s="313">
        <f t="shared" si="54"/>
        <v>0.1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v>
      </c>
      <c r="R287" s="1123">
        <f t="shared" si="61"/>
        <v>0</v>
      </c>
      <c r="S287" s="697">
        <f t="shared" ref="S287:S320" si="62">ROUND(R287*B287/10000,0)</f>
        <v>0</v>
      </c>
    </row>
    <row r="288" spans="1:19">
      <c r="A288" s="490"/>
      <c r="B288" s="348"/>
      <c r="C288" s="313">
        <f t="shared" si="53"/>
        <v>1</v>
      </c>
      <c r="D288" s="1127"/>
      <c r="E288" s="313">
        <f t="shared" si="54"/>
        <v>0.1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v>
      </c>
      <c r="R288" s="1123">
        <f t="shared" si="61"/>
        <v>0</v>
      </c>
      <c r="S288" s="697">
        <f t="shared" si="62"/>
        <v>0</v>
      </c>
    </row>
    <row r="289" spans="1:19">
      <c r="A289" s="490"/>
      <c r="B289" s="348"/>
      <c r="C289" s="313">
        <f t="shared" si="53"/>
        <v>1</v>
      </c>
      <c r="D289" s="1127"/>
      <c r="E289" s="313">
        <f t="shared" si="54"/>
        <v>0.1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v>
      </c>
      <c r="R289" s="1123">
        <f t="shared" si="61"/>
        <v>0</v>
      </c>
      <c r="S289" s="697">
        <f t="shared" si="62"/>
        <v>0</v>
      </c>
    </row>
    <row r="290" spans="1:19">
      <c r="A290" s="490"/>
      <c r="B290" s="348"/>
      <c r="C290" s="313">
        <f t="shared" si="53"/>
        <v>1</v>
      </c>
      <c r="D290" s="1127"/>
      <c r="E290" s="313">
        <f t="shared" si="54"/>
        <v>0.1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v>
      </c>
      <c r="R290" s="1123">
        <f t="shared" si="61"/>
        <v>0</v>
      </c>
      <c r="S290" s="697">
        <f t="shared" si="62"/>
        <v>0</v>
      </c>
    </row>
    <row r="291" spans="1:19">
      <c r="A291" s="490"/>
      <c r="B291" s="348"/>
      <c r="C291" s="313">
        <f t="shared" si="53"/>
        <v>1</v>
      </c>
      <c r="D291" s="1127"/>
      <c r="E291" s="313">
        <f t="shared" si="54"/>
        <v>0.1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v>
      </c>
      <c r="R291" s="1123">
        <f t="shared" si="61"/>
        <v>0</v>
      </c>
      <c r="S291" s="697">
        <f t="shared" si="62"/>
        <v>0</v>
      </c>
    </row>
    <row r="292" spans="1:19">
      <c r="A292" s="490"/>
      <c r="B292" s="348"/>
      <c r="C292" s="313">
        <f t="shared" si="53"/>
        <v>1</v>
      </c>
      <c r="D292" s="1127"/>
      <c r="E292" s="313">
        <f t="shared" si="54"/>
        <v>0.1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v>
      </c>
      <c r="R292" s="1123">
        <f t="shared" si="61"/>
        <v>0</v>
      </c>
      <c r="S292" s="697">
        <f t="shared" si="62"/>
        <v>0</v>
      </c>
    </row>
    <row r="293" spans="1:19">
      <c r="A293" s="490"/>
      <c r="B293" s="348"/>
      <c r="C293" s="313">
        <f t="shared" si="53"/>
        <v>1</v>
      </c>
      <c r="D293" s="1127"/>
      <c r="E293" s="313">
        <f t="shared" si="54"/>
        <v>0.1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v>
      </c>
      <c r="R293" s="1123">
        <f t="shared" si="61"/>
        <v>0</v>
      </c>
      <c r="S293" s="697">
        <f t="shared" si="62"/>
        <v>0</v>
      </c>
    </row>
    <row r="294" spans="1:19">
      <c r="A294" s="490"/>
      <c r="B294" s="348"/>
      <c r="C294" s="313">
        <f t="shared" si="53"/>
        <v>1</v>
      </c>
      <c r="D294" s="1127"/>
      <c r="E294" s="313">
        <f t="shared" si="54"/>
        <v>0.1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v>
      </c>
      <c r="R294" s="1123">
        <f t="shared" si="61"/>
        <v>0</v>
      </c>
      <c r="S294" s="697">
        <f t="shared" si="62"/>
        <v>0</v>
      </c>
    </row>
    <row r="295" spans="1:19">
      <c r="A295" s="490"/>
      <c r="B295" s="348"/>
      <c r="C295" s="313">
        <f t="shared" si="53"/>
        <v>1</v>
      </c>
      <c r="D295" s="1127"/>
      <c r="E295" s="313">
        <f t="shared" si="54"/>
        <v>0.1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v>
      </c>
      <c r="R295" s="1123">
        <f t="shared" si="61"/>
        <v>0</v>
      </c>
      <c r="S295" s="697">
        <f t="shared" si="62"/>
        <v>0</v>
      </c>
    </row>
    <row r="296" spans="1:19">
      <c r="A296" s="490"/>
      <c r="B296" s="348"/>
      <c r="C296" s="313">
        <f t="shared" si="53"/>
        <v>1</v>
      </c>
      <c r="D296" s="1127"/>
      <c r="E296" s="313">
        <f t="shared" si="54"/>
        <v>0.1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v>
      </c>
      <c r="R296" s="1123">
        <f t="shared" si="61"/>
        <v>0</v>
      </c>
      <c r="S296" s="697">
        <f t="shared" si="62"/>
        <v>0</v>
      </c>
    </row>
    <row r="297" spans="1:19">
      <c r="A297" s="490"/>
      <c r="B297" s="348"/>
      <c r="C297" s="313">
        <f t="shared" si="53"/>
        <v>1</v>
      </c>
      <c r="D297" s="1127"/>
      <c r="E297" s="313">
        <f t="shared" si="54"/>
        <v>0.1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v>
      </c>
      <c r="R297" s="1123">
        <f t="shared" si="61"/>
        <v>0</v>
      </c>
      <c r="S297" s="697">
        <f t="shared" si="62"/>
        <v>0</v>
      </c>
    </row>
    <row r="298" spans="1:19">
      <c r="A298" s="490"/>
      <c r="B298" s="348"/>
      <c r="C298" s="313">
        <f t="shared" si="53"/>
        <v>1</v>
      </c>
      <c r="D298" s="1127"/>
      <c r="E298" s="313">
        <f t="shared" si="54"/>
        <v>0.1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v>
      </c>
      <c r="R298" s="1123">
        <f t="shared" si="61"/>
        <v>0</v>
      </c>
      <c r="S298" s="697">
        <f t="shared" si="62"/>
        <v>0</v>
      </c>
    </row>
    <row r="299" spans="1:19">
      <c r="A299" s="490"/>
      <c r="B299" s="348"/>
      <c r="C299" s="313">
        <f t="shared" si="53"/>
        <v>1</v>
      </c>
      <c r="D299" s="1127"/>
      <c r="E299" s="313">
        <f t="shared" si="54"/>
        <v>0.1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v>
      </c>
      <c r="R299" s="1123">
        <f t="shared" si="61"/>
        <v>0</v>
      </c>
      <c r="S299" s="697">
        <f t="shared" si="62"/>
        <v>0</v>
      </c>
    </row>
    <row r="300" spans="1:19">
      <c r="A300" s="490"/>
      <c r="B300" s="348"/>
      <c r="C300" s="313">
        <f t="shared" si="53"/>
        <v>1</v>
      </c>
      <c r="D300" s="1127"/>
      <c r="E300" s="313">
        <f t="shared" si="54"/>
        <v>0.1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v>
      </c>
      <c r="R300" s="1123">
        <f t="shared" si="61"/>
        <v>0</v>
      </c>
      <c r="S300" s="697">
        <f t="shared" si="62"/>
        <v>0</v>
      </c>
    </row>
    <row r="301" spans="1:19">
      <c r="A301" s="490"/>
      <c r="B301" s="348"/>
      <c r="C301" s="313">
        <f t="shared" si="53"/>
        <v>1</v>
      </c>
      <c r="D301" s="1127"/>
      <c r="E301" s="313">
        <f t="shared" si="54"/>
        <v>0.1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v>
      </c>
      <c r="R301" s="1123">
        <f t="shared" si="61"/>
        <v>0</v>
      </c>
      <c r="S301" s="697">
        <f t="shared" si="62"/>
        <v>0</v>
      </c>
    </row>
    <row r="302" spans="1:19">
      <c r="A302" s="490"/>
      <c r="B302" s="348"/>
      <c r="C302" s="313">
        <f t="shared" si="53"/>
        <v>1</v>
      </c>
      <c r="D302" s="1127"/>
      <c r="E302" s="313">
        <f t="shared" si="54"/>
        <v>0.1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v>
      </c>
      <c r="R302" s="1123">
        <f t="shared" si="61"/>
        <v>0</v>
      </c>
      <c r="S302" s="697">
        <f t="shared" si="62"/>
        <v>0</v>
      </c>
    </row>
    <row r="303" spans="1:19">
      <c r="A303" s="490"/>
      <c r="B303" s="348"/>
      <c r="C303" s="313">
        <f t="shared" si="53"/>
        <v>1</v>
      </c>
      <c r="D303" s="1127"/>
      <c r="E303" s="313">
        <f t="shared" si="54"/>
        <v>0.1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v>
      </c>
      <c r="R303" s="1123">
        <f t="shared" si="61"/>
        <v>0</v>
      </c>
      <c r="S303" s="697">
        <f t="shared" si="62"/>
        <v>0</v>
      </c>
    </row>
    <row r="304" spans="1:19">
      <c r="A304" s="490"/>
      <c r="B304" s="348"/>
      <c r="C304" s="313">
        <f t="shared" si="53"/>
        <v>1</v>
      </c>
      <c r="D304" s="1127"/>
      <c r="E304" s="313">
        <f t="shared" si="54"/>
        <v>0.1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v>
      </c>
      <c r="R304" s="1123">
        <f t="shared" si="61"/>
        <v>0</v>
      </c>
      <c r="S304" s="697">
        <f t="shared" si="62"/>
        <v>0</v>
      </c>
    </row>
    <row r="305" spans="1:19">
      <c r="A305" s="490"/>
      <c r="B305" s="348"/>
      <c r="C305" s="313">
        <f t="shared" si="53"/>
        <v>1</v>
      </c>
      <c r="D305" s="1127"/>
      <c r="E305" s="313">
        <f t="shared" si="54"/>
        <v>0.1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v>
      </c>
      <c r="R305" s="1123">
        <f t="shared" si="61"/>
        <v>0</v>
      </c>
      <c r="S305" s="697">
        <f t="shared" si="62"/>
        <v>0</v>
      </c>
    </row>
    <row r="306" spans="1:19">
      <c r="A306" s="490"/>
      <c r="B306" s="348"/>
      <c r="C306" s="313">
        <f t="shared" si="53"/>
        <v>1</v>
      </c>
      <c r="D306" s="1127"/>
      <c r="E306" s="313">
        <f t="shared" si="54"/>
        <v>0.1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v>
      </c>
      <c r="R306" s="1123">
        <f t="shared" si="61"/>
        <v>0</v>
      </c>
      <c r="S306" s="697">
        <f t="shared" si="62"/>
        <v>0</v>
      </c>
    </row>
    <row r="307" spans="1:19">
      <c r="A307" s="490"/>
      <c r="B307" s="348"/>
      <c r="C307" s="313">
        <f t="shared" si="53"/>
        <v>1</v>
      </c>
      <c r="D307" s="1127"/>
      <c r="E307" s="313">
        <f t="shared" si="54"/>
        <v>0.1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v>
      </c>
      <c r="R307" s="1123">
        <f t="shared" si="61"/>
        <v>0</v>
      </c>
      <c r="S307" s="697">
        <f t="shared" si="62"/>
        <v>0</v>
      </c>
    </row>
    <row r="308" spans="1:19">
      <c r="A308" s="490"/>
      <c r="B308" s="348"/>
      <c r="C308" s="313">
        <f t="shared" si="53"/>
        <v>1</v>
      </c>
      <c r="D308" s="1127"/>
      <c r="E308" s="313">
        <f t="shared" si="54"/>
        <v>0.1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v>
      </c>
      <c r="R308" s="1123">
        <f t="shared" si="61"/>
        <v>0</v>
      </c>
      <c r="S308" s="697">
        <f t="shared" si="62"/>
        <v>0</v>
      </c>
    </row>
    <row r="309" spans="1:19">
      <c r="A309" s="490"/>
      <c r="B309" s="348"/>
      <c r="C309" s="313">
        <f t="shared" si="53"/>
        <v>1</v>
      </c>
      <c r="D309" s="1127"/>
      <c r="E309" s="313">
        <f t="shared" si="54"/>
        <v>0.1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v>
      </c>
      <c r="R309" s="1123">
        <f t="shared" si="61"/>
        <v>0</v>
      </c>
      <c r="S309" s="697">
        <f t="shared" si="62"/>
        <v>0</v>
      </c>
    </row>
    <row r="310" spans="1:19">
      <c r="A310" s="490"/>
      <c r="B310" s="348"/>
      <c r="C310" s="313">
        <f t="shared" si="53"/>
        <v>1</v>
      </c>
      <c r="D310" s="1127"/>
      <c r="E310" s="313">
        <f t="shared" si="54"/>
        <v>0.1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v>
      </c>
      <c r="R310" s="1123">
        <f t="shared" si="61"/>
        <v>0</v>
      </c>
      <c r="S310" s="697">
        <f t="shared" si="62"/>
        <v>0</v>
      </c>
    </row>
    <row r="311" spans="1:19">
      <c r="A311" s="490"/>
      <c r="B311" s="348"/>
      <c r="C311" s="313">
        <f t="shared" si="53"/>
        <v>1</v>
      </c>
      <c r="D311" s="1127"/>
      <c r="E311" s="313">
        <f t="shared" si="54"/>
        <v>0.1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v>
      </c>
      <c r="R311" s="1123">
        <f t="shared" si="61"/>
        <v>0</v>
      </c>
      <c r="S311" s="697">
        <f t="shared" si="62"/>
        <v>0</v>
      </c>
    </row>
    <row r="312" spans="1:19">
      <c r="A312" s="490"/>
      <c r="B312" s="348"/>
      <c r="C312" s="313">
        <f t="shared" si="53"/>
        <v>1</v>
      </c>
      <c r="D312" s="1127"/>
      <c r="E312" s="313">
        <f t="shared" si="54"/>
        <v>0.1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v>
      </c>
      <c r="R312" s="1123">
        <f t="shared" si="61"/>
        <v>0</v>
      </c>
      <c r="S312" s="697">
        <f t="shared" si="62"/>
        <v>0</v>
      </c>
    </row>
    <row r="313" spans="1:19">
      <c r="A313" s="490"/>
      <c r="B313" s="348"/>
      <c r="C313" s="313">
        <f t="shared" si="53"/>
        <v>1</v>
      </c>
      <c r="D313" s="1127"/>
      <c r="E313" s="313">
        <f t="shared" si="54"/>
        <v>0.1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v>
      </c>
      <c r="R313" s="1123">
        <f t="shared" si="61"/>
        <v>0</v>
      </c>
      <c r="S313" s="697">
        <f t="shared" si="62"/>
        <v>0</v>
      </c>
    </row>
    <row r="314" spans="1:19">
      <c r="A314" s="490"/>
      <c r="B314" s="348"/>
      <c r="C314" s="313">
        <f t="shared" si="53"/>
        <v>1</v>
      </c>
      <c r="D314" s="1127"/>
      <c r="E314" s="313">
        <f t="shared" si="54"/>
        <v>0.1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v>
      </c>
      <c r="R314" s="1123">
        <f t="shared" si="61"/>
        <v>0</v>
      </c>
      <c r="S314" s="697">
        <f t="shared" si="62"/>
        <v>0</v>
      </c>
    </row>
    <row r="315" spans="1:19">
      <c r="A315" s="490"/>
      <c r="B315" s="348"/>
      <c r="C315" s="313">
        <f t="shared" si="53"/>
        <v>1</v>
      </c>
      <c r="D315" s="1127"/>
      <c r="E315" s="313">
        <f t="shared" si="54"/>
        <v>0.1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v>
      </c>
      <c r="R315" s="1123">
        <f t="shared" si="61"/>
        <v>0</v>
      </c>
      <c r="S315" s="697">
        <f t="shared" si="62"/>
        <v>0</v>
      </c>
    </row>
    <row r="316" spans="1:19">
      <c r="A316" s="490"/>
      <c r="B316" s="348"/>
      <c r="C316" s="313">
        <f t="shared" si="53"/>
        <v>1</v>
      </c>
      <c r="D316" s="1127"/>
      <c r="E316" s="313">
        <f t="shared" si="54"/>
        <v>0.1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v>
      </c>
      <c r="R316" s="1123">
        <f t="shared" si="61"/>
        <v>0</v>
      </c>
      <c r="S316" s="697">
        <f t="shared" si="62"/>
        <v>0</v>
      </c>
    </row>
    <row r="317" spans="1:19">
      <c r="A317" s="490"/>
      <c r="B317" s="348"/>
      <c r="C317" s="313">
        <f t="shared" si="53"/>
        <v>1</v>
      </c>
      <c r="D317" s="1127"/>
      <c r="E317" s="313">
        <f t="shared" si="54"/>
        <v>0.1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v>
      </c>
      <c r="R317" s="1123">
        <f t="shared" si="61"/>
        <v>0</v>
      </c>
      <c r="S317" s="697">
        <f t="shared" si="62"/>
        <v>0</v>
      </c>
    </row>
    <row r="318" spans="1:19">
      <c r="A318" s="490"/>
      <c r="B318" s="348"/>
      <c r="C318" s="313">
        <f t="shared" si="53"/>
        <v>1</v>
      </c>
      <c r="D318" s="1127"/>
      <c r="E318" s="313">
        <f t="shared" si="54"/>
        <v>0.1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v>
      </c>
      <c r="R318" s="1123">
        <f t="shared" si="61"/>
        <v>0</v>
      </c>
      <c r="S318" s="697">
        <f t="shared" si="62"/>
        <v>0</v>
      </c>
    </row>
    <row r="319" spans="1:19">
      <c r="A319" s="490"/>
      <c r="B319" s="348"/>
      <c r="C319" s="313">
        <f t="shared" si="53"/>
        <v>1</v>
      </c>
      <c r="D319" s="1127"/>
      <c r="E319" s="313">
        <f t="shared" si="54"/>
        <v>0.1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v>
      </c>
      <c r="R319" s="1123">
        <f t="shared" si="61"/>
        <v>0</v>
      </c>
      <c r="S319" s="697">
        <f t="shared" si="62"/>
        <v>0</v>
      </c>
    </row>
    <row r="320" spans="1:19">
      <c r="A320" s="490"/>
      <c r="B320" s="348"/>
      <c r="C320" s="313">
        <f t="shared" si="53"/>
        <v>1</v>
      </c>
      <c r="D320" s="1127"/>
      <c r="E320" s="313">
        <f t="shared" si="54"/>
        <v>0.1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v>
      </c>
      <c r="R320" s="1123">
        <f t="shared" si="61"/>
        <v>0</v>
      </c>
      <c r="S320" s="697">
        <f t="shared" si="62"/>
        <v>0</v>
      </c>
    </row>
    <row r="321" spans="1:19">
      <c r="A321" s="490"/>
      <c r="B321" s="348"/>
      <c r="C321" s="313">
        <f t="shared" si="53"/>
        <v>1</v>
      </c>
      <c r="D321" s="1127"/>
      <c r="E321" s="313">
        <f t="shared" si="54"/>
        <v>0.1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v>
      </c>
      <c r="R321" s="1123">
        <f t="shared" si="61"/>
        <v>0</v>
      </c>
      <c r="S321" s="697">
        <f t="shared" ref="S321:S384" si="63">ROUND(R321*B321/10000,0)</f>
        <v>0</v>
      </c>
    </row>
    <row r="322" spans="1:19">
      <c r="A322" s="490"/>
      <c r="B322" s="348"/>
      <c r="C322" s="313">
        <f t="shared" si="53"/>
        <v>1</v>
      </c>
      <c r="D322" s="1127"/>
      <c r="E322" s="313">
        <f t="shared" si="54"/>
        <v>0.1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v>
      </c>
      <c r="R322" s="1123">
        <f t="shared" si="61"/>
        <v>0</v>
      </c>
      <c r="S322" s="697">
        <f t="shared" si="63"/>
        <v>0</v>
      </c>
    </row>
    <row r="323" spans="1:19">
      <c r="A323" s="490"/>
      <c r="B323" s="348"/>
      <c r="C323" s="313">
        <f t="shared" si="53"/>
        <v>1</v>
      </c>
      <c r="D323" s="1127"/>
      <c r="E323" s="313">
        <f t="shared" si="54"/>
        <v>0.1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v>
      </c>
      <c r="R323" s="1123">
        <f t="shared" si="61"/>
        <v>0</v>
      </c>
      <c r="S323" s="697">
        <f t="shared" si="63"/>
        <v>0</v>
      </c>
    </row>
    <row r="324" spans="1:19">
      <c r="A324" s="490"/>
      <c r="B324" s="348"/>
      <c r="C324" s="313">
        <f t="shared" si="53"/>
        <v>1</v>
      </c>
      <c r="D324" s="1127"/>
      <c r="E324" s="313">
        <f t="shared" si="54"/>
        <v>0.1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v>
      </c>
      <c r="R324" s="1123">
        <f t="shared" si="61"/>
        <v>0</v>
      </c>
      <c r="S324" s="697">
        <f t="shared" si="63"/>
        <v>0</v>
      </c>
    </row>
    <row r="325" spans="1:19">
      <c r="A325" s="490"/>
      <c r="B325" s="348"/>
      <c r="C325" s="313">
        <f t="shared" si="53"/>
        <v>1</v>
      </c>
      <c r="D325" s="1127"/>
      <c r="E325" s="313">
        <f t="shared" si="54"/>
        <v>0.1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v>
      </c>
      <c r="R325" s="1123">
        <f t="shared" si="61"/>
        <v>0</v>
      </c>
      <c r="S325" s="697">
        <f t="shared" si="63"/>
        <v>0</v>
      </c>
    </row>
    <row r="326" spans="1:19">
      <c r="A326" s="490"/>
      <c r="B326" s="348"/>
      <c r="C326" s="313">
        <f t="shared" si="53"/>
        <v>1</v>
      </c>
      <c r="D326" s="1127"/>
      <c r="E326" s="313">
        <f t="shared" si="54"/>
        <v>0.1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v>
      </c>
      <c r="R326" s="1123">
        <f t="shared" si="61"/>
        <v>0</v>
      </c>
      <c r="S326" s="697">
        <f t="shared" si="63"/>
        <v>0</v>
      </c>
    </row>
    <row r="327" spans="1:19">
      <c r="A327" s="490"/>
      <c r="B327" s="348"/>
      <c r="C327" s="313">
        <f t="shared" si="53"/>
        <v>1</v>
      </c>
      <c r="D327" s="1127"/>
      <c r="E327" s="313">
        <f t="shared" si="54"/>
        <v>0.1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v>
      </c>
      <c r="R327" s="1123">
        <f t="shared" si="61"/>
        <v>0</v>
      </c>
      <c r="S327" s="697">
        <f t="shared" si="63"/>
        <v>0</v>
      </c>
    </row>
    <row r="328" spans="1:19">
      <c r="A328" s="490"/>
      <c r="B328" s="348"/>
      <c r="C328" s="313">
        <f t="shared" si="53"/>
        <v>1</v>
      </c>
      <c r="D328" s="1127"/>
      <c r="E328" s="313">
        <f t="shared" si="54"/>
        <v>0.1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v>
      </c>
      <c r="R328" s="1123">
        <f t="shared" si="61"/>
        <v>0</v>
      </c>
      <c r="S328" s="697">
        <f t="shared" si="63"/>
        <v>0</v>
      </c>
    </row>
    <row r="329" spans="1:19">
      <c r="A329" s="490"/>
      <c r="B329" s="348"/>
      <c r="C329" s="313">
        <f t="shared" si="53"/>
        <v>1</v>
      </c>
      <c r="D329" s="1127"/>
      <c r="E329" s="313">
        <f t="shared" si="54"/>
        <v>0.1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v>
      </c>
      <c r="R329" s="1123">
        <f t="shared" si="61"/>
        <v>0</v>
      </c>
      <c r="S329" s="697">
        <f t="shared" si="63"/>
        <v>0</v>
      </c>
    </row>
    <row r="330" spans="1:19">
      <c r="A330" s="490"/>
      <c r="B330" s="348"/>
      <c r="C330" s="313">
        <f t="shared" si="53"/>
        <v>1</v>
      </c>
      <c r="D330" s="1127"/>
      <c r="E330" s="313">
        <f t="shared" si="54"/>
        <v>0.1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v>
      </c>
      <c r="R330" s="1123">
        <f t="shared" si="61"/>
        <v>0</v>
      </c>
      <c r="S330" s="697">
        <f t="shared" si="63"/>
        <v>0</v>
      </c>
    </row>
    <row r="331" spans="1:19">
      <c r="A331" s="490"/>
      <c r="B331" s="348"/>
      <c r="C331" s="313">
        <f t="shared" si="53"/>
        <v>1</v>
      </c>
      <c r="D331" s="1127"/>
      <c r="E331" s="313">
        <f t="shared" si="54"/>
        <v>0.1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v>
      </c>
      <c r="R331" s="1123">
        <f t="shared" si="61"/>
        <v>0</v>
      </c>
      <c r="S331" s="697">
        <f t="shared" si="63"/>
        <v>0</v>
      </c>
    </row>
    <row r="332" spans="1:19">
      <c r="A332" s="490"/>
      <c r="B332" s="348"/>
      <c r="C332" s="313">
        <f t="shared" si="53"/>
        <v>1</v>
      </c>
      <c r="D332" s="1127"/>
      <c r="E332" s="313">
        <f t="shared" si="54"/>
        <v>0.1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v>
      </c>
      <c r="R332" s="1123">
        <f t="shared" si="61"/>
        <v>0</v>
      </c>
      <c r="S332" s="697">
        <f t="shared" si="63"/>
        <v>0</v>
      </c>
    </row>
    <row r="333" spans="1:19">
      <c r="A333" s="490"/>
      <c r="B333" s="348"/>
      <c r="C333" s="313">
        <f t="shared" si="53"/>
        <v>1</v>
      </c>
      <c r="D333" s="1127"/>
      <c r="E333" s="313">
        <f t="shared" si="54"/>
        <v>0.1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v>
      </c>
      <c r="R333" s="1123">
        <f t="shared" si="61"/>
        <v>0</v>
      </c>
      <c r="S333" s="697">
        <f t="shared" si="63"/>
        <v>0</v>
      </c>
    </row>
    <row r="334" spans="1:19">
      <c r="A334" s="490"/>
      <c r="B334" s="348"/>
      <c r="C334" s="313">
        <f t="shared" si="53"/>
        <v>1</v>
      </c>
      <c r="D334" s="1127"/>
      <c r="E334" s="313">
        <f t="shared" si="54"/>
        <v>0.1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v>
      </c>
      <c r="R334" s="1123">
        <f t="shared" si="61"/>
        <v>0</v>
      </c>
      <c r="S334" s="697">
        <f t="shared" si="63"/>
        <v>0</v>
      </c>
    </row>
    <row r="335" spans="1:19">
      <c r="A335" s="490"/>
      <c r="B335" s="348"/>
      <c r="C335" s="313">
        <f t="shared" si="53"/>
        <v>1</v>
      </c>
      <c r="D335" s="1127"/>
      <c r="E335" s="313">
        <f t="shared" si="54"/>
        <v>0.1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v>
      </c>
      <c r="R335" s="1123">
        <f t="shared" si="61"/>
        <v>0</v>
      </c>
      <c r="S335" s="697">
        <f t="shared" si="63"/>
        <v>0</v>
      </c>
    </row>
    <row r="336" spans="1:19">
      <c r="A336" s="490"/>
      <c r="B336" s="348"/>
      <c r="C336" s="313">
        <f t="shared" si="53"/>
        <v>1</v>
      </c>
      <c r="D336" s="1127"/>
      <c r="E336" s="313">
        <f t="shared" si="54"/>
        <v>0.1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v>
      </c>
      <c r="R336" s="1123">
        <f t="shared" si="61"/>
        <v>0</v>
      </c>
      <c r="S336" s="697">
        <f t="shared" si="63"/>
        <v>0</v>
      </c>
    </row>
    <row r="337" spans="1:19">
      <c r="A337" s="490"/>
      <c r="B337" s="348"/>
      <c r="C337" s="313">
        <f t="shared" si="53"/>
        <v>1</v>
      </c>
      <c r="D337" s="1127"/>
      <c r="E337" s="313">
        <f t="shared" si="54"/>
        <v>0.1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v>
      </c>
      <c r="R337" s="1123">
        <f t="shared" si="61"/>
        <v>0</v>
      </c>
      <c r="S337" s="697">
        <f t="shared" si="63"/>
        <v>0</v>
      </c>
    </row>
    <row r="338" spans="1:19">
      <c r="A338" s="490"/>
      <c r="B338" s="348"/>
      <c r="C338" s="313">
        <f t="shared" si="53"/>
        <v>1</v>
      </c>
      <c r="D338" s="1127"/>
      <c r="E338" s="313">
        <f t="shared" si="54"/>
        <v>0.1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v>
      </c>
      <c r="R338" s="1123">
        <f t="shared" si="61"/>
        <v>0</v>
      </c>
      <c r="S338" s="697">
        <f t="shared" si="63"/>
        <v>0</v>
      </c>
    </row>
    <row r="339" spans="1:19">
      <c r="A339" s="490"/>
      <c r="B339" s="348"/>
      <c r="C339" s="313">
        <f t="shared" si="53"/>
        <v>1</v>
      </c>
      <c r="D339" s="1127"/>
      <c r="E339" s="313">
        <f t="shared" si="54"/>
        <v>0.1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v>
      </c>
      <c r="R339" s="1123">
        <f t="shared" si="61"/>
        <v>0</v>
      </c>
      <c r="S339" s="697">
        <f t="shared" si="63"/>
        <v>0</v>
      </c>
    </row>
    <row r="340" spans="1:19">
      <c r="A340" s="490"/>
      <c r="B340" s="348"/>
      <c r="C340" s="313">
        <f t="shared" si="53"/>
        <v>1</v>
      </c>
      <c r="D340" s="1127"/>
      <c r="E340" s="313">
        <f t="shared" si="54"/>
        <v>0.1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v>
      </c>
      <c r="R340" s="1123">
        <f t="shared" si="61"/>
        <v>0</v>
      </c>
      <c r="S340" s="697">
        <f t="shared" si="63"/>
        <v>0</v>
      </c>
    </row>
    <row r="341" spans="1:19">
      <c r="A341" s="490"/>
      <c r="B341" s="348"/>
      <c r="C341" s="313">
        <f t="shared" si="53"/>
        <v>1</v>
      </c>
      <c r="D341" s="1127"/>
      <c r="E341" s="313">
        <f t="shared" si="54"/>
        <v>0.1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v>
      </c>
      <c r="R341" s="1123">
        <f t="shared" si="61"/>
        <v>0</v>
      </c>
      <c r="S341" s="697">
        <f t="shared" si="63"/>
        <v>0</v>
      </c>
    </row>
    <row r="342" spans="1:19">
      <c r="A342" s="490"/>
      <c r="B342" s="348"/>
      <c r="C342" s="313">
        <f t="shared" si="53"/>
        <v>1</v>
      </c>
      <c r="D342" s="1127"/>
      <c r="E342" s="313">
        <f t="shared" si="54"/>
        <v>0.1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v>
      </c>
      <c r="R342" s="1123">
        <f t="shared" si="61"/>
        <v>0</v>
      </c>
      <c r="S342" s="697">
        <f t="shared" si="63"/>
        <v>0</v>
      </c>
    </row>
    <row r="343" spans="1:19">
      <c r="A343" s="490"/>
      <c r="B343" s="348"/>
      <c r="C343" s="313">
        <f t="shared" si="53"/>
        <v>1</v>
      </c>
      <c r="D343" s="1127"/>
      <c r="E343" s="313">
        <f t="shared" si="54"/>
        <v>0.1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v>
      </c>
      <c r="R343" s="1123">
        <f t="shared" si="61"/>
        <v>0</v>
      </c>
      <c r="S343" s="697">
        <f t="shared" si="63"/>
        <v>0</v>
      </c>
    </row>
    <row r="344" spans="1:19">
      <c r="A344" s="490"/>
      <c r="B344" s="348"/>
      <c r="C344" s="313">
        <f t="shared" si="53"/>
        <v>1</v>
      </c>
      <c r="D344" s="1127"/>
      <c r="E344" s="313">
        <f t="shared" si="54"/>
        <v>0.1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v>
      </c>
      <c r="R344" s="1123">
        <f t="shared" si="61"/>
        <v>0</v>
      </c>
      <c r="S344" s="697">
        <f t="shared" si="63"/>
        <v>0</v>
      </c>
    </row>
    <row r="345" spans="1:19">
      <c r="A345" s="490"/>
      <c r="B345" s="348"/>
      <c r="C345" s="313">
        <f t="shared" si="53"/>
        <v>1</v>
      </c>
      <c r="D345" s="1127"/>
      <c r="E345" s="313">
        <f t="shared" si="54"/>
        <v>0.1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0.1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v>
      </c>
      <c r="R346" s="1123">
        <f t="shared" ref="R346:R409" si="72">IF(B346="",0,ROUND($R$24*C346*E346*G346*I346*K346*M346*O346*Q346,0))</f>
        <v>0</v>
      </c>
      <c r="S346" s="697">
        <f t="shared" si="63"/>
        <v>0</v>
      </c>
    </row>
    <row r="347" spans="1:19">
      <c r="A347" s="490"/>
      <c r="B347" s="348"/>
      <c r="C347" s="313">
        <f t="shared" si="64"/>
        <v>1</v>
      </c>
      <c r="D347" s="1127"/>
      <c r="E347" s="313">
        <f t="shared" si="65"/>
        <v>0.1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v>
      </c>
      <c r="R347" s="1123">
        <f t="shared" si="72"/>
        <v>0</v>
      </c>
      <c r="S347" s="697">
        <f t="shared" si="63"/>
        <v>0</v>
      </c>
    </row>
    <row r="348" spans="1:19">
      <c r="A348" s="490"/>
      <c r="B348" s="348"/>
      <c r="C348" s="313">
        <f t="shared" si="64"/>
        <v>1</v>
      </c>
      <c r="D348" s="1127"/>
      <c r="E348" s="313">
        <f t="shared" si="65"/>
        <v>0.1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v>
      </c>
      <c r="R348" s="1123">
        <f t="shared" si="72"/>
        <v>0</v>
      </c>
      <c r="S348" s="697">
        <f t="shared" si="63"/>
        <v>0</v>
      </c>
    </row>
    <row r="349" spans="1:19">
      <c r="A349" s="490"/>
      <c r="B349" s="348"/>
      <c r="C349" s="313">
        <f t="shared" si="64"/>
        <v>1</v>
      </c>
      <c r="D349" s="1127"/>
      <c r="E349" s="313">
        <f t="shared" si="65"/>
        <v>0.1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v>
      </c>
      <c r="R349" s="1123">
        <f t="shared" si="72"/>
        <v>0</v>
      </c>
      <c r="S349" s="697">
        <f t="shared" si="63"/>
        <v>0</v>
      </c>
    </row>
    <row r="350" spans="1:19">
      <c r="A350" s="490"/>
      <c r="B350" s="348"/>
      <c r="C350" s="313">
        <f t="shared" si="64"/>
        <v>1</v>
      </c>
      <c r="D350" s="1127"/>
      <c r="E350" s="313">
        <f t="shared" si="65"/>
        <v>0.1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v>
      </c>
      <c r="R350" s="1123">
        <f t="shared" si="72"/>
        <v>0</v>
      </c>
      <c r="S350" s="697">
        <f t="shared" si="63"/>
        <v>0</v>
      </c>
    </row>
    <row r="351" spans="1:19">
      <c r="A351" s="490"/>
      <c r="B351" s="348"/>
      <c r="C351" s="313">
        <f t="shared" si="64"/>
        <v>1</v>
      </c>
      <c r="D351" s="1127"/>
      <c r="E351" s="313">
        <f t="shared" si="65"/>
        <v>0.1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v>
      </c>
      <c r="R351" s="1123">
        <f t="shared" si="72"/>
        <v>0</v>
      </c>
      <c r="S351" s="697">
        <f t="shared" si="63"/>
        <v>0</v>
      </c>
    </row>
    <row r="352" spans="1:19">
      <c r="A352" s="490"/>
      <c r="B352" s="348"/>
      <c r="C352" s="313">
        <f t="shared" si="64"/>
        <v>1</v>
      </c>
      <c r="D352" s="1127"/>
      <c r="E352" s="313">
        <f t="shared" si="65"/>
        <v>0.1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v>
      </c>
      <c r="R352" s="1123">
        <f t="shared" si="72"/>
        <v>0</v>
      </c>
      <c r="S352" s="697">
        <f t="shared" si="63"/>
        <v>0</v>
      </c>
    </row>
    <row r="353" spans="1:19">
      <c r="A353" s="490"/>
      <c r="B353" s="348"/>
      <c r="C353" s="313">
        <f t="shared" si="64"/>
        <v>1</v>
      </c>
      <c r="D353" s="1127"/>
      <c r="E353" s="313">
        <f t="shared" si="65"/>
        <v>0.1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v>
      </c>
      <c r="R353" s="1123">
        <f t="shared" si="72"/>
        <v>0</v>
      </c>
      <c r="S353" s="697">
        <f t="shared" si="63"/>
        <v>0</v>
      </c>
    </row>
    <row r="354" spans="1:19">
      <c r="A354" s="490"/>
      <c r="B354" s="348"/>
      <c r="C354" s="313">
        <f t="shared" si="64"/>
        <v>1</v>
      </c>
      <c r="D354" s="1127"/>
      <c r="E354" s="313">
        <f t="shared" si="65"/>
        <v>0.1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v>
      </c>
      <c r="R354" s="1123">
        <f t="shared" si="72"/>
        <v>0</v>
      </c>
      <c r="S354" s="697">
        <f t="shared" si="63"/>
        <v>0</v>
      </c>
    </row>
    <row r="355" spans="1:19">
      <c r="A355" s="490"/>
      <c r="B355" s="348"/>
      <c r="C355" s="313">
        <f t="shared" si="64"/>
        <v>1</v>
      </c>
      <c r="D355" s="1127"/>
      <c r="E355" s="313">
        <f t="shared" si="65"/>
        <v>0.1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v>
      </c>
      <c r="R355" s="1123">
        <f t="shared" si="72"/>
        <v>0</v>
      </c>
      <c r="S355" s="697">
        <f t="shared" si="63"/>
        <v>0</v>
      </c>
    </row>
    <row r="356" spans="1:19">
      <c r="A356" s="490"/>
      <c r="B356" s="348"/>
      <c r="C356" s="313">
        <f t="shared" si="64"/>
        <v>1</v>
      </c>
      <c r="D356" s="1127"/>
      <c r="E356" s="313">
        <f t="shared" si="65"/>
        <v>0.1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v>
      </c>
      <c r="R356" s="1123">
        <f t="shared" si="72"/>
        <v>0</v>
      </c>
      <c r="S356" s="697">
        <f t="shared" si="63"/>
        <v>0</v>
      </c>
    </row>
    <row r="357" spans="1:19">
      <c r="A357" s="490"/>
      <c r="B357" s="348"/>
      <c r="C357" s="313">
        <f t="shared" si="64"/>
        <v>1</v>
      </c>
      <c r="D357" s="1127"/>
      <c r="E357" s="313">
        <f t="shared" si="65"/>
        <v>0.1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v>
      </c>
      <c r="R357" s="1123">
        <f t="shared" si="72"/>
        <v>0</v>
      </c>
      <c r="S357" s="697">
        <f t="shared" si="63"/>
        <v>0</v>
      </c>
    </row>
    <row r="358" spans="1:19">
      <c r="A358" s="490"/>
      <c r="B358" s="348"/>
      <c r="C358" s="313">
        <f t="shared" si="64"/>
        <v>1</v>
      </c>
      <c r="D358" s="1127"/>
      <c r="E358" s="313">
        <f t="shared" si="65"/>
        <v>0.1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v>
      </c>
      <c r="R358" s="1123">
        <f t="shared" si="72"/>
        <v>0</v>
      </c>
      <c r="S358" s="697">
        <f t="shared" si="63"/>
        <v>0</v>
      </c>
    </row>
    <row r="359" spans="1:19">
      <c r="A359" s="490"/>
      <c r="B359" s="348"/>
      <c r="C359" s="313">
        <f t="shared" si="64"/>
        <v>1</v>
      </c>
      <c r="D359" s="1127"/>
      <c r="E359" s="313">
        <f t="shared" si="65"/>
        <v>0.1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v>
      </c>
      <c r="R359" s="1123">
        <f t="shared" si="72"/>
        <v>0</v>
      </c>
      <c r="S359" s="697">
        <f t="shared" si="63"/>
        <v>0</v>
      </c>
    </row>
    <row r="360" spans="1:19">
      <c r="A360" s="490"/>
      <c r="B360" s="348"/>
      <c r="C360" s="313">
        <f t="shared" si="64"/>
        <v>1</v>
      </c>
      <c r="D360" s="1127"/>
      <c r="E360" s="313">
        <f t="shared" si="65"/>
        <v>0.1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v>
      </c>
      <c r="R360" s="1123">
        <f t="shared" si="72"/>
        <v>0</v>
      </c>
      <c r="S360" s="697">
        <f t="shared" si="63"/>
        <v>0</v>
      </c>
    </row>
    <row r="361" spans="1:19">
      <c r="A361" s="490"/>
      <c r="B361" s="348"/>
      <c r="C361" s="313">
        <f t="shared" si="64"/>
        <v>1</v>
      </c>
      <c r="D361" s="1127"/>
      <c r="E361" s="313">
        <f t="shared" si="65"/>
        <v>0.1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v>
      </c>
      <c r="R361" s="1123">
        <f t="shared" si="72"/>
        <v>0</v>
      </c>
      <c r="S361" s="697">
        <f t="shared" si="63"/>
        <v>0</v>
      </c>
    </row>
    <row r="362" spans="1:19">
      <c r="A362" s="490"/>
      <c r="B362" s="348"/>
      <c r="C362" s="313">
        <f t="shared" si="64"/>
        <v>1</v>
      </c>
      <c r="D362" s="1127"/>
      <c r="E362" s="313">
        <f t="shared" si="65"/>
        <v>0.1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v>
      </c>
      <c r="R362" s="1123">
        <f t="shared" si="72"/>
        <v>0</v>
      </c>
      <c r="S362" s="697">
        <f t="shared" si="63"/>
        <v>0</v>
      </c>
    </row>
    <row r="363" spans="1:19">
      <c r="A363" s="490"/>
      <c r="B363" s="348"/>
      <c r="C363" s="313">
        <f t="shared" si="64"/>
        <v>1</v>
      </c>
      <c r="D363" s="1127"/>
      <c r="E363" s="313">
        <f t="shared" si="65"/>
        <v>0.1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v>
      </c>
      <c r="R363" s="1123">
        <f t="shared" si="72"/>
        <v>0</v>
      </c>
      <c r="S363" s="697">
        <f t="shared" si="63"/>
        <v>0</v>
      </c>
    </row>
    <row r="364" spans="1:19">
      <c r="A364" s="490"/>
      <c r="B364" s="348"/>
      <c r="C364" s="313">
        <f t="shared" si="64"/>
        <v>1</v>
      </c>
      <c r="D364" s="1127"/>
      <c r="E364" s="313">
        <f t="shared" si="65"/>
        <v>0.1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v>
      </c>
      <c r="R364" s="1123">
        <f t="shared" si="72"/>
        <v>0</v>
      </c>
      <c r="S364" s="697">
        <f t="shared" si="63"/>
        <v>0</v>
      </c>
    </row>
    <row r="365" spans="1:19">
      <c r="A365" s="490"/>
      <c r="B365" s="348"/>
      <c r="C365" s="313">
        <f t="shared" si="64"/>
        <v>1</v>
      </c>
      <c r="D365" s="1127"/>
      <c r="E365" s="313">
        <f t="shared" si="65"/>
        <v>0.1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v>
      </c>
      <c r="R365" s="1123">
        <f t="shared" si="72"/>
        <v>0</v>
      </c>
      <c r="S365" s="697">
        <f t="shared" si="63"/>
        <v>0</v>
      </c>
    </row>
    <row r="366" spans="1:19">
      <c r="A366" s="490"/>
      <c r="B366" s="348"/>
      <c r="C366" s="313">
        <f t="shared" si="64"/>
        <v>1</v>
      </c>
      <c r="D366" s="1127"/>
      <c r="E366" s="313">
        <f t="shared" si="65"/>
        <v>0.1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v>
      </c>
      <c r="R366" s="1123">
        <f t="shared" si="72"/>
        <v>0</v>
      </c>
      <c r="S366" s="697">
        <f t="shared" si="63"/>
        <v>0</v>
      </c>
    </row>
    <row r="367" spans="1:19">
      <c r="A367" s="490"/>
      <c r="B367" s="348"/>
      <c r="C367" s="313">
        <f t="shared" si="64"/>
        <v>1</v>
      </c>
      <c r="D367" s="1127"/>
      <c r="E367" s="313">
        <f t="shared" si="65"/>
        <v>0.1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v>
      </c>
      <c r="R367" s="1123">
        <f t="shared" si="72"/>
        <v>0</v>
      </c>
      <c r="S367" s="697">
        <f t="shared" si="63"/>
        <v>0</v>
      </c>
    </row>
    <row r="368" spans="1:19">
      <c r="A368" s="490"/>
      <c r="B368" s="348"/>
      <c r="C368" s="313">
        <f t="shared" si="64"/>
        <v>1</v>
      </c>
      <c r="D368" s="1127"/>
      <c r="E368" s="313">
        <f t="shared" si="65"/>
        <v>0.1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v>
      </c>
      <c r="R368" s="1123">
        <f t="shared" si="72"/>
        <v>0</v>
      </c>
      <c r="S368" s="697">
        <f t="shared" si="63"/>
        <v>0</v>
      </c>
    </row>
    <row r="369" spans="1:19">
      <c r="A369" s="490"/>
      <c r="B369" s="348"/>
      <c r="C369" s="313">
        <f t="shared" si="64"/>
        <v>1</v>
      </c>
      <c r="D369" s="1127"/>
      <c r="E369" s="313">
        <f t="shared" si="65"/>
        <v>0.1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v>
      </c>
      <c r="R369" s="1123">
        <f t="shared" si="72"/>
        <v>0</v>
      </c>
      <c r="S369" s="697">
        <f t="shared" si="63"/>
        <v>0</v>
      </c>
    </row>
    <row r="370" spans="1:19">
      <c r="A370" s="490"/>
      <c r="B370" s="348"/>
      <c r="C370" s="313">
        <f t="shared" si="64"/>
        <v>1</v>
      </c>
      <c r="D370" s="1127"/>
      <c r="E370" s="313">
        <f t="shared" si="65"/>
        <v>0.1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v>
      </c>
      <c r="R370" s="1123">
        <f t="shared" si="72"/>
        <v>0</v>
      </c>
      <c r="S370" s="697">
        <f t="shared" si="63"/>
        <v>0</v>
      </c>
    </row>
    <row r="371" spans="1:19">
      <c r="A371" s="490"/>
      <c r="B371" s="348"/>
      <c r="C371" s="313">
        <f t="shared" si="64"/>
        <v>1</v>
      </c>
      <c r="D371" s="1127"/>
      <c r="E371" s="313">
        <f t="shared" si="65"/>
        <v>0.1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v>
      </c>
      <c r="R371" s="1123">
        <f t="shared" si="72"/>
        <v>0</v>
      </c>
      <c r="S371" s="697">
        <f t="shared" si="63"/>
        <v>0</v>
      </c>
    </row>
    <row r="372" spans="1:19">
      <c r="A372" s="490"/>
      <c r="B372" s="348"/>
      <c r="C372" s="313">
        <f t="shared" si="64"/>
        <v>1</v>
      </c>
      <c r="D372" s="1127"/>
      <c r="E372" s="313">
        <f t="shared" si="65"/>
        <v>0.1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v>
      </c>
      <c r="R372" s="1123">
        <f t="shared" si="72"/>
        <v>0</v>
      </c>
      <c r="S372" s="697">
        <f t="shared" si="63"/>
        <v>0</v>
      </c>
    </row>
    <row r="373" spans="1:19">
      <c r="A373" s="490"/>
      <c r="B373" s="348"/>
      <c r="C373" s="313">
        <f t="shared" si="64"/>
        <v>1</v>
      </c>
      <c r="D373" s="1127"/>
      <c r="E373" s="313">
        <f t="shared" si="65"/>
        <v>0.1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v>
      </c>
      <c r="R373" s="1123">
        <f t="shared" si="72"/>
        <v>0</v>
      </c>
      <c r="S373" s="697">
        <f t="shared" si="63"/>
        <v>0</v>
      </c>
    </row>
    <row r="374" spans="1:19">
      <c r="A374" s="490"/>
      <c r="B374" s="348"/>
      <c r="C374" s="313">
        <f t="shared" si="64"/>
        <v>1</v>
      </c>
      <c r="D374" s="1127"/>
      <c r="E374" s="313">
        <f t="shared" si="65"/>
        <v>0.1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v>
      </c>
      <c r="R374" s="1123">
        <f t="shared" si="72"/>
        <v>0</v>
      </c>
      <c r="S374" s="697">
        <f t="shared" si="63"/>
        <v>0</v>
      </c>
    </row>
    <row r="375" spans="1:19">
      <c r="A375" s="490"/>
      <c r="B375" s="348"/>
      <c r="C375" s="313">
        <f t="shared" si="64"/>
        <v>1</v>
      </c>
      <c r="D375" s="1127"/>
      <c r="E375" s="313">
        <f t="shared" si="65"/>
        <v>0.1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v>
      </c>
      <c r="R375" s="1123">
        <f t="shared" si="72"/>
        <v>0</v>
      </c>
      <c r="S375" s="697">
        <f t="shared" si="63"/>
        <v>0</v>
      </c>
    </row>
    <row r="376" spans="1:19">
      <c r="A376" s="490"/>
      <c r="B376" s="348"/>
      <c r="C376" s="313">
        <f t="shared" si="64"/>
        <v>1</v>
      </c>
      <c r="D376" s="1127"/>
      <c r="E376" s="313">
        <f t="shared" si="65"/>
        <v>0.1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v>
      </c>
      <c r="R376" s="1123">
        <f t="shared" si="72"/>
        <v>0</v>
      </c>
      <c r="S376" s="697">
        <f t="shared" si="63"/>
        <v>0</v>
      </c>
    </row>
    <row r="377" spans="1:19">
      <c r="A377" s="490"/>
      <c r="B377" s="348"/>
      <c r="C377" s="313">
        <f t="shared" si="64"/>
        <v>1</v>
      </c>
      <c r="D377" s="1127"/>
      <c r="E377" s="313">
        <f t="shared" si="65"/>
        <v>0.1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v>
      </c>
      <c r="R377" s="1123">
        <f t="shared" si="72"/>
        <v>0</v>
      </c>
      <c r="S377" s="697">
        <f t="shared" si="63"/>
        <v>0</v>
      </c>
    </row>
    <row r="378" spans="1:19">
      <c r="A378" s="490"/>
      <c r="B378" s="348"/>
      <c r="C378" s="313">
        <f t="shared" si="64"/>
        <v>1</v>
      </c>
      <c r="D378" s="1127"/>
      <c r="E378" s="313">
        <f t="shared" si="65"/>
        <v>0.1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v>
      </c>
      <c r="R378" s="1123">
        <f t="shared" si="72"/>
        <v>0</v>
      </c>
      <c r="S378" s="697">
        <f t="shared" si="63"/>
        <v>0</v>
      </c>
    </row>
    <row r="379" spans="1:19">
      <c r="A379" s="490"/>
      <c r="B379" s="348"/>
      <c r="C379" s="313">
        <f t="shared" si="64"/>
        <v>1</v>
      </c>
      <c r="D379" s="1127"/>
      <c r="E379" s="313">
        <f t="shared" si="65"/>
        <v>0.1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v>
      </c>
      <c r="R379" s="1123">
        <f t="shared" si="72"/>
        <v>0</v>
      </c>
      <c r="S379" s="697">
        <f t="shared" si="63"/>
        <v>0</v>
      </c>
    </row>
    <row r="380" spans="1:19">
      <c r="A380" s="490"/>
      <c r="B380" s="348"/>
      <c r="C380" s="313">
        <f t="shared" si="64"/>
        <v>1</v>
      </c>
      <c r="D380" s="1127"/>
      <c r="E380" s="313">
        <f t="shared" si="65"/>
        <v>0.1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v>
      </c>
      <c r="R380" s="1123">
        <f t="shared" si="72"/>
        <v>0</v>
      </c>
      <c r="S380" s="697">
        <f t="shared" si="63"/>
        <v>0</v>
      </c>
    </row>
    <row r="381" spans="1:19">
      <c r="A381" s="490"/>
      <c r="B381" s="348"/>
      <c r="C381" s="313">
        <f t="shared" si="64"/>
        <v>1</v>
      </c>
      <c r="D381" s="1127"/>
      <c r="E381" s="313">
        <f t="shared" si="65"/>
        <v>0.1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v>
      </c>
      <c r="R381" s="1123">
        <f t="shared" si="72"/>
        <v>0</v>
      </c>
      <c r="S381" s="697">
        <f t="shared" si="63"/>
        <v>0</v>
      </c>
    </row>
    <row r="382" spans="1:19">
      <c r="A382" s="490"/>
      <c r="B382" s="348"/>
      <c r="C382" s="313">
        <f t="shared" si="64"/>
        <v>1</v>
      </c>
      <c r="D382" s="1127"/>
      <c r="E382" s="313">
        <f t="shared" si="65"/>
        <v>0.1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v>
      </c>
      <c r="R382" s="1123">
        <f t="shared" si="72"/>
        <v>0</v>
      </c>
      <c r="S382" s="697">
        <f t="shared" si="63"/>
        <v>0</v>
      </c>
    </row>
    <row r="383" spans="1:19">
      <c r="A383" s="490"/>
      <c r="B383" s="348"/>
      <c r="C383" s="313">
        <f t="shared" si="64"/>
        <v>1</v>
      </c>
      <c r="D383" s="1127"/>
      <c r="E383" s="313">
        <f t="shared" si="65"/>
        <v>0.1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v>
      </c>
      <c r="R383" s="1123">
        <f t="shared" si="72"/>
        <v>0</v>
      </c>
      <c r="S383" s="697">
        <f t="shared" si="63"/>
        <v>0</v>
      </c>
    </row>
    <row r="384" spans="1:19">
      <c r="A384" s="490"/>
      <c r="B384" s="348"/>
      <c r="C384" s="313">
        <f t="shared" si="64"/>
        <v>1</v>
      </c>
      <c r="D384" s="1127"/>
      <c r="E384" s="313">
        <f t="shared" si="65"/>
        <v>0.1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v>
      </c>
      <c r="R384" s="1123">
        <f t="shared" si="72"/>
        <v>0</v>
      </c>
      <c r="S384" s="697">
        <f t="shared" si="63"/>
        <v>0</v>
      </c>
    </row>
    <row r="385" spans="1:19">
      <c r="A385" s="490"/>
      <c r="B385" s="348"/>
      <c r="C385" s="313">
        <f t="shared" si="64"/>
        <v>1</v>
      </c>
      <c r="D385" s="1127"/>
      <c r="E385" s="313">
        <f t="shared" si="65"/>
        <v>0.1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v>
      </c>
      <c r="R385" s="1123">
        <f t="shared" si="72"/>
        <v>0</v>
      </c>
      <c r="S385" s="697">
        <f t="shared" ref="S385:S422" si="73">ROUND(R385*B385/10000,0)</f>
        <v>0</v>
      </c>
    </row>
    <row r="386" spans="1:19">
      <c r="A386" s="490"/>
      <c r="B386" s="348"/>
      <c r="C386" s="313">
        <f t="shared" si="64"/>
        <v>1</v>
      </c>
      <c r="D386" s="1127"/>
      <c r="E386" s="313">
        <f t="shared" si="65"/>
        <v>0.1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v>
      </c>
      <c r="R386" s="1123">
        <f t="shared" si="72"/>
        <v>0</v>
      </c>
      <c r="S386" s="697">
        <f t="shared" si="73"/>
        <v>0</v>
      </c>
    </row>
    <row r="387" spans="1:19">
      <c r="A387" s="490"/>
      <c r="B387" s="348"/>
      <c r="C387" s="313">
        <f t="shared" si="64"/>
        <v>1</v>
      </c>
      <c r="D387" s="1127"/>
      <c r="E387" s="313">
        <f t="shared" si="65"/>
        <v>0.1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v>
      </c>
      <c r="R387" s="1123">
        <f t="shared" si="72"/>
        <v>0</v>
      </c>
      <c r="S387" s="697">
        <f t="shared" si="73"/>
        <v>0</v>
      </c>
    </row>
    <row r="388" spans="1:19">
      <c r="A388" s="490"/>
      <c r="B388" s="348"/>
      <c r="C388" s="313">
        <f t="shared" si="64"/>
        <v>1</v>
      </c>
      <c r="D388" s="1127"/>
      <c r="E388" s="313">
        <f t="shared" si="65"/>
        <v>0.1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v>
      </c>
      <c r="R388" s="1123">
        <f t="shared" si="72"/>
        <v>0</v>
      </c>
      <c r="S388" s="697">
        <f t="shared" si="73"/>
        <v>0</v>
      </c>
    </row>
    <row r="389" spans="1:19">
      <c r="A389" s="490"/>
      <c r="B389" s="348"/>
      <c r="C389" s="313">
        <f t="shared" si="64"/>
        <v>1</v>
      </c>
      <c r="D389" s="1127"/>
      <c r="E389" s="313">
        <f t="shared" si="65"/>
        <v>0.1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v>
      </c>
      <c r="R389" s="1123">
        <f t="shared" si="72"/>
        <v>0</v>
      </c>
      <c r="S389" s="697">
        <f t="shared" si="73"/>
        <v>0</v>
      </c>
    </row>
    <row r="390" spans="1:19">
      <c r="A390" s="490"/>
      <c r="B390" s="348"/>
      <c r="C390" s="313">
        <f t="shared" si="64"/>
        <v>1</v>
      </c>
      <c r="D390" s="1127"/>
      <c r="E390" s="313">
        <f t="shared" si="65"/>
        <v>0.1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v>
      </c>
      <c r="R390" s="1123">
        <f t="shared" si="72"/>
        <v>0</v>
      </c>
      <c r="S390" s="697">
        <f t="shared" si="73"/>
        <v>0</v>
      </c>
    </row>
    <row r="391" spans="1:19">
      <c r="A391" s="490"/>
      <c r="B391" s="348"/>
      <c r="C391" s="313">
        <f t="shared" si="64"/>
        <v>1</v>
      </c>
      <c r="D391" s="1127"/>
      <c r="E391" s="313">
        <f t="shared" si="65"/>
        <v>0.1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v>
      </c>
      <c r="R391" s="1123">
        <f t="shared" si="72"/>
        <v>0</v>
      </c>
      <c r="S391" s="697">
        <f t="shared" si="73"/>
        <v>0</v>
      </c>
    </row>
    <row r="392" spans="1:19">
      <c r="A392" s="490"/>
      <c r="B392" s="348"/>
      <c r="C392" s="313">
        <f t="shared" si="64"/>
        <v>1</v>
      </c>
      <c r="D392" s="1127"/>
      <c r="E392" s="313">
        <f t="shared" si="65"/>
        <v>0.1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v>
      </c>
      <c r="R392" s="1123">
        <f t="shared" si="72"/>
        <v>0</v>
      </c>
      <c r="S392" s="697">
        <f t="shared" si="73"/>
        <v>0</v>
      </c>
    </row>
    <row r="393" spans="1:19">
      <c r="A393" s="490"/>
      <c r="B393" s="348"/>
      <c r="C393" s="313">
        <f t="shared" si="64"/>
        <v>1</v>
      </c>
      <c r="D393" s="1127"/>
      <c r="E393" s="313">
        <f t="shared" si="65"/>
        <v>0.1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v>
      </c>
      <c r="R393" s="1123">
        <f t="shared" si="72"/>
        <v>0</v>
      </c>
      <c r="S393" s="697">
        <f t="shared" si="73"/>
        <v>0</v>
      </c>
    </row>
    <row r="394" spans="1:19">
      <c r="A394" s="490"/>
      <c r="B394" s="348"/>
      <c r="C394" s="313">
        <f t="shared" si="64"/>
        <v>1</v>
      </c>
      <c r="D394" s="1127"/>
      <c r="E394" s="313">
        <f t="shared" si="65"/>
        <v>0.1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v>
      </c>
      <c r="R394" s="1123">
        <f t="shared" si="72"/>
        <v>0</v>
      </c>
      <c r="S394" s="697">
        <f t="shared" si="73"/>
        <v>0</v>
      </c>
    </row>
    <row r="395" spans="1:19">
      <c r="A395" s="490"/>
      <c r="B395" s="348"/>
      <c r="C395" s="313">
        <f t="shared" si="64"/>
        <v>1</v>
      </c>
      <c r="D395" s="1127"/>
      <c r="E395" s="313">
        <f t="shared" si="65"/>
        <v>0.1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v>
      </c>
      <c r="R395" s="1123">
        <f t="shared" si="72"/>
        <v>0</v>
      </c>
      <c r="S395" s="697">
        <f t="shared" si="73"/>
        <v>0</v>
      </c>
    </row>
    <row r="396" spans="1:19">
      <c r="A396" s="490"/>
      <c r="B396" s="348"/>
      <c r="C396" s="313">
        <f t="shared" si="64"/>
        <v>1</v>
      </c>
      <c r="D396" s="1127"/>
      <c r="E396" s="313">
        <f t="shared" si="65"/>
        <v>0.1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v>
      </c>
      <c r="R396" s="1123">
        <f t="shared" si="72"/>
        <v>0</v>
      </c>
      <c r="S396" s="697">
        <f t="shared" si="73"/>
        <v>0</v>
      </c>
    </row>
    <row r="397" spans="1:19">
      <c r="A397" s="490"/>
      <c r="B397" s="348"/>
      <c r="C397" s="313">
        <f t="shared" si="64"/>
        <v>1</v>
      </c>
      <c r="D397" s="1127"/>
      <c r="E397" s="313">
        <f t="shared" si="65"/>
        <v>0.1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v>
      </c>
      <c r="R397" s="1123">
        <f t="shared" si="72"/>
        <v>0</v>
      </c>
      <c r="S397" s="697">
        <f t="shared" si="73"/>
        <v>0</v>
      </c>
    </row>
    <row r="398" spans="1:19">
      <c r="A398" s="490"/>
      <c r="B398" s="348"/>
      <c r="C398" s="313">
        <f t="shared" si="64"/>
        <v>1</v>
      </c>
      <c r="D398" s="1127"/>
      <c r="E398" s="313">
        <f t="shared" si="65"/>
        <v>0.1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v>
      </c>
      <c r="R398" s="1123">
        <f t="shared" si="72"/>
        <v>0</v>
      </c>
      <c r="S398" s="697">
        <f t="shared" si="73"/>
        <v>0</v>
      </c>
    </row>
    <row r="399" spans="1:19">
      <c r="A399" s="490"/>
      <c r="B399" s="348"/>
      <c r="C399" s="313">
        <f t="shared" si="64"/>
        <v>1</v>
      </c>
      <c r="D399" s="1127"/>
      <c r="E399" s="313">
        <f t="shared" si="65"/>
        <v>0.1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v>
      </c>
      <c r="R399" s="1123">
        <f t="shared" si="72"/>
        <v>0</v>
      </c>
      <c r="S399" s="697">
        <f t="shared" si="73"/>
        <v>0</v>
      </c>
    </row>
    <row r="400" spans="1:19">
      <c r="A400" s="490"/>
      <c r="B400" s="348"/>
      <c r="C400" s="313">
        <f t="shared" si="64"/>
        <v>1</v>
      </c>
      <c r="D400" s="1127"/>
      <c r="E400" s="313">
        <f t="shared" si="65"/>
        <v>0.1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v>
      </c>
      <c r="R400" s="1123">
        <f t="shared" si="72"/>
        <v>0</v>
      </c>
      <c r="S400" s="697">
        <f t="shared" si="73"/>
        <v>0</v>
      </c>
    </row>
    <row r="401" spans="1:19">
      <c r="A401" s="490"/>
      <c r="B401" s="348"/>
      <c r="C401" s="313">
        <f t="shared" si="64"/>
        <v>1</v>
      </c>
      <c r="D401" s="1127"/>
      <c r="E401" s="313">
        <f t="shared" si="65"/>
        <v>0.1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v>
      </c>
      <c r="R401" s="1123">
        <f t="shared" si="72"/>
        <v>0</v>
      </c>
      <c r="S401" s="697">
        <f t="shared" si="73"/>
        <v>0</v>
      </c>
    </row>
    <row r="402" spans="1:19">
      <c r="A402" s="490"/>
      <c r="B402" s="348"/>
      <c r="C402" s="313">
        <f t="shared" si="64"/>
        <v>1</v>
      </c>
      <c r="D402" s="1127"/>
      <c r="E402" s="313">
        <f t="shared" si="65"/>
        <v>0.1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v>
      </c>
      <c r="R402" s="1123">
        <f t="shared" si="72"/>
        <v>0</v>
      </c>
      <c r="S402" s="697">
        <f t="shared" si="73"/>
        <v>0</v>
      </c>
    </row>
    <row r="403" spans="1:19">
      <c r="A403" s="490"/>
      <c r="B403" s="348"/>
      <c r="C403" s="313">
        <f t="shared" si="64"/>
        <v>1</v>
      </c>
      <c r="D403" s="1127"/>
      <c r="E403" s="313">
        <f t="shared" si="65"/>
        <v>0.1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v>
      </c>
      <c r="R403" s="1123">
        <f t="shared" si="72"/>
        <v>0</v>
      </c>
      <c r="S403" s="697">
        <f t="shared" si="73"/>
        <v>0</v>
      </c>
    </row>
    <row r="404" spans="1:19">
      <c r="A404" s="490"/>
      <c r="B404" s="348"/>
      <c r="C404" s="313">
        <f t="shared" si="64"/>
        <v>1</v>
      </c>
      <c r="D404" s="1127"/>
      <c r="E404" s="313">
        <f t="shared" si="65"/>
        <v>0.1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v>
      </c>
      <c r="R404" s="1123">
        <f t="shared" si="72"/>
        <v>0</v>
      </c>
      <c r="S404" s="697">
        <f t="shared" si="73"/>
        <v>0</v>
      </c>
    </row>
    <row r="405" spans="1:19">
      <c r="A405" s="490"/>
      <c r="B405" s="348"/>
      <c r="C405" s="313">
        <f t="shared" si="64"/>
        <v>1</v>
      </c>
      <c r="D405" s="1127"/>
      <c r="E405" s="313">
        <f t="shared" si="65"/>
        <v>0.1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v>
      </c>
      <c r="R405" s="1123">
        <f t="shared" si="72"/>
        <v>0</v>
      </c>
      <c r="S405" s="697">
        <f t="shared" si="73"/>
        <v>0</v>
      </c>
    </row>
    <row r="406" spans="1:19">
      <c r="A406" s="490"/>
      <c r="B406" s="348"/>
      <c r="C406" s="313">
        <f t="shared" si="64"/>
        <v>1</v>
      </c>
      <c r="D406" s="1127"/>
      <c r="E406" s="313">
        <f t="shared" si="65"/>
        <v>0.1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v>
      </c>
      <c r="R406" s="1123">
        <f t="shared" si="72"/>
        <v>0</v>
      </c>
      <c r="S406" s="697">
        <f t="shared" si="73"/>
        <v>0</v>
      </c>
    </row>
    <row r="407" spans="1:19">
      <c r="A407" s="490"/>
      <c r="B407" s="348"/>
      <c r="C407" s="313">
        <f t="shared" si="64"/>
        <v>1</v>
      </c>
      <c r="D407" s="1127"/>
      <c r="E407" s="313">
        <f t="shared" si="65"/>
        <v>0.1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v>
      </c>
      <c r="R407" s="1123">
        <f t="shared" si="72"/>
        <v>0</v>
      </c>
      <c r="S407" s="697">
        <f t="shared" si="73"/>
        <v>0</v>
      </c>
    </row>
    <row r="408" spans="1:19">
      <c r="A408" s="490"/>
      <c r="B408" s="348"/>
      <c r="C408" s="313">
        <f t="shared" si="64"/>
        <v>1</v>
      </c>
      <c r="D408" s="1127"/>
      <c r="E408" s="313">
        <f t="shared" si="65"/>
        <v>0.1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v>
      </c>
      <c r="R408" s="1123">
        <f t="shared" si="72"/>
        <v>0</v>
      </c>
      <c r="S408" s="697">
        <f t="shared" si="73"/>
        <v>0</v>
      </c>
    </row>
    <row r="409" spans="1:19">
      <c r="A409" s="490"/>
      <c r="B409" s="348"/>
      <c r="C409" s="313">
        <f t="shared" si="64"/>
        <v>1</v>
      </c>
      <c r="D409" s="1127"/>
      <c r="E409" s="313">
        <f t="shared" si="65"/>
        <v>0.1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0.1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v>
      </c>
      <c r="R410" s="1123">
        <f t="shared" ref="R410:R473" si="82">IF(B410="",0,ROUND($R$24*C410*E410*G410*I410*K410*M410*O410*Q410,0))</f>
        <v>0</v>
      </c>
      <c r="S410" s="697">
        <f t="shared" si="73"/>
        <v>0</v>
      </c>
    </row>
    <row r="411" spans="1:19">
      <c r="A411" s="490"/>
      <c r="B411" s="348"/>
      <c r="C411" s="313">
        <f t="shared" si="74"/>
        <v>1</v>
      </c>
      <c r="D411" s="1127"/>
      <c r="E411" s="313">
        <f t="shared" si="75"/>
        <v>0.1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v>
      </c>
      <c r="R411" s="1123">
        <f t="shared" si="82"/>
        <v>0</v>
      </c>
      <c r="S411" s="697">
        <f t="shared" si="73"/>
        <v>0</v>
      </c>
    </row>
    <row r="412" spans="1:19">
      <c r="A412" s="490"/>
      <c r="B412" s="348"/>
      <c r="C412" s="313">
        <f t="shared" si="74"/>
        <v>1</v>
      </c>
      <c r="D412" s="1127"/>
      <c r="E412" s="313">
        <f t="shared" si="75"/>
        <v>0.1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v>
      </c>
      <c r="R412" s="1123">
        <f t="shared" si="82"/>
        <v>0</v>
      </c>
      <c r="S412" s="697">
        <f t="shared" si="73"/>
        <v>0</v>
      </c>
    </row>
    <row r="413" spans="1:19">
      <c r="A413" s="490"/>
      <c r="B413" s="348"/>
      <c r="C413" s="313">
        <f t="shared" si="74"/>
        <v>1</v>
      </c>
      <c r="D413" s="1127"/>
      <c r="E413" s="313">
        <f t="shared" si="75"/>
        <v>0.1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v>
      </c>
      <c r="R413" s="1123">
        <f t="shared" si="82"/>
        <v>0</v>
      </c>
      <c r="S413" s="697">
        <f t="shared" si="73"/>
        <v>0</v>
      </c>
    </row>
    <row r="414" spans="1:19">
      <c r="A414" s="490"/>
      <c r="B414" s="348"/>
      <c r="C414" s="313">
        <f t="shared" si="74"/>
        <v>1</v>
      </c>
      <c r="D414" s="1127"/>
      <c r="E414" s="313">
        <f t="shared" si="75"/>
        <v>0.1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v>
      </c>
      <c r="R414" s="1123">
        <f t="shared" si="82"/>
        <v>0</v>
      </c>
      <c r="S414" s="697">
        <f t="shared" si="73"/>
        <v>0</v>
      </c>
    </row>
    <row r="415" spans="1:19">
      <c r="A415" s="490"/>
      <c r="B415" s="348"/>
      <c r="C415" s="313">
        <f t="shared" si="74"/>
        <v>1</v>
      </c>
      <c r="D415" s="1127"/>
      <c r="E415" s="313">
        <f t="shared" si="75"/>
        <v>0.1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v>
      </c>
      <c r="R415" s="1123">
        <f t="shared" si="82"/>
        <v>0</v>
      </c>
      <c r="S415" s="697">
        <f t="shared" si="73"/>
        <v>0</v>
      </c>
    </row>
    <row r="416" spans="1:19">
      <c r="A416" s="490"/>
      <c r="B416" s="348"/>
      <c r="C416" s="313">
        <f t="shared" si="74"/>
        <v>1</v>
      </c>
      <c r="D416" s="1127"/>
      <c r="E416" s="313">
        <f t="shared" si="75"/>
        <v>0.1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v>
      </c>
      <c r="R416" s="1123">
        <f t="shared" si="82"/>
        <v>0</v>
      </c>
      <c r="S416" s="697">
        <f t="shared" si="73"/>
        <v>0</v>
      </c>
    </row>
    <row r="417" spans="1:19">
      <c r="A417" s="490"/>
      <c r="B417" s="348"/>
      <c r="C417" s="313">
        <f t="shared" si="74"/>
        <v>1</v>
      </c>
      <c r="D417" s="1127"/>
      <c r="E417" s="313">
        <f t="shared" si="75"/>
        <v>0.1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v>
      </c>
      <c r="R417" s="1123">
        <f t="shared" si="82"/>
        <v>0</v>
      </c>
      <c r="S417" s="697">
        <f t="shared" si="73"/>
        <v>0</v>
      </c>
    </row>
    <row r="418" spans="1:19">
      <c r="A418" s="490"/>
      <c r="B418" s="348"/>
      <c r="C418" s="313">
        <f t="shared" si="74"/>
        <v>1</v>
      </c>
      <c r="D418" s="1127"/>
      <c r="E418" s="313">
        <f t="shared" si="75"/>
        <v>0.1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v>
      </c>
      <c r="R418" s="1123">
        <f t="shared" si="82"/>
        <v>0</v>
      </c>
      <c r="S418" s="697">
        <f t="shared" si="73"/>
        <v>0</v>
      </c>
    </row>
    <row r="419" spans="1:19">
      <c r="A419" s="490"/>
      <c r="B419" s="348"/>
      <c r="C419" s="313">
        <f t="shared" si="74"/>
        <v>1</v>
      </c>
      <c r="D419" s="1127"/>
      <c r="E419" s="313">
        <f t="shared" si="75"/>
        <v>0.1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v>
      </c>
      <c r="R419" s="1123">
        <f t="shared" si="82"/>
        <v>0</v>
      </c>
      <c r="S419" s="697">
        <f t="shared" si="73"/>
        <v>0</v>
      </c>
    </row>
    <row r="420" spans="1:19">
      <c r="A420" s="490"/>
      <c r="B420" s="348"/>
      <c r="C420" s="313">
        <f t="shared" si="74"/>
        <v>1</v>
      </c>
      <c r="D420" s="1127"/>
      <c r="E420" s="313">
        <f t="shared" si="75"/>
        <v>0.1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v>
      </c>
      <c r="R420" s="1123">
        <f t="shared" si="82"/>
        <v>0</v>
      </c>
      <c r="S420" s="697">
        <f t="shared" si="73"/>
        <v>0</v>
      </c>
    </row>
    <row r="421" spans="1:19">
      <c r="A421" s="490"/>
      <c r="B421" s="348"/>
      <c r="C421" s="313">
        <f t="shared" si="74"/>
        <v>1</v>
      </c>
      <c r="D421" s="1127"/>
      <c r="E421" s="313">
        <f t="shared" si="75"/>
        <v>0.1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v>
      </c>
      <c r="R421" s="1123">
        <f t="shared" si="82"/>
        <v>0</v>
      </c>
      <c r="S421" s="697">
        <f t="shared" si="73"/>
        <v>0</v>
      </c>
    </row>
    <row r="422" spans="1:19">
      <c r="A422" s="490"/>
      <c r="B422" s="348"/>
      <c r="C422" s="313">
        <f t="shared" si="74"/>
        <v>1</v>
      </c>
      <c r="D422" s="1127"/>
      <c r="E422" s="313">
        <f t="shared" si="75"/>
        <v>0.1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v>
      </c>
      <c r="R422" s="1123">
        <f t="shared" si="82"/>
        <v>0</v>
      </c>
      <c r="S422" s="697">
        <f t="shared" si="73"/>
        <v>0</v>
      </c>
    </row>
    <row r="423" spans="1:19">
      <c r="A423" s="490"/>
      <c r="B423" s="348"/>
      <c r="C423" s="313">
        <f t="shared" si="74"/>
        <v>1</v>
      </c>
      <c r="D423" s="1127"/>
      <c r="E423" s="313">
        <f t="shared" si="75"/>
        <v>0.1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v>
      </c>
      <c r="R423" s="1123">
        <f t="shared" si="82"/>
        <v>0</v>
      </c>
      <c r="S423" s="697">
        <f t="shared" ref="S423:S467" si="83">ROUND(R423*B423/10000,0)</f>
        <v>0</v>
      </c>
    </row>
    <row r="424" spans="1:19">
      <c r="A424" s="490"/>
      <c r="B424" s="348"/>
      <c r="C424" s="313">
        <f t="shared" si="74"/>
        <v>1</v>
      </c>
      <c r="D424" s="1127"/>
      <c r="E424" s="313">
        <f t="shared" si="75"/>
        <v>0.1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v>
      </c>
      <c r="R424" s="1123">
        <f t="shared" si="82"/>
        <v>0</v>
      </c>
      <c r="S424" s="697">
        <f t="shared" si="83"/>
        <v>0</v>
      </c>
    </row>
    <row r="425" spans="1:19">
      <c r="A425" s="490"/>
      <c r="B425" s="348"/>
      <c r="C425" s="313">
        <f t="shared" si="74"/>
        <v>1</v>
      </c>
      <c r="D425" s="1127"/>
      <c r="E425" s="313">
        <f t="shared" si="75"/>
        <v>0.1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v>
      </c>
      <c r="R425" s="1123">
        <f t="shared" si="82"/>
        <v>0</v>
      </c>
      <c r="S425" s="697">
        <f t="shared" si="83"/>
        <v>0</v>
      </c>
    </row>
    <row r="426" spans="1:19">
      <c r="A426" s="490"/>
      <c r="B426" s="348"/>
      <c r="C426" s="313">
        <f t="shared" si="74"/>
        <v>1</v>
      </c>
      <c r="D426" s="1127"/>
      <c r="E426" s="313">
        <f t="shared" si="75"/>
        <v>0.1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v>
      </c>
      <c r="R426" s="1123">
        <f t="shared" si="82"/>
        <v>0</v>
      </c>
      <c r="S426" s="697">
        <f t="shared" si="83"/>
        <v>0</v>
      </c>
    </row>
    <row r="427" spans="1:19">
      <c r="A427" s="490"/>
      <c r="B427" s="348"/>
      <c r="C427" s="313">
        <f t="shared" si="74"/>
        <v>1</v>
      </c>
      <c r="D427" s="1127"/>
      <c r="E427" s="313">
        <f t="shared" si="75"/>
        <v>0.1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v>
      </c>
      <c r="R427" s="1123">
        <f t="shared" si="82"/>
        <v>0</v>
      </c>
      <c r="S427" s="697">
        <f t="shared" si="83"/>
        <v>0</v>
      </c>
    </row>
    <row r="428" spans="1:19">
      <c r="A428" s="490"/>
      <c r="B428" s="348"/>
      <c r="C428" s="313">
        <f t="shared" si="74"/>
        <v>1</v>
      </c>
      <c r="D428" s="1127"/>
      <c r="E428" s="313">
        <f t="shared" si="75"/>
        <v>0.1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v>
      </c>
      <c r="R428" s="1123">
        <f t="shared" si="82"/>
        <v>0</v>
      </c>
      <c r="S428" s="697">
        <f t="shared" si="83"/>
        <v>0</v>
      </c>
    </row>
    <row r="429" spans="1:19">
      <c r="A429" s="490"/>
      <c r="B429" s="348"/>
      <c r="C429" s="313">
        <f t="shared" si="74"/>
        <v>1</v>
      </c>
      <c r="D429" s="1127"/>
      <c r="E429" s="313">
        <f t="shared" si="75"/>
        <v>0.1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v>
      </c>
      <c r="R429" s="1123">
        <f t="shared" si="82"/>
        <v>0</v>
      </c>
      <c r="S429" s="697">
        <f t="shared" si="83"/>
        <v>0</v>
      </c>
    </row>
    <row r="430" spans="1:19">
      <c r="A430" s="490"/>
      <c r="B430" s="348"/>
      <c r="C430" s="313">
        <f t="shared" si="74"/>
        <v>1</v>
      </c>
      <c r="D430" s="1127"/>
      <c r="E430" s="313">
        <f t="shared" si="75"/>
        <v>0.1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v>
      </c>
      <c r="R430" s="1123">
        <f t="shared" si="82"/>
        <v>0</v>
      </c>
      <c r="S430" s="697">
        <f t="shared" si="83"/>
        <v>0</v>
      </c>
    </row>
    <row r="431" spans="1:19">
      <c r="A431" s="490"/>
      <c r="B431" s="348"/>
      <c r="C431" s="313">
        <f t="shared" si="74"/>
        <v>1</v>
      </c>
      <c r="D431" s="1127"/>
      <c r="E431" s="313">
        <f t="shared" si="75"/>
        <v>0.1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v>
      </c>
      <c r="R431" s="1123">
        <f t="shared" si="82"/>
        <v>0</v>
      </c>
      <c r="S431" s="697">
        <f t="shared" si="83"/>
        <v>0</v>
      </c>
    </row>
    <row r="432" spans="1:19">
      <c r="A432" s="490"/>
      <c r="B432" s="348"/>
      <c r="C432" s="313">
        <f t="shared" si="74"/>
        <v>1</v>
      </c>
      <c r="D432" s="1127"/>
      <c r="E432" s="313">
        <f t="shared" si="75"/>
        <v>0.1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v>
      </c>
      <c r="R432" s="1123">
        <f t="shared" si="82"/>
        <v>0</v>
      </c>
      <c r="S432" s="697">
        <f t="shared" si="83"/>
        <v>0</v>
      </c>
    </row>
    <row r="433" spans="1:19">
      <c r="A433" s="490"/>
      <c r="B433" s="348"/>
      <c r="C433" s="313">
        <f t="shared" si="74"/>
        <v>1</v>
      </c>
      <c r="D433" s="1127"/>
      <c r="E433" s="313">
        <f t="shared" si="75"/>
        <v>0.1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v>
      </c>
      <c r="R433" s="1123">
        <f t="shared" si="82"/>
        <v>0</v>
      </c>
      <c r="S433" s="697">
        <f t="shared" si="83"/>
        <v>0</v>
      </c>
    </row>
    <row r="434" spans="1:19">
      <c r="A434" s="490"/>
      <c r="B434" s="348"/>
      <c r="C434" s="313">
        <f t="shared" si="74"/>
        <v>1</v>
      </c>
      <c r="D434" s="1127"/>
      <c r="E434" s="313">
        <f t="shared" si="75"/>
        <v>0.1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v>
      </c>
      <c r="R434" s="1123">
        <f t="shared" si="82"/>
        <v>0</v>
      </c>
      <c r="S434" s="697">
        <f t="shared" si="83"/>
        <v>0</v>
      </c>
    </row>
    <row r="435" spans="1:19">
      <c r="A435" s="490"/>
      <c r="B435" s="348"/>
      <c r="C435" s="313">
        <f t="shared" si="74"/>
        <v>1</v>
      </c>
      <c r="D435" s="1127"/>
      <c r="E435" s="313">
        <f t="shared" si="75"/>
        <v>0.1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v>
      </c>
      <c r="R435" s="1123">
        <f t="shared" si="82"/>
        <v>0</v>
      </c>
      <c r="S435" s="697">
        <f t="shared" si="83"/>
        <v>0</v>
      </c>
    </row>
    <row r="436" spans="1:19">
      <c r="A436" s="490"/>
      <c r="B436" s="348"/>
      <c r="C436" s="313">
        <f t="shared" si="74"/>
        <v>1</v>
      </c>
      <c r="D436" s="1127"/>
      <c r="E436" s="313">
        <f t="shared" si="75"/>
        <v>0.1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v>
      </c>
      <c r="R436" s="1123">
        <f t="shared" si="82"/>
        <v>0</v>
      </c>
      <c r="S436" s="697">
        <f t="shared" si="83"/>
        <v>0</v>
      </c>
    </row>
    <row r="437" spans="1:19">
      <c r="A437" s="490"/>
      <c r="B437" s="348"/>
      <c r="C437" s="313">
        <f t="shared" si="74"/>
        <v>1</v>
      </c>
      <c r="D437" s="1127"/>
      <c r="E437" s="313">
        <f t="shared" si="75"/>
        <v>0.1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v>
      </c>
      <c r="R437" s="1123">
        <f t="shared" si="82"/>
        <v>0</v>
      </c>
      <c r="S437" s="697">
        <f t="shared" si="83"/>
        <v>0</v>
      </c>
    </row>
    <row r="438" spans="1:19">
      <c r="A438" s="490"/>
      <c r="B438" s="348"/>
      <c r="C438" s="313">
        <f t="shared" si="74"/>
        <v>1</v>
      </c>
      <c r="D438" s="1127"/>
      <c r="E438" s="313">
        <f t="shared" si="75"/>
        <v>0.1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v>
      </c>
      <c r="R438" s="1123">
        <f t="shared" si="82"/>
        <v>0</v>
      </c>
      <c r="S438" s="697">
        <f t="shared" si="83"/>
        <v>0</v>
      </c>
    </row>
    <row r="439" spans="1:19">
      <c r="A439" s="490"/>
      <c r="B439" s="348"/>
      <c r="C439" s="313">
        <f t="shared" si="74"/>
        <v>1</v>
      </c>
      <c r="D439" s="1127"/>
      <c r="E439" s="313">
        <f t="shared" si="75"/>
        <v>0.1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v>
      </c>
      <c r="R439" s="1123">
        <f t="shared" si="82"/>
        <v>0</v>
      </c>
      <c r="S439" s="697">
        <f t="shared" si="83"/>
        <v>0</v>
      </c>
    </row>
    <row r="440" spans="1:19">
      <c r="A440" s="490"/>
      <c r="B440" s="348"/>
      <c r="C440" s="313">
        <f t="shared" si="74"/>
        <v>1</v>
      </c>
      <c r="D440" s="1127"/>
      <c r="E440" s="313">
        <f t="shared" si="75"/>
        <v>0.1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v>
      </c>
      <c r="R440" s="1123">
        <f t="shared" si="82"/>
        <v>0</v>
      </c>
      <c r="S440" s="697">
        <f t="shared" si="83"/>
        <v>0</v>
      </c>
    </row>
    <row r="441" spans="1:19">
      <c r="A441" s="490"/>
      <c r="B441" s="348"/>
      <c r="C441" s="313">
        <f t="shared" si="74"/>
        <v>1</v>
      </c>
      <c r="D441" s="1127"/>
      <c r="E441" s="313">
        <f t="shared" si="75"/>
        <v>0.1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v>
      </c>
      <c r="R441" s="1123">
        <f t="shared" si="82"/>
        <v>0</v>
      </c>
      <c r="S441" s="697">
        <f t="shared" si="83"/>
        <v>0</v>
      </c>
    </row>
    <row r="442" spans="1:19">
      <c r="A442" s="490"/>
      <c r="B442" s="348"/>
      <c r="C442" s="313">
        <f t="shared" si="74"/>
        <v>1</v>
      </c>
      <c r="D442" s="1127"/>
      <c r="E442" s="313">
        <f t="shared" si="75"/>
        <v>0.1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v>
      </c>
      <c r="R442" s="1123">
        <f t="shared" si="82"/>
        <v>0</v>
      </c>
      <c r="S442" s="697">
        <f t="shared" si="83"/>
        <v>0</v>
      </c>
    </row>
    <row r="443" spans="1:19">
      <c r="A443" s="490"/>
      <c r="B443" s="348"/>
      <c r="C443" s="313">
        <f t="shared" si="74"/>
        <v>1</v>
      </c>
      <c r="D443" s="1127"/>
      <c r="E443" s="313">
        <f t="shared" si="75"/>
        <v>0.1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v>
      </c>
      <c r="R443" s="1123">
        <f t="shared" si="82"/>
        <v>0</v>
      </c>
      <c r="S443" s="697">
        <f t="shared" si="83"/>
        <v>0</v>
      </c>
    </row>
    <row r="444" spans="1:19">
      <c r="A444" s="490"/>
      <c r="B444" s="348"/>
      <c r="C444" s="313">
        <f t="shared" si="74"/>
        <v>1</v>
      </c>
      <c r="D444" s="1127"/>
      <c r="E444" s="313">
        <f t="shared" si="75"/>
        <v>0.1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v>
      </c>
      <c r="R444" s="1123">
        <f t="shared" si="82"/>
        <v>0</v>
      </c>
      <c r="S444" s="697">
        <f t="shared" si="83"/>
        <v>0</v>
      </c>
    </row>
    <row r="445" spans="1:19">
      <c r="A445" s="490"/>
      <c r="B445" s="348"/>
      <c r="C445" s="313">
        <f t="shared" si="74"/>
        <v>1</v>
      </c>
      <c r="D445" s="1127"/>
      <c r="E445" s="313">
        <f t="shared" si="75"/>
        <v>0.1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v>
      </c>
      <c r="R445" s="1123">
        <f t="shared" si="82"/>
        <v>0</v>
      </c>
      <c r="S445" s="697">
        <f t="shared" si="83"/>
        <v>0</v>
      </c>
    </row>
    <row r="446" spans="1:19">
      <c r="A446" s="490"/>
      <c r="B446" s="348"/>
      <c r="C446" s="313">
        <f t="shared" si="74"/>
        <v>1</v>
      </c>
      <c r="D446" s="1127"/>
      <c r="E446" s="313">
        <f t="shared" si="75"/>
        <v>0.1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v>
      </c>
      <c r="R446" s="1123">
        <f t="shared" si="82"/>
        <v>0</v>
      </c>
      <c r="S446" s="697">
        <f t="shared" si="83"/>
        <v>0</v>
      </c>
    </row>
    <row r="447" spans="1:19">
      <c r="A447" s="490"/>
      <c r="B447" s="348"/>
      <c r="C447" s="313">
        <f t="shared" si="74"/>
        <v>1</v>
      </c>
      <c r="D447" s="1127"/>
      <c r="E447" s="313">
        <f t="shared" si="75"/>
        <v>0.1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v>
      </c>
      <c r="R447" s="1123">
        <f t="shared" si="82"/>
        <v>0</v>
      </c>
      <c r="S447" s="697">
        <f t="shared" si="83"/>
        <v>0</v>
      </c>
    </row>
    <row r="448" spans="1:19">
      <c r="A448" s="490"/>
      <c r="B448" s="348"/>
      <c r="C448" s="313">
        <f t="shared" si="74"/>
        <v>1</v>
      </c>
      <c r="D448" s="1127"/>
      <c r="E448" s="313">
        <f t="shared" si="75"/>
        <v>0.1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v>
      </c>
      <c r="R448" s="1123">
        <f t="shared" si="82"/>
        <v>0</v>
      </c>
      <c r="S448" s="697">
        <f t="shared" si="83"/>
        <v>0</v>
      </c>
    </row>
    <row r="449" spans="1:19">
      <c r="A449" s="490"/>
      <c r="B449" s="348"/>
      <c r="C449" s="313">
        <f t="shared" si="74"/>
        <v>1</v>
      </c>
      <c r="D449" s="1127"/>
      <c r="E449" s="313">
        <f t="shared" si="75"/>
        <v>0.1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v>
      </c>
      <c r="R449" s="1123">
        <f t="shared" si="82"/>
        <v>0</v>
      </c>
      <c r="S449" s="697">
        <f t="shared" si="83"/>
        <v>0</v>
      </c>
    </row>
    <row r="450" spans="1:19">
      <c r="A450" s="490"/>
      <c r="B450" s="348"/>
      <c r="C450" s="313">
        <f t="shared" si="74"/>
        <v>1</v>
      </c>
      <c r="D450" s="1127"/>
      <c r="E450" s="313">
        <f t="shared" si="75"/>
        <v>0.1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v>
      </c>
      <c r="R450" s="1123">
        <f t="shared" si="82"/>
        <v>0</v>
      </c>
      <c r="S450" s="697">
        <f t="shared" si="83"/>
        <v>0</v>
      </c>
    </row>
    <row r="451" spans="1:19">
      <c r="A451" s="490"/>
      <c r="B451" s="348"/>
      <c r="C451" s="313">
        <f t="shared" si="74"/>
        <v>1</v>
      </c>
      <c r="D451" s="1127"/>
      <c r="E451" s="313">
        <f t="shared" si="75"/>
        <v>0.1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v>
      </c>
      <c r="R451" s="1123">
        <f t="shared" si="82"/>
        <v>0</v>
      </c>
      <c r="S451" s="697">
        <f t="shared" si="83"/>
        <v>0</v>
      </c>
    </row>
    <row r="452" spans="1:19">
      <c r="A452" s="490"/>
      <c r="B452" s="348"/>
      <c r="C452" s="313">
        <f t="shared" si="74"/>
        <v>1</v>
      </c>
      <c r="D452" s="1127"/>
      <c r="E452" s="313">
        <f t="shared" si="75"/>
        <v>0.1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v>
      </c>
      <c r="R452" s="1123">
        <f t="shared" si="82"/>
        <v>0</v>
      </c>
      <c r="S452" s="697">
        <f t="shared" si="83"/>
        <v>0</v>
      </c>
    </row>
    <row r="453" spans="1:19">
      <c r="A453" s="490"/>
      <c r="B453" s="348"/>
      <c r="C453" s="313">
        <f t="shared" si="74"/>
        <v>1</v>
      </c>
      <c r="D453" s="1127"/>
      <c r="E453" s="313">
        <f t="shared" si="75"/>
        <v>0.1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v>
      </c>
      <c r="R453" s="1123">
        <f t="shared" si="82"/>
        <v>0</v>
      </c>
      <c r="S453" s="697">
        <f t="shared" si="83"/>
        <v>0</v>
      </c>
    </row>
    <row r="454" spans="1:19">
      <c r="A454" s="490"/>
      <c r="B454" s="348"/>
      <c r="C454" s="313">
        <f t="shared" si="74"/>
        <v>1</v>
      </c>
      <c r="D454" s="1127"/>
      <c r="E454" s="313">
        <f t="shared" si="75"/>
        <v>0.1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v>
      </c>
      <c r="R454" s="1123">
        <f t="shared" si="82"/>
        <v>0</v>
      </c>
      <c r="S454" s="697">
        <f t="shared" si="83"/>
        <v>0</v>
      </c>
    </row>
    <row r="455" spans="1:19">
      <c r="A455" s="490"/>
      <c r="B455" s="348"/>
      <c r="C455" s="313">
        <f t="shared" si="74"/>
        <v>1</v>
      </c>
      <c r="D455" s="1127"/>
      <c r="E455" s="313">
        <f t="shared" si="75"/>
        <v>0.1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v>
      </c>
      <c r="R455" s="1123">
        <f t="shared" si="82"/>
        <v>0</v>
      </c>
      <c r="S455" s="697">
        <f t="shared" si="83"/>
        <v>0</v>
      </c>
    </row>
    <row r="456" spans="1:19">
      <c r="A456" s="490"/>
      <c r="B456" s="348"/>
      <c r="C456" s="313">
        <f t="shared" si="74"/>
        <v>1</v>
      </c>
      <c r="D456" s="1127"/>
      <c r="E456" s="313">
        <f t="shared" si="75"/>
        <v>0.1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v>
      </c>
      <c r="R456" s="1123">
        <f t="shared" si="82"/>
        <v>0</v>
      </c>
      <c r="S456" s="697">
        <f t="shared" si="83"/>
        <v>0</v>
      </c>
    </row>
    <row r="457" spans="1:19">
      <c r="A457" s="490"/>
      <c r="B457" s="348"/>
      <c r="C457" s="313">
        <f t="shared" si="74"/>
        <v>1</v>
      </c>
      <c r="D457" s="1127"/>
      <c r="E457" s="313">
        <f t="shared" si="75"/>
        <v>0.1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v>
      </c>
      <c r="R457" s="1123">
        <f t="shared" si="82"/>
        <v>0</v>
      </c>
      <c r="S457" s="697">
        <f t="shared" si="83"/>
        <v>0</v>
      </c>
    </row>
    <row r="458" spans="1:19">
      <c r="A458" s="490"/>
      <c r="B458" s="348"/>
      <c r="C458" s="313">
        <f t="shared" si="74"/>
        <v>1</v>
      </c>
      <c r="D458" s="1127"/>
      <c r="E458" s="313">
        <f t="shared" si="75"/>
        <v>0.1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v>
      </c>
      <c r="R458" s="1123">
        <f t="shared" si="82"/>
        <v>0</v>
      </c>
      <c r="S458" s="697">
        <f t="shared" si="83"/>
        <v>0</v>
      </c>
    </row>
    <row r="459" spans="1:19">
      <c r="A459" s="490"/>
      <c r="B459" s="348"/>
      <c r="C459" s="313">
        <f t="shared" si="74"/>
        <v>1</v>
      </c>
      <c r="D459" s="1127"/>
      <c r="E459" s="313">
        <f t="shared" si="75"/>
        <v>0.1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v>
      </c>
      <c r="R459" s="1123">
        <f t="shared" si="82"/>
        <v>0</v>
      </c>
      <c r="S459" s="697">
        <f t="shared" si="83"/>
        <v>0</v>
      </c>
    </row>
    <row r="460" spans="1:19">
      <c r="A460" s="490"/>
      <c r="B460" s="348"/>
      <c r="C460" s="313">
        <f t="shared" si="74"/>
        <v>1</v>
      </c>
      <c r="D460" s="1127"/>
      <c r="E460" s="313">
        <f t="shared" si="75"/>
        <v>0.1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v>
      </c>
      <c r="R460" s="1123">
        <f t="shared" si="82"/>
        <v>0</v>
      </c>
      <c r="S460" s="697">
        <f t="shared" si="83"/>
        <v>0</v>
      </c>
    </row>
    <row r="461" spans="1:19">
      <c r="A461" s="490"/>
      <c r="B461" s="348"/>
      <c r="C461" s="313">
        <f t="shared" si="74"/>
        <v>1</v>
      </c>
      <c r="D461" s="1127"/>
      <c r="E461" s="313">
        <f t="shared" si="75"/>
        <v>0.1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v>
      </c>
      <c r="R461" s="1123">
        <f t="shared" si="82"/>
        <v>0</v>
      </c>
      <c r="S461" s="697">
        <f t="shared" si="83"/>
        <v>0</v>
      </c>
    </row>
    <row r="462" spans="1:19">
      <c r="A462" s="490"/>
      <c r="B462" s="348"/>
      <c r="C462" s="313">
        <f t="shared" si="74"/>
        <v>1</v>
      </c>
      <c r="D462" s="1127"/>
      <c r="E462" s="313">
        <f t="shared" si="75"/>
        <v>0.1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v>
      </c>
      <c r="R462" s="1123">
        <f t="shared" si="82"/>
        <v>0</v>
      </c>
      <c r="S462" s="697">
        <f t="shared" si="83"/>
        <v>0</v>
      </c>
    </row>
    <row r="463" spans="1:19">
      <c r="A463" s="490"/>
      <c r="B463" s="348"/>
      <c r="C463" s="313">
        <f t="shared" si="74"/>
        <v>1</v>
      </c>
      <c r="D463" s="1127"/>
      <c r="E463" s="313">
        <f t="shared" si="75"/>
        <v>0.1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v>
      </c>
      <c r="R463" s="1123">
        <f t="shared" si="82"/>
        <v>0</v>
      </c>
      <c r="S463" s="697">
        <f t="shared" si="83"/>
        <v>0</v>
      </c>
    </row>
    <row r="464" spans="1:19">
      <c r="A464" s="490"/>
      <c r="B464" s="348"/>
      <c r="C464" s="313">
        <f t="shared" si="74"/>
        <v>1</v>
      </c>
      <c r="D464" s="1127"/>
      <c r="E464" s="313">
        <f t="shared" si="75"/>
        <v>0.1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v>
      </c>
      <c r="R464" s="1123">
        <f t="shared" si="82"/>
        <v>0</v>
      </c>
      <c r="S464" s="697">
        <f t="shared" si="83"/>
        <v>0</v>
      </c>
    </row>
    <row r="465" spans="1:19">
      <c r="A465" s="490"/>
      <c r="B465" s="348"/>
      <c r="C465" s="313">
        <f t="shared" si="74"/>
        <v>1</v>
      </c>
      <c r="D465" s="1127"/>
      <c r="E465" s="313">
        <f t="shared" si="75"/>
        <v>0.1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v>
      </c>
      <c r="R465" s="1123">
        <f t="shared" si="82"/>
        <v>0</v>
      </c>
      <c r="S465" s="697">
        <f t="shared" si="83"/>
        <v>0</v>
      </c>
    </row>
    <row r="466" spans="1:19">
      <c r="A466" s="490"/>
      <c r="B466" s="348"/>
      <c r="C466" s="313">
        <f t="shared" si="74"/>
        <v>1</v>
      </c>
      <c r="D466" s="1127"/>
      <c r="E466" s="313">
        <f t="shared" si="75"/>
        <v>0.1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v>
      </c>
      <c r="R466" s="1123">
        <f t="shared" si="82"/>
        <v>0</v>
      </c>
      <c r="S466" s="697">
        <f t="shared" si="83"/>
        <v>0</v>
      </c>
    </row>
    <row r="467" spans="1:19">
      <c r="A467" s="490"/>
      <c r="B467" s="348"/>
      <c r="C467" s="313">
        <f t="shared" si="74"/>
        <v>1</v>
      </c>
      <c r="D467" s="1127"/>
      <c r="E467" s="313">
        <f t="shared" si="75"/>
        <v>0.1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v>
      </c>
      <c r="R467" s="1123">
        <f t="shared" si="82"/>
        <v>0</v>
      </c>
      <c r="S467" s="697">
        <f t="shared" si="83"/>
        <v>0</v>
      </c>
    </row>
    <row r="468" spans="1:19">
      <c r="A468" s="490"/>
      <c r="B468" s="348"/>
      <c r="C468" s="313">
        <f t="shared" si="74"/>
        <v>1</v>
      </c>
      <c r="D468" s="1127"/>
      <c r="E468" s="313">
        <f t="shared" si="75"/>
        <v>0.1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v>
      </c>
      <c r="R468" s="1123">
        <f t="shared" si="82"/>
        <v>0</v>
      </c>
      <c r="S468" s="697">
        <f t="shared" ref="S468:S497" si="84">ROUND(R468*B468/10000,0)</f>
        <v>0</v>
      </c>
    </row>
    <row r="469" spans="1:19">
      <c r="A469" s="490"/>
      <c r="B469" s="348"/>
      <c r="C469" s="313">
        <f t="shared" si="74"/>
        <v>1</v>
      </c>
      <c r="D469" s="1127"/>
      <c r="E469" s="313">
        <f t="shared" si="75"/>
        <v>0.1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v>
      </c>
      <c r="R469" s="1123">
        <f t="shared" si="82"/>
        <v>0</v>
      </c>
      <c r="S469" s="697">
        <f t="shared" si="84"/>
        <v>0</v>
      </c>
    </row>
    <row r="470" spans="1:19">
      <c r="A470" s="490"/>
      <c r="B470" s="348"/>
      <c r="C470" s="313">
        <f t="shared" si="74"/>
        <v>1</v>
      </c>
      <c r="D470" s="1127"/>
      <c r="E470" s="313">
        <f t="shared" si="75"/>
        <v>0.1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v>
      </c>
      <c r="R470" s="1123">
        <f t="shared" si="82"/>
        <v>0</v>
      </c>
      <c r="S470" s="697">
        <f t="shared" si="84"/>
        <v>0</v>
      </c>
    </row>
    <row r="471" spans="1:19">
      <c r="A471" s="490"/>
      <c r="B471" s="348"/>
      <c r="C471" s="313">
        <f t="shared" si="74"/>
        <v>1</v>
      </c>
      <c r="D471" s="1127"/>
      <c r="E471" s="313">
        <f t="shared" si="75"/>
        <v>0.1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v>
      </c>
      <c r="R471" s="1123">
        <f t="shared" si="82"/>
        <v>0</v>
      </c>
      <c r="S471" s="697">
        <f t="shared" si="84"/>
        <v>0</v>
      </c>
    </row>
    <row r="472" spans="1:19">
      <c r="A472" s="490"/>
      <c r="B472" s="348"/>
      <c r="C472" s="313">
        <f t="shared" si="74"/>
        <v>1</v>
      </c>
      <c r="D472" s="1127"/>
      <c r="E472" s="313">
        <f t="shared" si="75"/>
        <v>0.1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v>
      </c>
      <c r="R472" s="1123">
        <f t="shared" si="82"/>
        <v>0</v>
      </c>
      <c r="S472" s="697">
        <f t="shared" si="84"/>
        <v>0</v>
      </c>
    </row>
    <row r="473" spans="1:19">
      <c r="A473" s="490"/>
      <c r="B473" s="348"/>
      <c r="C473" s="313">
        <f t="shared" si="74"/>
        <v>1</v>
      </c>
      <c r="D473" s="1127"/>
      <c r="E473" s="313">
        <f t="shared" si="75"/>
        <v>0.1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0.1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v>
      </c>
      <c r="R474" s="1123">
        <f t="shared" ref="R474:R524" si="93">IF(B474="",0,ROUND($R$24*C474*E474*G474*I474*K474*M474*O474*Q474,0))</f>
        <v>0</v>
      </c>
      <c r="S474" s="697">
        <f t="shared" si="84"/>
        <v>0</v>
      </c>
    </row>
    <row r="475" spans="1:19">
      <c r="A475" s="490"/>
      <c r="B475" s="348"/>
      <c r="C475" s="313">
        <f t="shared" si="85"/>
        <v>1</v>
      </c>
      <c r="D475" s="1127"/>
      <c r="E475" s="313">
        <f t="shared" si="86"/>
        <v>0.1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v>
      </c>
      <c r="R475" s="1123">
        <f t="shared" si="93"/>
        <v>0</v>
      </c>
      <c r="S475" s="697">
        <f t="shared" si="84"/>
        <v>0</v>
      </c>
    </row>
    <row r="476" spans="1:19">
      <c r="A476" s="490"/>
      <c r="B476" s="348"/>
      <c r="C476" s="313">
        <f t="shared" si="85"/>
        <v>1</v>
      </c>
      <c r="D476" s="1127"/>
      <c r="E476" s="313">
        <f t="shared" si="86"/>
        <v>0.1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v>
      </c>
      <c r="R476" s="1123">
        <f t="shared" si="93"/>
        <v>0</v>
      </c>
      <c r="S476" s="697">
        <f t="shared" si="84"/>
        <v>0</v>
      </c>
    </row>
    <row r="477" spans="1:19">
      <c r="A477" s="490"/>
      <c r="B477" s="348"/>
      <c r="C477" s="313">
        <f t="shared" si="85"/>
        <v>1</v>
      </c>
      <c r="D477" s="1127"/>
      <c r="E477" s="313">
        <f t="shared" si="86"/>
        <v>0.1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v>
      </c>
      <c r="R477" s="1123">
        <f t="shared" si="93"/>
        <v>0</v>
      </c>
      <c r="S477" s="697">
        <f t="shared" si="84"/>
        <v>0</v>
      </c>
    </row>
    <row r="478" spans="1:19">
      <c r="A478" s="490"/>
      <c r="B478" s="348"/>
      <c r="C478" s="313">
        <f t="shared" si="85"/>
        <v>1</v>
      </c>
      <c r="D478" s="1127"/>
      <c r="E478" s="313">
        <f t="shared" si="86"/>
        <v>0.1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v>
      </c>
      <c r="R478" s="1123">
        <f t="shared" si="93"/>
        <v>0</v>
      </c>
      <c r="S478" s="697">
        <f t="shared" si="84"/>
        <v>0</v>
      </c>
    </row>
    <row r="479" spans="1:19">
      <c r="A479" s="490"/>
      <c r="B479" s="348"/>
      <c r="C479" s="313">
        <f t="shared" si="85"/>
        <v>1</v>
      </c>
      <c r="D479" s="1127"/>
      <c r="E479" s="313">
        <f t="shared" si="86"/>
        <v>0.1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v>
      </c>
      <c r="R479" s="1123">
        <f t="shared" si="93"/>
        <v>0</v>
      </c>
      <c r="S479" s="697">
        <f t="shared" si="84"/>
        <v>0</v>
      </c>
    </row>
    <row r="480" spans="1:19">
      <c r="A480" s="490"/>
      <c r="B480" s="348"/>
      <c r="C480" s="313">
        <f t="shared" si="85"/>
        <v>1</v>
      </c>
      <c r="D480" s="1127"/>
      <c r="E480" s="313">
        <f t="shared" si="86"/>
        <v>0.1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v>
      </c>
      <c r="R480" s="1123">
        <f t="shared" si="93"/>
        <v>0</v>
      </c>
      <c r="S480" s="697">
        <f t="shared" si="84"/>
        <v>0</v>
      </c>
    </row>
    <row r="481" spans="1:19">
      <c r="A481" s="490"/>
      <c r="B481" s="348"/>
      <c r="C481" s="313">
        <f t="shared" si="85"/>
        <v>1</v>
      </c>
      <c r="D481" s="1127"/>
      <c r="E481" s="313">
        <f t="shared" si="86"/>
        <v>0.1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v>
      </c>
      <c r="R481" s="1123">
        <f t="shared" si="93"/>
        <v>0</v>
      </c>
      <c r="S481" s="697">
        <f t="shared" si="84"/>
        <v>0</v>
      </c>
    </row>
    <row r="482" spans="1:19">
      <c r="A482" s="490"/>
      <c r="B482" s="348"/>
      <c r="C482" s="313">
        <f t="shared" si="85"/>
        <v>1</v>
      </c>
      <c r="D482" s="1127"/>
      <c r="E482" s="313">
        <f t="shared" si="86"/>
        <v>0.1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v>
      </c>
      <c r="R482" s="1123">
        <f t="shared" si="93"/>
        <v>0</v>
      </c>
      <c r="S482" s="697">
        <f t="shared" si="84"/>
        <v>0</v>
      </c>
    </row>
    <row r="483" spans="1:19">
      <c r="A483" s="490"/>
      <c r="B483" s="348"/>
      <c r="C483" s="313">
        <f t="shared" si="85"/>
        <v>1</v>
      </c>
      <c r="D483" s="1127"/>
      <c r="E483" s="313">
        <f t="shared" si="86"/>
        <v>0.1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v>
      </c>
      <c r="R483" s="1123">
        <f t="shared" si="93"/>
        <v>0</v>
      </c>
      <c r="S483" s="697">
        <f t="shared" si="84"/>
        <v>0</v>
      </c>
    </row>
    <row r="484" spans="1:19">
      <c r="A484" s="490"/>
      <c r="B484" s="348"/>
      <c r="C484" s="313">
        <f t="shared" si="85"/>
        <v>1</v>
      </c>
      <c r="D484" s="1127"/>
      <c r="E484" s="313">
        <f t="shared" si="86"/>
        <v>0.1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v>
      </c>
      <c r="R484" s="1123">
        <f t="shared" si="93"/>
        <v>0</v>
      </c>
      <c r="S484" s="697">
        <f t="shared" si="84"/>
        <v>0</v>
      </c>
    </row>
    <row r="485" spans="1:19">
      <c r="A485" s="490"/>
      <c r="B485" s="348"/>
      <c r="C485" s="313">
        <f t="shared" si="85"/>
        <v>1</v>
      </c>
      <c r="D485" s="1127"/>
      <c r="E485" s="313">
        <f t="shared" si="86"/>
        <v>0.1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v>
      </c>
      <c r="R485" s="1123">
        <f t="shared" si="93"/>
        <v>0</v>
      </c>
      <c r="S485" s="697">
        <f t="shared" si="84"/>
        <v>0</v>
      </c>
    </row>
    <row r="486" spans="1:19">
      <c r="A486" s="490"/>
      <c r="B486" s="348"/>
      <c r="C486" s="313">
        <f t="shared" si="85"/>
        <v>1</v>
      </c>
      <c r="D486" s="1127"/>
      <c r="E486" s="313">
        <f t="shared" si="86"/>
        <v>0.1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v>
      </c>
      <c r="R486" s="1123">
        <f t="shared" si="93"/>
        <v>0</v>
      </c>
      <c r="S486" s="697">
        <f t="shared" si="84"/>
        <v>0</v>
      </c>
    </row>
    <row r="487" spans="1:19">
      <c r="A487" s="490"/>
      <c r="B487" s="348"/>
      <c r="C487" s="313">
        <f t="shared" si="85"/>
        <v>1</v>
      </c>
      <c r="D487" s="1127"/>
      <c r="E487" s="313">
        <f t="shared" si="86"/>
        <v>0.1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v>
      </c>
      <c r="R487" s="1123">
        <f t="shared" si="93"/>
        <v>0</v>
      </c>
      <c r="S487" s="697">
        <f t="shared" si="84"/>
        <v>0</v>
      </c>
    </row>
    <row r="488" spans="1:19">
      <c r="A488" s="490"/>
      <c r="B488" s="348"/>
      <c r="C488" s="313">
        <f t="shared" si="85"/>
        <v>1</v>
      </c>
      <c r="D488" s="1127"/>
      <c r="E488" s="313">
        <f t="shared" si="86"/>
        <v>0.1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v>
      </c>
      <c r="R488" s="1123">
        <f t="shared" si="93"/>
        <v>0</v>
      </c>
      <c r="S488" s="697">
        <f t="shared" si="84"/>
        <v>0</v>
      </c>
    </row>
    <row r="489" spans="1:19">
      <c r="A489" s="490"/>
      <c r="B489" s="348"/>
      <c r="C489" s="313">
        <f t="shared" si="85"/>
        <v>1</v>
      </c>
      <c r="D489" s="1127"/>
      <c r="E489" s="313">
        <f t="shared" si="86"/>
        <v>0.1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v>
      </c>
      <c r="R489" s="1123">
        <f t="shared" si="93"/>
        <v>0</v>
      </c>
      <c r="S489" s="697">
        <f t="shared" si="84"/>
        <v>0</v>
      </c>
    </row>
    <row r="490" spans="1:19">
      <c r="A490" s="490"/>
      <c r="B490" s="348"/>
      <c r="C490" s="313">
        <f t="shared" si="85"/>
        <v>1</v>
      </c>
      <c r="D490" s="1127"/>
      <c r="E490" s="313">
        <f t="shared" si="86"/>
        <v>0.1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v>
      </c>
      <c r="R490" s="1123">
        <f t="shared" si="93"/>
        <v>0</v>
      </c>
      <c r="S490" s="697">
        <f t="shared" si="84"/>
        <v>0</v>
      </c>
    </row>
    <row r="491" spans="1:19">
      <c r="A491" s="490"/>
      <c r="B491" s="348"/>
      <c r="C491" s="313">
        <f t="shared" si="85"/>
        <v>1</v>
      </c>
      <c r="D491" s="1127"/>
      <c r="E491" s="313">
        <f t="shared" si="86"/>
        <v>0.1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v>
      </c>
      <c r="R491" s="1123">
        <f t="shared" si="93"/>
        <v>0</v>
      </c>
      <c r="S491" s="697">
        <f t="shared" si="84"/>
        <v>0</v>
      </c>
    </row>
    <row r="492" spans="1:19">
      <c r="A492" s="490"/>
      <c r="B492" s="348"/>
      <c r="C492" s="313">
        <f t="shared" si="85"/>
        <v>1</v>
      </c>
      <c r="D492" s="1127"/>
      <c r="E492" s="313">
        <f t="shared" si="86"/>
        <v>0.1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v>
      </c>
      <c r="R492" s="1123">
        <f t="shared" si="93"/>
        <v>0</v>
      </c>
      <c r="S492" s="697">
        <f t="shared" si="84"/>
        <v>0</v>
      </c>
    </row>
    <row r="493" spans="1:19">
      <c r="A493" s="490"/>
      <c r="B493" s="348"/>
      <c r="C493" s="313">
        <f t="shared" si="85"/>
        <v>1</v>
      </c>
      <c r="D493" s="1127"/>
      <c r="E493" s="313">
        <f t="shared" si="86"/>
        <v>0.1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v>
      </c>
      <c r="R493" s="1123">
        <f t="shared" si="93"/>
        <v>0</v>
      </c>
      <c r="S493" s="697">
        <f t="shared" si="84"/>
        <v>0</v>
      </c>
    </row>
    <row r="494" spans="1:19">
      <c r="A494" s="490"/>
      <c r="B494" s="348"/>
      <c r="C494" s="313">
        <f t="shared" si="85"/>
        <v>1</v>
      </c>
      <c r="D494" s="1127"/>
      <c r="E494" s="313">
        <f t="shared" si="86"/>
        <v>0.1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v>
      </c>
      <c r="R494" s="1123">
        <f t="shared" si="93"/>
        <v>0</v>
      </c>
      <c r="S494" s="697">
        <f t="shared" si="84"/>
        <v>0</v>
      </c>
    </row>
    <row r="495" spans="1:19">
      <c r="A495" s="490"/>
      <c r="B495" s="348"/>
      <c r="C495" s="313">
        <f t="shared" si="85"/>
        <v>1</v>
      </c>
      <c r="D495" s="1127"/>
      <c r="E495" s="313">
        <f t="shared" si="86"/>
        <v>0.1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v>
      </c>
      <c r="R495" s="1123">
        <f t="shared" si="93"/>
        <v>0</v>
      </c>
      <c r="S495" s="697">
        <f t="shared" si="84"/>
        <v>0</v>
      </c>
    </row>
    <row r="496" spans="1:19">
      <c r="A496" s="490"/>
      <c r="B496" s="348"/>
      <c r="C496" s="313">
        <f t="shared" si="85"/>
        <v>1</v>
      </c>
      <c r="D496" s="1127"/>
      <c r="E496" s="313">
        <f t="shared" si="86"/>
        <v>0.1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v>
      </c>
      <c r="R496" s="1123">
        <f t="shared" si="93"/>
        <v>0</v>
      </c>
      <c r="S496" s="697">
        <f t="shared" si="84"/>
        <v>0</v>
      </c>
    </row>
    <row r="497" spans="1:19">
      <c r="A497" s="490"/>
      <c r="B497" s="348"/>
      <c r="C497" s="313">
        <f t="shared" si="85"/>
        <v>1</v>
      </c>
      <c r="D497" s="1127"/>
      <c r="E497" s="313">
        <f t="shared" si="86"/>
        <v>0.1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v>
      </c>
      <c r="R497" s="1123">
        <f t="shared" si="93"/>
        <v>0</v>
      </c>
      <c r="S497" s="697">
        <f t="shared" si="84"/>
        <v>0</v>
      </c>
    </row>
    <row r="498" spans="1:19">
      <c r="A498" s="490"/>
      <c r="B498" s="348"/>
      <c r="C498" s="313">
        <f t="shared" si="85"/>
        <v>1</v>
      </c>
      <c r="D498" s="1127"/>
      <c r="E498" s="313">
        <f t="shared" si="86"/>
        <v>0.1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v>
      </c>
      <c r="R498" s="1123">
        <f t="shared" si="93"/>
        <v>0</v>
      </c>
      <c r="S498" s="697">
        <f t="shared" ref="S498:S524" si="94">ROUND(R498*B498/10000,0)</f>
        <v>0</v>
      </c>
    </row>
    <row r="499" spans="1:19">
      <c r="A499" s="490"/>
      <c r="B499" s="348"/>
      <c r="C499" s="313">
        <f t="shared" si="85"/>
        <v>1</v>
      </c>
      <c r="D499" s="1127"/>
      <c r="E499" s="313">
        <f t="shared" si="86"/>
        <v>0.1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v>
      </c>
      <c r="R499" s="1123">
        <f t="shared" si="93"/>
        <v>0</v>
      </c>
      <c r="S499" s="697">
        <f t="shared" si="94"/>
        <v>0</v>
      </c>
    </row>
    <row r="500" spans="1:19">
      <c r="A500" s="490"/>
      <c r="B500" s="348"/>
      <c r="C500" s="313">
        <f t="shared" si="85"/>
        <v>1</v>
      </c>
      <c r="D500" s="1127"/>
      <c r="E500" s="313">
        <f t="shared" si="86"/>
        <v>0.1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v>
      </c>
      <c r="R500" s="1123">
        <f t="shared" si="93"/>
        <v>0</v>
      </c>
      <c r="S500" s="697">
        <f t="shared" si="94"/>
        <v>0</v>
      </c>
    </row>
    <row r="501" spans="1:19">
      <c r="A501" s="490"/>
      <c r="B501" s="348"/>
      <c r="C501" s="313">
        <f t="shared" si="85"/>
        <v>1</v>
      </c>
      <c r="D501" s="1127"/>
      <c r="E501" s="313">
        <f t="shared" si="86"/>
        <v>0.1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v>
      </c>
      <c r="R501" s="1123">
        <f t="shared" si="93"/>
        <v>0</v>
      </c>
      <c r="S501" s="697">
        <f t="shared" si="94"/>
        <v>0</v>
      </c>
    </row>
    <row r="502" spans="1:19">
      <c r="A502" s="490"/>
      <c r="B502" s="348"/>
      <c r="C502" s="313">
        <f t="shared" si="85"/>
        <v>1</v>
      </c>
      <c r="D502" s="1127"/>
      <c r="E502" s="313">
        <f t="shared" si="86"/>
        <v>0.1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v>
      </c>
      <c r="R502" s="1123">
        <f t="shared" si="93"/>
        <v>0</v>
      </c>
      <c r="S502" s="697">
        <f t="shared" si="94"/>
        <v>0</v>
      </c>
    </row>
    <row r="503" spans="1:19">
      <c r="A503" s="490"/>
      <c r="B503" s="348"/>
      <c r="C503" s="313">
        <f t="shared" si="85"/>
        <v>1</v>
      </c>
      <c r="D503" s="1127"/>
      <c r="E503" s="313">
        <f t="shared" si="86"/>
        <v>0.1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v>
      </c>
      <c r="R503" s="1123">
        <f t="shared" si="93"/>
        <v>0</v>
      </c>
      <c r="S503" s="697">
        <f t="shared" si="94"/>
        <v>0</v>
      </c>
    </row>
    <row r="504" spans="1:19">
      <c r="A504" s="490"/>
      <c r="B504" s="348"/>
      <c r="C504" s="313">
        <f t="shared" si="85"/>
        <v>1</v>
      </c>
      <c r="D504" s="1127"/>
      <c r="E504" s="313">
        <f t="shared" si="86"/>
        <v>0.1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v>
      </c>
      <c r="R504" s="1123">
        <f t="shared" si="93"/>
        <v>0</v>
      </c>
      <c r="S504" s="697">
        <f t="shared" si="94"/>
        <v>0</v>
      </c>
    </row>
    <row r="505" spans="1:19">
      <c r="A505" s="490"/>
      <c r="B505" s="348"/>
      <c r="C505" s="313">
        <f t="shared" si="85"/>
        <v>1</v>
      </c>
      <c r="D505" s="1127"/>
      <c r="E505" s="313">
        <f t="shared" si="86"/>
        <v>0.1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v>
      </c>
      <c r="R505" s="1123">
        <f t="shared" si="93"/>
        <v>0</v>
      </c>
      <c r="S505" s="697">
        <f t="shared" si="94"/>
        <v>0</v>
      </c>
    </row>
    <row r="506" spans="1:19">
      <c r="A506" s="490"/>
      <c r="B506" s="348"/>
      <c r="C506" s="313">
        <f t="shared" si="85"/>
        <v>1</v>
      </c>
      <c r="D506" s="1127"/>
      <c r="E506" s="313">
        <f t="shared" si="86"/>
        <v>0.1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v>
      </c>
      <c r="R506" s="1123">
        <f t="shared" si="93"/>
        <v>0</v>
      </c>
      <c r="S506" s="697">
        <f t="shared" si="94"/>
        <v>0</v>
      </c>
    </row>
    <row r="507" spans="1:19">
      <c r="A507" s="490"/>
      <c r="B507" s="348"/>
      <c r="C507" s="313">
        <f t="shared" si="85"/>
        <v>1</v>
      </c>
      <c r="D507" s="1127"/>
      <c r="E507" s="313">
        <f t="shared" si="86"/>
        <v>0.1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v>
      </c>
      <c r="R507" s="1123">
        <f t="shared" si="93"/>
        <v>0</v>
      </c>
      <c r="S507" s="697">
        <f t="shared" si="94"/>
        <v>0</v>
      </c>
    </row>
    <row r="508" spans="1:19">
      <c r="A508" s="490"/>
      <c r="B508" s="348"/>
      <c r="C508" s="313">
        <f t="shared" si="85"/>
        <v>1</v>
      </c>
      <c r="D508" s="1127"/>
      <c r="E508" s="313">
        <f t="shared" si="86"/>
        <v>0.1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v>
      </c>
      <c r="R508" s="1123">
        <f t="shared" si="93"/>
        <v>0</v>
      </c>
      <c r="S508" s="697">
        <f t="shared" si="94"/>
        <v>0</v>
      </c>
    </row>
    <row r="509" spans="1:19">
      <c r="A509" s="490"/>
      <c r="B509" s="348"/>
      <c r="C509" s="313">
        <f t="shared" si="85"/>
        <v>1</v>
      </c>
      <c r="D509" s="1127"/>
      <c r="E509" s="313">
        <f t="shared" si="86"/>
        <v>0.1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v>
      </c>
      <c r="R509" s="1123">
        <f t="shared" si="93"/>
        <v>0</v>
      </c>
      <c r="S509" s="697">
        <f t="shared" si="94"/>
        <v>0</v>
      </c>
    </row>
    <row r="510" spans="1:19">
      <c r="A510" s="490"/>
      <c r="B510" s="348"/>
      <c r="C510" s="313">
        <f t="shared" si="85"/>
        <v>1</v>
      </c>
      <c r="D510" s="1127"/>
      <c r="E510" s="313">
        <f t="shared" si="86"/>
        <v>0.1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v>
      </c>
      <c r="R510" s="1123">
        <f t="shared" si="93"/>
        <v>0</v>
      </c>
      <c r="S510" s="697">
        <f t="shared" si="94"/>
        <v>0</v>
      </c>
    </row>
    <row r="511" spans="1:19">
      <c r="A511" s="490"/>
      <c r="B511" s="348"/>
      <c r="C511" s="313">
        <f t="shared" si="85"/>
        <v>1</v>
      </c>
      <c r="D511" s="1127"/>
      <c r="E511" s="313">
        <f t="shared" si="86"/>
        <v>0.1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v>
      </c>
      <c r="R511" s="1123">
        <f t="shared" si="93"/>
        <v>0</v>
      </c>
      <c r="S511" s="697">
        <f t="shared" si="94"/>
        <v>0</v>
      </c>
    </row>
    <row r="512" spans="1:19">
      <c r="A512" s="490"/>
      <c r="B512" s="348"/>
      <c r="C512" s="313">
        <f t="shared" si="85"/>
        <v>1</v>
      </c>
      <c r="D512" s="1127"/>
      <c r="E512" s="313">
        <f t="shared" si="86"/>
        <v>0.1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v>
      </c>
      <c r="R512" s="1123">
        <f t="shared" si="93"/>
        <v>0</v>
      </c>
      <c r="S512" s="697">
        <f t="shared" si="94"/>
        <v>0</v>
      </c>
    </row>
    <row r="513" spans="1:19">
      <c r="A513" s="490"/>
      <c r="B513" s="348"/>
      <c r="C513" s="313">
        <f t="shared" si="85"/>
        <v>1</v>
      </c>
      <c r="D513" s="1127"/>
      <c r="E513" s="313">
        <f t="shared" si="86"/>
        <v>0.1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v>
      </c>
      <c r="R513" s="1123">
        <f t="shared" si="93"/>
        <v>0</v>
      </c>
      <c r="S513" s="697">
        <f t="shared" si="94"/>
        <v>0</v>
      </c>
    </row>
    <row r="514" spans="1:19">
      <c r="A514" s="490"/>
      <c r="B514" s="348"/>
      <c r="C514" s="313">
        <f t="shared" si="85"/>
        <v>1</v>
      </c>
      <c r="D514" s="1127"/>
      <c r="E514" s="313">
        <f t="shared" si="86"/>
        <v>0.1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v>
      </c>
      <c r="R514" s="1123">
        <f t="shared" si="93"/>
        <v>0</v>
      </c>
      <c r="S514" s="697">
        <f t="shared" si="94"/>
        <v>0</v>
      </c>
    </row>
    <row r="515" spans="1:19">
      <c r="A515" s="490"/>
      <c r="B515" s="348"/>
      <c r="C515" s="313">
        <f t="shared" si="85"/>
        <v>1</v>
      </c>
      <c r="D515" s="1127"/>
      <c r="E515" s="313">
        <f t="shared" si="86"/>
        <v>0.1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v>
      </c>
      <c r="R515" s="1123">
        <f t="shared" si="93"/>
        <v>0</v>
      </c>
      <c r="S515" s="697">
        <f t="shared" si="94"/>
        <v>0</v>
      </c>
    </row>
    <row r="516" spans="1:19">
      <c r="A516" s="490"/>
      <c r="B516" s="348"/>
      <c r="C516" s="313">
        <f t="shared" si="85"/>
        <v>1</v>
      </c>
      <c r="D516" s="1127"/>
      <c r="E516" s="313">
        <f t="shared" si="86"/>
        <v>0.1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v>
      </c>
      <c r="R516" s="1123">
        <f t="shared" si="93"/>
        <v>0</v>
      </c>
      <c r="S516" s="697">
        <f t="shared" si="94"/>
        <v>0</v>
      </c>
    </row>
    <row r="517" spans="1:19">
      <c r="A517" s="490"/>
      <c r="B517" s="348"/>
      <c r="C517" s="313">
        <f t="shared" si="85"/>
        <v>1</v>
      </c>
      <c r="D517" s="1127"/>
      <c r="E517" s="313">
        <f t="shared" si="86"/>
        <v>0.1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v>
      </c>
      <c r="R517" s="1123">
        <f t="shared" si="93"/>
        <v>0</v>
      </c>
      <c r="S517" s="697">
        <f t="shared" si="94"/>
        <v>0</v>
      </c>
    </row>
    <row r="518" spans="1:19">
      <c r="A518" s="490"/>
      <c r="B518" s="348"/>
      <c r="C518" s="313">
        <f t="shared" si="85"/>
        <v>1</v>
      </c>
      <c r="D518" s="1127"/>
      <c r="E518" s="313">
        <f t="shared" si="86"/>
        <v>0.1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v>
      </c>
      <c r="R518" s="1123">
        <f t="shared" si="93"/>
        <v>0</v>
      </c>
      <c r="S518" s="697">
        <f t="shared" si="94"/>
        <v>0</v>
      </c>
    </row>
    <row r="519" spans="1:19">
      <c r="A519" s="490"/>
      <c r="B519" s="348"/>
      <c r="C519" s="313">
        <f t="shared" si="85"/>
        <v>1</v>
      </c>
      <c r="D519" s="1127"/>
      <c r="E519" s="313">
        <f t="shared" si="86"/>
        <v>0.1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v>
      </c>
      <c r="R519" s="1123">
        <f t="shared" si="93"/>
        <v>0</v>
      </c>
      <c r="S519" s="697">
        <f t="shared" si="94"/>
        <v>0</v>
      </c>
    </row>
    <row r="520" spans="1:19">
      <c r="A520" s="490"/>
      <c r="B520" s="348"/>
      <c r="C520" s="313">
        <f t="shared" si="85"/>
        <v>1</v>
      </c>
      <c r="D520" s="1127"/>
      <c r="E520" s="313">
        <f t="shared" si="86"/>
        <v>0.1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v>
      </c>
      <c r="R520" s="1123">
        <f t="shared" si="93"/>
        <v>0</v>
      </c>
      <c r="S520" s="697">
        <f t="shared" si="94"/>
        <v>0</v>
      </c>
    </row>
    <row r="521" spans="1:19">
      <c r="A521" s="490"/>
      <c r="B521" s="348"/>
      <c r="C521" s="313">
        <f t="shared" si="85"/>
        <v>1</v>
      </c>
      <c r="D521" s="1127"/>
      <c r="E521" s="313">
        <f t="shared" si="86"/>
        <v>0.1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v>
      </c>
      <c r="R521" s="1123">
        <f t="shared" si="93"/>
        <v>0</v>
      </c>
      <c r="S521" s="697">
        <f t="shared" si="94"/>
        <v>0</v>
      </c>
    </row>
    <row r="522" spans="1:19">
      <c r="A522" s="490"/>
      <c r="B522" s="348"/>
      <c r="C522" s="313">
        <f t="shared" si="85"/>
        <v>1</v>
      </c>
      <c r="D522" s="1127"/>
      <c r="E522" s="313">
        <f t="shared" si="86"/>
        <v>0.1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v>
      </c>
      <c r="R522" s="1123">
        <f t="shared" si="93"/>
        <v>0</v>
      </c>
      <c r="S522" s="697">
        <f t="shared" si="94"/>
        <v>0</v>
      </c>
    </row>
    <row r="523" spans="1:19">
      <c r="A523" s="490"/>
      <c r="B523" s="348"/>
      <c r="C523" s="313">
        <f t="shared" si="85"/>
        <v>1</v>
      </c>
      <c r="D523" s="1127"/>
      <c r="E523" s="313">
        <f t="shared" si="86"/>
        <v>0.1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v>
      </c>
      <c r="R523" s="1123">
        <f t="shared" si="93"/>
        <v>0</v>
      </c>
      <c r="S523" s="697">
        <f t="shared" si="94"/>
        <v>0</v>
      </c>
    </row>
    <row r="524" spans="1:19">
      <c r="A524" s="490"/>
      <c r="B524" s="348"/>
      <c r="C524" s="313">
        <f t="shared" si="85"/>
        <v>1</v>
      </c>
      <c r="D524" s="1127"/>
      <c r="E524" s="313">
        <f t="shared" si="86"/>
        <v>0.1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3" sqref="D3:D7"/>
    </sheetView>
  </sheetViews>
  <sheetFormatPr defaultRowHeight="13.5"/>
  <cols>
    <col min="2" max="2" width="50.75" customWidth="1"/>
  </cols>
  <sheetData>
    <row r="1" spans="1:4" ht="27" customHeight="1">
      <c r="A1" s="3377" t="s">
        <v>3172</v>
      </c>
      <c r="B1" s="3377" t="s">
        <v>3173</v>
      </c>
      <c r="C1" s="3377" t="s">
        <v>3175</v>
      </c>
      <c r="D1" s="3377" t="s">
        <v>3174</v>
      </c>
    </row>
    <row r="2" spans="1:4" ht="27">
      <c r="A2" s="3375">
        <v>1</v>
      </c>
      <c r="B2" s="3376" t="s">
        <v>3176</v>
      </c>
      <c r="C2" s="3374" t="s">
        <v>3177</v>
      </c>
      <c r="D2" s="3375">
        <v>301.2</v>
      </c>
    </row>
    <row r="3" spans="1:4" ht="27">
      <c r="A3" s="3375">
        <v>2</v>
      </c>
      <c r="B3" s="3376" t="s">
        <v>3178</v>
      </c>
      <c r="C3" s="3374" t="s">
        <v>3179</v>
      </c>
      <c r="D3" s="3375">
        <v>508.76</v>
      </c>
    </row>
    <row r="4" spans="1:4" ht="27">
      <c r="A4" s="3375">
        <v>3</v>
      </c>
      <c r="B4" s="3376" t="s">
        <v>3180</v>
      </c>
      <c r="C4" s="3374" t="s">
        <v>3179</v>
      </c>
      <c r="D4" s="3375">
        <v>508.76</v>
      </c>
    </row>
    <row r="5" spans="1:4" ht="27">
      <c r="A5" s="3375">
        <v>4</v>
      </c>
      <c r="B5" s="3376" t="s">
        <v>3181</v>
      </c>
      <c r="C5" s="3374" t="s">
        <v>3184</v>
      </c>
      <c r="D5" s="3375">
        <v>508.76</v>
      </c>
    </row>
    <row r="6" spans="1:4" ht="27">
      <c r="A6" s="3375">
        <v>5</v>
      </c>
      <c r="B6" s="3376" t="s">
        <v>3182</v>
      </c>
      <c r="C6" s="3374" t="s">
        <v>3185</v>
      </c>
      <c r="D6" s="3375">
        <v>508.76</v>
      </c>
    </row>
    <row r="7" spans="1:4" ht="27">
      <c r="A7" s="3375">
        <v>6</v>
      </c>
      <c r="B7" s="3376" t="s">
        <v>3183</v>
      </c>
      <c r="C7" s="3374" t="s">
        <v>3186</v>
      </c>
      <c r="D7" s="3375">
        <v>1017.53</v>
      </c>
    </row>
    <row r="8" spans="1:4" ht="30" customHeight="1">
      <c r="A8" s="3757" t="s">
        <v>3187</v>
      </c>
      <c r="B8" s="3757"/>
      <c r="C8" s="3377" t="s">
        <v>3188</v>
      </c>
      <c r="D8" s="3377">
        <f>SUM(D2:D7)</f>
        <v>3353.7699999999995</v>
      </c>
    </row>
  </sheetData>
  <mergeCells count="1">
    <mergeCell ref="A8:B8"/>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31761</v>
      </c>
      <c r="C2" s="85" t="s">
        <v>865</v>
      </c>
      <c r="D2" s="574"/>
      <c r="E2" s="574"/>
      <c r="F2" s="574"/>
      <c r="G2" s="574"/>
    </row>
    <row r="3" spans="1:7" s="575" customFormat="1" ht="18" customHeight="1" thickBot="1">
      <c r="A3" s="578" t="s">
        <v>817</v>
      </c>
      <c r="B3" s="579">
        <f ca="1">ROUND(B2*10000/'数据-汇总表'!E3,0)</f>
        <v>94702</v>
      </c>
      <c r="C3" s="85" t="s">
        <v>866</v>
      </c>
      <c r="D3" s="574"/>
      <c r="E3" s="574"/>
      <c r="F3" s="574"/>
      <c r="G3" s="574"/>
    </row>
    <row r="4" spans="1:7" s="583" customFormat="1" ht="15.75">
      <c r="A4" s="580" t="s">
        <v>818</v>
      </c>
      <c r="B4" s="581"/>
      <c r="C4" s="581"/>
      <c r="D4" s="581"/>
      <c r="E4" s="581"/>
      <c r="F4" s="581"/>
      <c r="G4" s="582"/>
    </row>
    <row r="5" spans="1:7" s="589" customFormat="1" ht="13.5" customHeight="1">
      <c r="A5" s="630" t="s">
        <v>2504</v>
      </c>
      <c r="B5" s="585" t="s">
        <v>819</v>
      </c>
      <c r="C5" s="586">
        <f>C6+C7+C8</f>
        <v>20610</v>
      </c>
      <c r="D5" s="586" t="s">
        <v>820</v>
      </c>
      <c r="E5" s="587" t="s">
        <v>821</v>
      </c>
      <c r="F5" s="587" t="s">
        <v>822</v>
      </c>
      <c r="G5" s="588"/>
    </row>
    <row r="6" spans="1:7" s="589" customFormat="1" ht="13.5" customHeight="1">
      <c r="A6" s="1803" t="s">
        <v>1915</v>
      </c>
      <c r="B6" s="590" t="s">
        <v>823</v>
      </c>
      <c r="C6" s="591">
        <v>20000</v>
      </c>
      <c r="D6" s="592"/>
      <c r="E6" s="593"/>
      <c r="F6" s="593"/>
      <c r="G6" s="594"/>
    </row>
    <row r="7" spans="1:7" s="589" customFormat="1" ht="13.5" customHeight="1">
      <c r="A7" s="1803" t="s">
        <v>1916</v>
      </c>
      <c r="B7" s="590" t="s">
        <v>344</v>
      </c>
      <c r="C7" s="595">
        <f>ROUND(C6*F7,0)</f>
        <v>610</v>
      </c>
      <c r="D7" s="595"/>
      <c r="E7" s="593"/>
      <c r="F7" s="596">
        <f>'数据-取费表'!B48+'数据-取费表'!B49</f>
        <v>3.0499999999999999E-2</v>
      </c>
      <c r="G7" s="594"/>
    </row>
    <row r="8" spans="1:7" s="598" customFormat="1">
      <c r="A8" s="1803" t="s">
        <v>1917</v>
      </c>
      <c r="B8" s="590" t="s">
        <v>824</v>
      </c>
      <c r="C8" s="595" t="str">
        <f>IF(G8="已包含在土地购买价格中","0",'数据-取费表'!B29)</f>
        <v>0</v>
      </c>
      <c r="D8" s="597"/>
      <c r="E8" s="595"/>
      <c r="F8" s="596"/>
      <c r="G8" s="84" t="s">
        <v>2682</v>
      </c>
    </row>
    <row r="9" spans="1:7" s="589" customFormat="1" ht="13.5" customHeight="1">
      <c r="A9" s="1804" t="s">
        <v>1924</v>
      </c>
      <c r="B9" s="599" t="s">
        <v>825</v>
      </c>
      <c r="C9" s="600">
        <f>ROUND(D9*E9/10000,0)</f>
        <v>0</v>
      </c>
      <c r="D9" s="1908">
        <f>'数据-汇总表'!E5</f>
        <v>0</v>
      </c>
      <c r="E9" s="600">
        <f>'数据-取费表'!B27</f>
        <v>0</v>
      </c>
      <c r="F9" s="596"/>
      <c r="G9" s="601"/>
    </row>
    <row r="10" spans="1:7" s="589" customFormat="1" ht="13.5" customHeight="1">
      <c r="A10" s="1804" t="s">
        <v>1925</v>
      </c>
      <c r="B10" s="599" t="s">
        <v>826</v>
      </c>
      <c r="C10" s="600">
        <f>ROUND(D10*E10/10000,0)</f>
        <v>50</v>
      </c>
      <c r="D10" s="1908">
        <f>'数据-汇总表'!E6</f>
        <v>3353.7699999999995</v>
      </c>
      <c r="E10" s="600">
        <f>'数据-取费表'!B28</f>
        <v>150</v>
      </c>
      <c r="F10" s="596"/>
      <c r="G10" s="601"/>
    </row>
    <row r="11" spans="1:7" s="589" customFormat="1" ht="13.5" hidden="1" customHeight="1">
      <c r="A11" s="602" t="s">
        <v>42</v>
      </c>
      <c r="B11" s="590" t="s">
        <v>827</v>
      </c>
      <c r="C11" s="586"/>
      <c r="D11" s="1910"/>
      <c r="E11" s="593"/>
      <c r="F11" s="593"/>
      <c r="G11" s="594"/>
    </row>
    <row r="12" spans="1:7" s="589" customFormat="1" ht="13.5" hidden="1" customHeight="1">
      <c r="A12" s="602" t="s">
        <v>43</v>
      </c>
      <c r="B12" s="590" t="s">
        <v>828</v>
      </c>
      <c r="C12" s="586">
        <v>0</v>
      </c>
      <c r="D12" s="1910"/>
      <c r="E12" s="603"/>
      <c r="F12" s="596">
        <v>3.0499999999999999E-2</v>
      </c>
      <c r="G12" s="594"/>
    </row>
    <row r="13" spans="1:7" s="589" customFormat="1" ht="13.5" hidden="1" customHeight="1">
      <c r="A13" s="602" t="s">
        <v>44</v>
      </c>
      <c r="B13" s="590" t="s">
        <v>829</v>
      </c>
      <c r="C13" s="586"/>
      <c r="D13" s="1910"/>
      <c r="E13" s="593"/>
      <c r="F13" s="593"/>
      <c r="G13" s="594"/>
    </row>
    <row r="14" spans="1:7" s="589" customFormat="1" ht="13.5" hidden="1" customHeight="1">
      <c r="A14" s="602" t="s">
        <v>45</v>
      </c>
      <c r="B14" s="590" t="s">
        <v>824</v>
      </c>
      <c r="C14" s="586"/>
      <c r="D14" s="1910"/>
      <c r="E14" s="593"/>
      <c r="F14" s="593"/>
      <c r="G14" s="594" t="s">
        <v>830</v>
      </c>
    </row>
    <row r="15" spans="1:7" s="589" customFormat="1" ht="13.5" hidden="1" customHeight="1">
      <c r="A15" s="602" t="s">
        <v>46</v>
      </c>
      <c r="B15" s="590" t="s">
        <v>831</v>
      </c>
      <c r="C15" s="595"/>
      <c r="D15" s="1910"/>
      <c r="E15" s="593"/>
      <c r="F15" s="593"/>
      <c r="G15" s="594" t="s">
        <v>832</v>
      </c>
    </row>
    <row r="16" spans="1:7"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2505</v>
      </c>
      <c r="B19" s="585" t="s">
        <v>843</v>
      </c>
      <c r="C19" s="586">
        <f>IF(G19="已包含在土地取得成本中","0",ROUND(D19*E19/10000,0))</f>
        <v>50</v>
      </c>
      <c r="D19" s="1912">
        <f>'数据-汇总表'!E3</f>
        <v>3353.7699999999995</v>
      </c>
      <c r="E19" s="586">
        <f>'数据-取费表'!B31</f>
        <v>150</v>
      </c>
      <c r="F19" s="606"/>
      <c r="G19" s="84" t="s">
        <v>2527</v>
      </c>
    </row>
    <row r="20" spans="1:7" s="589" customFormat="1" ht="13.5" customHeight="1">
      <c r="A20" s="1802" t="s">
        <v>2507</v>
      </c>
      <c r="B20" s="585" t="s">
        <v>836</v>
      </c>
      <c r="C20" s="607">
        <f>ROUND((C5+C19)*F20,0)</f>
        <v>413</v>
      </c>
      <c r="D20" s="607"/>
      <c r="E20" s="607"/>
      <c r="F20" s="608">
        <f>'数据-取费表'!B37</f>
        <v>0.02</v>
      </c>
      <c r="G20" s="2618" t="s">
        <v>2518</v>
      </c>
    </row>
    <row r="21" spans="1:7" s="589" customFormat="1" ht="13.5" customHeight="1">
      <c r="A21" s="1802" t="s">
        <v>2509</v>
      </c>
      <c r="B21" s="585" t="s">
        <v>837</v>
      </c>
      <c r="C21" s="610">
        <f>F21</f>
        <v>0.02</v>
      </c>
      <c r="D21" s="611" t="s">
        <v>858</v>
      </c>
      <c r="E21" s="607"/>
      <c r="F21" s="608">
        <f>'数据-取费表'!B38</f>
        <v>0.02</v>
      </c>
      <c r="G21" s="609" t="s">
        <v>838</v>
      </c>
    </row>
    <row r="22" spans="1:7" s="589" customFormat="1" ht="13.5" customHeight="1">
      <c r="A22" s="1802" t="s">
        <v>1910</v>
      </c>
      <c r="B22" s="585" t="s">
        <v>839</v>
      </c>
      <c r="C22" s="2697">
        <f ca="1">ROUND(SUM(C23:C25),0)</f>
        <v>3116</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1918</v>
      </c>
      <c r="B23" s="590" t="s">
        <v>2511</v>
      </c>
      <c r="C23" s="2698">
        <f ca="1">ROUND(IF('数据-取费表'!B22&lt;=1,C5*F22*'数据-取费表'!B23,C5*(POWER((1+F22),'数据-取费表'!B23)-1)),0)</f>
        <v>3079</v>
      </c>
      <c r="D23" s="613"/>
      <c r="E23" s="613"/>
      <c r="F23" s="614"/>
      <c r="G23" s="615" t="s">
        <v>840</v>
      </c>
    </row>
    <row r="24" spans="1:7" s="589" customFormat="1" ht="13.5" customHeight="1">
      <c r="A24" s="1805" t="s">
        <v>1916</v>
      </c>
      <c r="B24" s="590" t="s">
        <v>2506</v>
      </c>
      <c r="C24" s="2698">
        <f ca="1">ROUND(IF('数据-取费表'!B22&lt;=1,C19*F22*('数据-取费表'!B19/2+'数据-取费表'!B21),C19*(POWER((1+F22),('数据-取费表'!B19/2+'数据-取费表'!B21))-1)),0)</f>
        <v>7</v>
      </c>
      <c r="D24" s="613"/>
      <c r="E24" s="613"/>
      <c r="F24" s="614"/>
      <c r="G24" s="615" t="s">
        <v>841</v>
      </c>
    </row>
    <row r="25" spans="1:7" s="589" customFormat="1" ht="24">
      <c r="A25" s="1805" t="s">
        <v>1917</v>
      </c>
      <c r="B25" s="590" t="s">
        <v>2508</v>
      </c>
      <c r="C25" s="2698">
        <f ca="1">ROUND(IF('数据-取费表'!B22&lt;=1,C20*F22*'数据-取费表'!B23/2,C20*(POWER((1+F22),'数据-取费表'!B23/2)-1)),0)</f>
        <v>30</v>
      </c>
      <c r="D25" s="613"/>
      <c r="E25" s="616"/>
      <c r="F25" s="614"/>
      <c r="G25" s="617" t="s">
        <v>842</v>
      </c>
    </row>
    <row r="26" spans="1:7" s="589" customFormat="1">
      <c r="A26" s="1805" t="s">
        <v>1919</v>
      </c>
      <c r="B26" s="590" t="s">
        <v>2510</v>
      </c>
      <c r="C26" s="613">
        <f ca="1">ROUND(IF('数据-取费表'!B22&lt;=1,F21*F22*'数据-取费表'!B23/2,F21*(POWER((1+F22),'数据-取费表'!B23/2)-1)),4)</f>
        <v>1.4E-3</v>
      </c>
      <c r="D26" s="613"/>
      <c r="E26" s="616"/>
      <c r="F26" s="614"/>
      <c r="G26" s="618"/>
    </row>
    <row r="27" spans="1:7" s="589" customFormat="1" ht="24.75">
      <c r="A27" s="1802" t="s">
        <v>1911</v>
      </c>
      <c r="B27" s="619" t="s">
        <v>844</v>
      </c>
      <c r="C27" s="620">
        <f>C28</f>
        <v>4425</v>
      </c>
      <c r="D27" s="610">
        <f>C29</f>
        <v>4.1999999999999997E-3</v>
      </c>
      <c r="E27" s="611" t="s">
        <v>858</v>
      </c>
      <c r="F27" s="621">
        <f>'数据-取费表'!Q16</f>
        <v>0.21</v>
      </c>
      <c r="G27" s="622" t="s">
        <v>2519</v>
      </c>
    </row>
    <row r="28" spans="1:7" s="589" customFormat="1" ht="13.5" customHeight="1">
      <c r="A28" s="1805" t="s">
        <v>1918</v>
      </c>
      <c r="B28" s="623" t="s">
        <v>2512</v>
      </c>
      <c r="C28" s="624">
        <f>ROUND((C5+C19+C20)*F27*'数据-取费表'!B21/'数据-取费表'!B20,0)</f>
        <v>4425</v>
      </c>
      <c r="D28" s="610"/>
      <c r="E28" s="611"/>
      <c r="F28" s="621"/>
      <c r="G28" s="622"/>
    </row>
    <row r="29" spans="1:7" s="589" customFormat="1" ht="13.5" customHeight="1">
      <c r="A29" s="1805" t="s">
        <v>1916</v>
      </c>
      <c r="B29" s="623" t="s">
        <v>2513</v>
      </c>
      <c r="C29" s="613">
        <f>ROUND(C21*F27*'数据-取费表'!B21/'数据-取费表'!B20,4)</f>
        <v>4.1999999999999997E-3</v>
      </c>
      <c r="D29" s="610"/>
      <c r="E29" s="611"/>
      <c r="F29" s="621"/>
      <c r="G29" s="622"/>
    </row>
    <row r="30" spans="1:7" s="589" customFormat="1" ht="13.5" customHeight="1">
      <c r="A30" s="1802" t="s">
        <v>1912</v>
      </c>
      <c r="B30" s="585" t="s">
        <v>345</v>
      </c>
      <c r="C30" s="610">
        <f>F30</f>
        <v>5.6000000000000001E-2</v>
      </c>
      <c r="D30" s="611" t="s">
        <v>859</v>
      </c>
      <c r="E30" s="616"/>
      <c r="F30" s="612">
        <f>'数据-取费表'!B41</f>
        <v>5.6000000000000001E-2</v>
      </c>
      <c r="G30" s="609" t="s">
        <v>845</v>
      </c>
    </row>
    <row r="31" spans="1:7" ht="16.5" customHeight="1">
      <c r="A31" s="584">
        <v>1</v>
      </c>
      <c r="B31" s="585" t="s">
        <v>860</v>
      </c>
      <c r="C31" s="586">
        <f ca="1">ROUND((C5+C19+C20+C22+C27)/(1-C21-D22-D27-C30/(1+'数据-取费表'!B42)),0)</f>
        <v>31066</v>
      </c>
      <c r="D31" s="605"/>
      <c r="E31" s="586"/>
      <c r="F31" s="625"/>
      <c r="G31" s="609" t="s">
        <v>2520</v>
      </c>
    </row>
    <row r="32" spans="1:7" s="583" customFormat="1" ht="15.75">
      <c r="A32" s="627" t="s">
        <v>846</v>
      </c>
      <c r="B32" s="628"/>
      <c r="C32" s="628"/>
      <c r="D32" s="628"/>
      <c r="E32" s="628"/>
      <c r="F32" s="628"/>
      <c r="G32" s="629"/>
    </row>
    <row r="33" spans="1:7" s="589" customFormat="1" ht="13.5" customHeight="1">
      <c r="A33" s="630" t="s">
        <v>1906</v>
      </c>
      <c r="B33" s="585" t="s">
        <v>847</v>
      </c>
      <c r="C33" s="631">
        <f>SUM(C34:C38)</f>
        <v>489</v>
      </c>
      <c r="D33" s="607"/>
      <c r="E33" s="587"/>
      <c r="F33" s="616"/>
      <c r="G33" s="609"/>
    </row>
    <row r="34" spans="1:7" s="633" customFormat="1" ht="13.5" customHeight="1">
      <c r="A34" s="1805" t="s">
        <v>1918</v>
      </c>
      <c r="B34" s="590" t="s">
        <v>346</v>
      </c>
      <c r="C34" s="595">
        <f>IF(F34=100%,'数据-取费表'!M16-SUMIF('数据-取费表'!C:C,"公共配套",'数据-取费表'!M:M),'数据-取费表'!O16-SUMIF('数据-取费表'!C:C,"公共配套",'数据-取费表'!O:O))</f>
        <v>420</v>
      </c>
      <c r="D34" s="592"/>
      <c r="E34" s="595"/>
      <c r="F34" s="632">
        <f>IF('数据-取费表'!B24=0,1,'数据-取费表'!N16)</f>
        <v>1</v>
      </c>
      <c r="G34" s="594" t="s">
        <v>848</v>
      </c>
    </row>
    <row r="35" spans="1:7" ht="13.5" customHeight="1">
      <c r="A35" s="1805" t="s">
        <v>1920</v>
      </c>
      <c r="B35" s="590" t="s">
        <v>347</v>
      </c>
      <c r="C35" s="595">
        <f>ROUND(C34*F35,0)</f>
        <v>13</v>
      </c>
      <c r="D35" s="595"/>
      <c r="E35" s="595"/>
      <c r="F35" s="634">
        <f>'数据-取费表'!B33</f>
        <v>0.03</v>
      </c>
      <c r="G35" s="594" t="s">
        <v>849</v>
      </c>
    </row>
    <row r="36" spans="1:7" ht="24">
      <c r="A36" s="1805" t="s">
        <v>1921</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0.03</v>
      </c>
      <c r="G36" s="635" t="s">
        <v>349</v>
      </c>
    </row>
    <row r="37" spans="1:7" s="633" customFormat="1" ht="13.5" customHeight="1">
      <c r="A37" s="1805" t="s">
        <v>1922</v>
      </c>
      <c r="B37" s="590" t="s">
        <v>850</v>
      </c>
      <c r="C37" s="624">
        <f>ROUND(E37*D37*F34/10000,0)</f>
        <v>50</v>
      </c>
      <c r="D37" s="592">
        <f>'数据-汇总表'!E3</f>
        <v>3353.7699999999995</v>
      </c>
      <c r="E37" s="624">
        <f>'数据-取费表'!B35</f>
        <v>150</v>
      </c>
      <c r="F37" s="634"/>
      <c r="G37" s="636" t="s">
        <v>851</v>
      </c>
    </row>
    <row r="38" spans="1:7" ht="13.5" customHeight="1">
      <c r="A38" s="1805" t="s">
        <v>1923</v>
      </c>
      <c r="B38" s="590" t="s">
        <v>350</v>
      </c>
      <c r="C38" s="595">
        <f>ROUND(C34*F38,0)</f>
        <v>6</v>
      </c>
      <c r="D38" s="595"/>
      <c r="E38" s="595"/>
      <c r="F38" s="634">
        <f>'数据-取费表'!B36</f>
        <v>1.4999999999999999E-2</v>
      </c>
      <c r="G38" s="594" t="s">
        <v>849</v>
      </c>
    </row>
    <row r="39" spans="1:7" s="589" customFormat="1" ht="13.5" customHeight="1">
      <c r="A39" s="1802" t="s">
        <v>1907</v>
      </c>
      <c r="B39" s="585" t="s">
        <v>836</v>
      </c>
      <c r="C39" s="607">
        <f>ROUND(C33*F20,0)</f>
        <v>10</v>
      </c>
      <c r="D39" s="607"/>
      <c r="E39" s="607"/>
      <c r="F39" s="608"/>
      <c r="G39" s="2618" t="s">
        <v>2521</v>
      </c>
    </row>
    <row r="40" spans="1:7" s="589" customFormat="1" ht="13.5" customHeight="1">
      <c r="A40" s="1802" t="s">
        <v>1908</v>
      </c>
      <c r="B40" s="585" t="s">
        <v>837</v>
      </c>
      <c r="C40" s="637">
        <f>F21</f>
        <v>0.02</v>
      </c>
      <c r="D40" s="611" t="s">
        <v>861</v>
      </c>
      <c r="E40" s="607"/>
      <c r="F40" s="608"/>
      <c r="G40" s="609" t="s">
        <v>852</v>
      </c>
    </row>
    <row r="41" spans="1:7" s="589" customFormat="1" ht="13.5" customHeight="1">
      <c r="A41" s="1802" t="s">
        <v>1909</v>
      </c>
      <c r="B41" s="585" t="s">
        <v>839</v>
      </c>
      <c r="C41" s="607">
        <f ca="1">ROUND(SUM(C42:C43),0)</f>
        <v>36</v>
      </c>
      <c r="D41" s="610">
        <f ca="1">C44</f>
        <v>1.4E-3</v>
      </c>
      <c r="E41" s="611" t="s">
        <v>861</v>
      </c>
      <c r="F41" s="612"/>
      <c r="G41" s="2618" t="str">
        <f>IF('数据-取费表'!B22&lt;=1,"单利计息","复利计息")</f>
        <v>复利计息</v>
      </c>
    </row>
    <row r="42" spans="1:7" ht="13.5" customHeight="1">
      <c r="A42" s="1805" t="s">
        <v>1918</v>
      </c>
      <c r="B42" s="590" t="s">
        <v>2511</v>
      </c>
      <c r="C42" s="613">
        <f ca="1">ROUND(IF('数据-取费表'!B22&lt;=1,C33*F22*'数据-取费表'!B21/2,C33*(POWER((1+F22),'数据-取费表'!B21/2)-1)),0)</f>
        <v>35</v>
      </c>
      <c r="D42" s="613"/>
      <c r="E42" s="613"/>
      <c r="F42" s="614"/>
      <c r="G42" s="3578" t="s">
        <v>853</v>
      </c>
    </row>
    <row r="43" spans="1:7" ht="13.5" customHeight="1">
      <c r="A43" s="1805" t="s">
        <v>1916</v>
      </c>
      <c r="B43" s="590" t="s">
        <v>2514</v>
      </c>
      <c r="C43" s="613">
        <f ca="1">ROUND(IF('数据-取费表'!B22&lt;=1,C39*F22*'数据-取费表'!B21/2,C39*(POWER((1+F22),'数据-取费表'!B21/2)-1)),0)</f>
        <v>1</v>
      </c>
      <c r="D43" s="613"/>
      <c r="E43" s="613"/>
      <c r="F43" s="614"/>
      <c r="G43" s="3579"/>
    </row>
    <row r="44" spans="1:7" ht="13.5" customHeight="1">
      <c r="A44" s="1805" t="s">
        <v>1917</v>
      </c>
      <c r="B44" s="590" t="s">
        <v>2516</v>
      </c>
      <c r="C44" s="613">
        <f ca="1">ROUND(IF('数据-取费表'!B22&lt;=1,C40*F22*'数据-取费表'!B21/2,C40*(POWER((1+F22),'数据-取费表'!B21/2)-1)),4)</f>
        <v>1.4E-3</v>
      </c>
      <c r="D44" s="613"/>
      <c r="E44" s="613"/>
      <c r="F44" s="614"/>
      <c r="G44" s="3580"/>
    </row>
    <row r="45" spans="1:7" s="589" customFormat="1" ht="13.5" customHeight="1">
      <c r="A45" s="1802" t="s">
        <v>1910</v>
      </c>
      <c r="B45" s="619" t="s">
        <v>844</v>
      </c>
      <c r="C45" s="620">
        <f>C46</f>
        <v>105</v>
      </c>
      <c r="D45" s="610">
        <f>C47</f>
        <v>4.1999999999999997E-3</v>
      </c>
      <c r="E45" s="611" t="s">
        <v>861</v>
      </c>
      <c r="F45" s="621"/>
      <c r="G45" s="622" t="s">
        <v>2522</v>
      </c>
    </row>
    <row r="46" spans="1:7" s="589" customFormat="1" ht="13.5" customHeight="1">
      <c r="A46" s="1805" t="s">
        <v>1918</v>
      </c>
      <c r="B46" s="623" t="s">
        <v>2515</v>
      </c>
      <c r="C46" s="624">
        <f>ROUND((C33+C39)*F27,0)</f>
        <v>105</v>
      </c>
      <c r="D46" s="638"/>
      <c r="E46" s="611"/>
      <c r="F46" s="621"/>
      <c r="G46" s="622"/>
    </row>
    <row r="47" spans="1:7" s="589" customFormat="1" ht="13.5" customHeight="1">
      <c r="A47" s="1805" t="s">
        <v>1916</v>
      </c>
      <c r="B47" s="623" t="s">
        <v>2517</v>
      </c>
      <c r="C47" s="613">
        <f>ROUND(C40*F27,4)</f>
        <v>4.1999999999999997E-3</v>
      </c>
      <c r="D47" s="638"/>
      <c r="E47" s="611"/>
      <c r="F47" s="621"/>
      <c r="G47" s="622"/>
    </row>
    <row r="48" spans="1:7" s="589" customFormat="1" ht="13.5" customHeight="1">
      <c r="A48" s="1802" t="s">
        <v>1911</v>
      </c>
      <c r="B48" s="585" t="s">
        <v>854</v>
      </c>
      <c r="C48" s="637">
        <f>F30</f>
        <v>5.6000000000000001E-2</v>
      </c>
      <c r="D48" s="611" t="s">
        <v>862</v>
      </c>
      <c r="E48" s="607"/>
      <c r="F48" s="612"/>
      <c r="G48" s="609" t="s">
        <v>855</v>
      </c>
    </row>
    <row r="49" spans="1:7" ht="16.5" customHeight="1">
      <c r="A49" s="1802" t="s">
        <v>1912</v>
      </c>
      <c r="B49" s="585" t="s">
        <v>863</v>
      </c>
      <c r="C49" s="607">
        <f ca="1">ROUND((C33+C39+C41+C45)/(1-C40-D41-D45-C48/(1+'数据-取费表'!B42)),0)</f>
        <v>695</v>
      </c>
      <c r="D49" s="607"/>
      <c r="E49" s="607"/>
      <c r="F49" s="639"/>
      <c r="G49" s="609" t="s">
        <v>2523</v>
      </c>
    </row>
    <row r="50" spans="1:7" s="633" customFormat="1" ht="24">
      <c r="A50" s="1802" t="s">
        <v>1913</v>
      </c>
      <c r="B50" s="585" t="s">
        <v>856</v>
      </c>
      <c r="C50" s="607"/>
      <c r="D50" s="607"/>
      <c r="E50" s="607"/>
      <c r="F50" s="639">
        <f>IF('数据-取费表'!B24=0,'数据-取费表'!N16,1)</f>
        <v>1</v>
      </c>
      <c r="G50" s="622" t="s">
        <v>857</v>
      </c>
    </row>
    <row r="51" spans="1:7" ht="16.5" customHeight="1">
      <c r="A51" s="1802" t="s">
        <v>1914</v>
      </c>
      <c r="B51" s="585" t="s">
        <v>864</v>
      </c>
      <c r="C51" s="607">
        <f ca="1">ROUND(C49*F50,0)</f>
        <v>695</v>
      </c>
      <c r="D51" s="607"/>
      <c r="E51" s="607"/>
      <c r="F51" s="639"/>
      <c r="G51" s="609" t="s">
        <v>351</v>
      </c>
    </row>
    <row r="52" spans="1:7" s="583" customFormat="1" ht="16.5" thickBot="1">
      <c r="A52" s="640" t="s">
        <v>352</v>
      </c>
      <c r="B52" s="641"/>
      <c r="C52" s="642">
        <f ca="1">C31+C51</f>
        <v>31761</v>
      </c>
      <c r="D52" s="641"/>
      <c r="E52" s="641"/>
      <c r="F52" s="641"/>
      <c r="G52" s="643"/>
    </row>
    <row r="55" spans="1:7" ht="15">
      <c r="B55" s="645" t="s">
        <v>353</v>
      </c>
      <c r="C55" s="646"/>
    </row>
    <row r="56" spans="1:7">
      <c r="B56" s="648" t="s">
        <v>354</v>
      </c>
      <c r="C56" s="649">
        <f ca="1">ROUND(C51/C52,3)</f>
        <v>2.1999999999999999E-2</v>
      </c>
    </row>
    <row r="57" spans="1:7">
      <c r="B57" s="648" t="s">
        <v>355</v>
      </c>
      <c r="C57" s="650">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4" customWidth="1"/>
    <col min="2" max="5" width="10.25" style="1489" customWidth="1"/>
    <col min="6" max="6" width="9" style="1489"/>
    <col min="7" max="8" width="9" style="1517"/>
    <col min="9" max="16384" width="9" style="1489"/>
  </cols>
  <sheetData>
    <row r="1" spans="1:19">
      <c r="A1" s="3758" t="s">
        <v>1164</v>
      </c>
      <c r="B1" s="3758"/>
      <c r="C1" s="3758"/>
      <c r="D1" s="3758"/>
      <c r="E1" s="3758"/>
      <c r="F1" s="3758"/>
      <c r="H1" s="1519" t="s">
        <v>1165</v>
      </c>
      <c r="I1" s="1520" t="s">
        <v>1166</v>
      </c>
      <c r="J1" s="1520" t="s">
        <v>1167</v>
      </c>
      <c r="K1" s="1520" t="s">
        <v>1168</v>
      </c>
      <c r="L1" s="1520" t="s">
        <v>1169</v>
      </c>
      <c r="M1" s="1520" t="s">
        <v>1170</v>
      </c>
      <c r="N1" s="1520" t="s">
        <v>1171</v>
      </c>
      <c r="O1" s="1520" t="s">
        <v>1172</v>
      </c>
      <c r="P1" s="1520" t="s">
        <v>1173</v>
      </c>
      <c r="Q1" s="1520" t="s">
        <v>1174</v>
      </c>
      <c r="R1" s="1520" t="s">
        <v>1175</v>
      </c>
      <c r="S1" s="1521" t="s">
        <v>1176</v>
      </c>
    </row>
    <row r="2" spans="1:19" ht="14.25" thickBot="1">
      <c r="A2" s="3759" t="s">
        <v>1177</v>
      </c>
      <c r="B2" s="3759"/>
      <c r="C2" s="3759"/>
      <c r="D2" s="3759"/>
      <c r="E2" s="3759"/>
      <c r="F2" s="3759"/>
      <c r="H2" s="1522" t="s">
        <v>1178</v>
      </c>
      <c r="I2" s="1523" t="s">
        <v>1179</v>
      </c>
      <c r="J2" s="1523" t="s">
        <v>1180</v>
      </c>
      <c r="K2" s="1523" t="s">
        <v>1181</v>
      </c>
      <c r="L2" s="1523" t="s">
        <v>1182</v>
      </c>
      <c r="M2" s="1523" t="s">
        <v>1183</v>
      </c>
      <c r="N2" s="1523" t="s">
        <v>1184</v>
      </c>
      <c r="O2" s="1523" t="s">
        <v>1185</v>
      </c>
      <c r="P2" s="1523" t="s">
        <v>1186</v>
      </c>
      <c r="Q2" s="1523" t="s">
        <v>1187</v>
      </c>
      <c r="R2" s="1523" t="s">
        <v>1188</v>
      </c>
      <c r="S2" s="1523" t="s">
        <v>1189</v>
      </c>
    </row>
    <row r="3" spans="1:19" s="1518" customFormat="1" ht="19.5" customHeight="1">
      <c r="A3" s="3760" t="s">
        <v>1190</v>
      </c>
      <c r="B3" s="1524"/>
      <c r="C3" s="1525" t="s">
        <v>1191</v>
      </c>
      <c r="D3" s="1525" t="s">
        <v>1192</v>
      </c>
      <c r="E3" s="1525" t="s">
        <v>1839</v>
      </c>
      <c r="F3" s="1525" t="s">
        <v>1194</v>
      </c>
      <c r="G3" s="1526"/>
      <c r="H3" s="1522" t="s">
        <v>1195</v>
      </c>
      <c r="I3" s="1523" t="s">
        <v>1196</v>
      </c>
      <c r="J3" s="1523" t="s">
        <v>1197</v>
      </c>
      <c r="K3" s="1523" t="s">
        <v>1198</v>
      </c>
      <c r="L3" s="1523" t="s">
        <v>1199</v>
      </c>
      <c r="M3" s="1523" t="s">
        <v>1200</v>
      </c>
      <c r="N3" s="1523" t="s">
        <v>1201</v>
      </c>
      <c r="O3" s="1523" t="s">
        <v>1202</v>
      </c>
      <c r="P3" s="1523" t="s">
        <v>1203</v>
      </c>
      <c r="Q3" s="1523" t="s">
        <v>1204</v>
      </c>
      <c r="R3" s="1523" t="s">
        <v>1205</v>
      </c>
      <c r="S3" s="1523" t="s">
        <v>1206</v>
      </c>
    </row>
    <row r="4" spans="1:19" s="1518" customFormat="1" ht="19.5" customHeight="1" thickBot="1">
      <c r="A4" s="3761"/>
      <c r="B4" s="1527" t="s">
        <v>1207</v>
      </c>
      <c r="C4" s="1527" t="s">
        <v>1208</v>
      </c>
      <c r="D4" s="1527" t="s">
        <v>1208</v>
      </c>
      <c r="E4" s="1527" t="s">
        <v>1208</v>
      </c>
      <c r="F4" s="1528" t="s">
        <v>1208</v>
      </c>
      <c r="G4" s="1526"/>
      <c r="H4" s="1522" t="s">
        <v>1209</v>
      </c>
      <c r="I4" s="1523" t="s">
        <v>1132</v>
      </c>
      <c r="J4" s="1523" t="s">
        <v>1210</v>
      </c>
      <c r="K4" s="1523" t="s">
        <v>1211</v>
      </c>
      <c r="L4" s="1523" t="s">
        <v>1212</v>
      </c>
      <c r="M4" s="1523" t="s">
        <v>1213</v>
      </c>
      <c r="N4" s="1523" t="s">
        <v>1214</v>
      </c>
      <c r="O4" s="1523" t="s">
        <v>1215</v>
      </c>
      <c r="P4" s="1523" t="s">
        <v>1216</v>
      </c>
      <c r="Q4" s="1523" t="s">
        <v>1217</v>
      </c>
      <c r="R4" s="1523" t="s">
        <v>1218</v>
      </c>
      <c r="S4" s="1523" t="s">
        <v>1219</v>
      </c>
    </row>
    <row r="5" spans="1:19" ht="14.25" customHeight="1" thickBot="1">
      <c r="A5" s="1529" t="s">
        <v>1946</v>
      </c>
      <c r="B5" s="1530" t="s">
        <v>1947</v>
      </c>
      <c r="C5" s="1530">
        <v>29530</v>
      </c>
      <c r="D5" s="1530">
        <v>28130</v>
      </c>
      <c r="E5" s="1530">
        <v>27930</v>
      </c>
      <c r="F5" s="1531">
        <v>11300</v>
      </c>
      <c r="G5" s="1526"/>
      <c r="H5" s="1522" t="s">
        <v>1221</v>
      </c>
      <c r="I5" s="1523" t="s">
        <v>1222</v>
      </c>
      <c r="J5" s="1523" t="s">
        <v>1223</v>
      </c>
      <c r="K5" s="1523" t="s">
        <v>1224</v>
      </c>
      <c r="L5" s="1523" t="s">
        <v>1225</v>
      </c>
      <c r="M5" s="1523" t="s">
        <v>1226</v>
      </c>
      <c r="N5" s="1523" t="s">
        <v>1227</v>
      </c>
      <c r="O5" s="1523" t="s">
        <v>1228</v>
      </c>
      <c r="P5" s="1523" t="s">
        <v>1229</v>
      </c>
      <c r="Q5" s="1523" t="s">
        <v>1230</v>
      </c>
      <c r="R5" s="1523" t="s">
        <v>1231</v>
      </c>
      <c r="S5" s="1523" t="s">
        <v>1232</v>
      </c>
    </row>
    <row r="6" spans="1:19" ht="14.25" customHeight="1" thickBot="1">
      <c r="A6" s="1529" t="s">
        <v>1220</v>
      </c>
      <c r="B6" s="1523" t="s">
        <v>1195</v>
      </c>
      <c r="C6" s="1523">
        <v>30290</v>
      </c>
      <c r="D6" s="1523">
        <v>29210</v>
      </c>
      <c r="E6" s="1523">
        <v>28860</v>
      </c>
      <c r="F6" s="1532">
        <v>12600</v>
      </c>
      <c r="G6" s="1526"/>
      <c r="H6" s="1522" t="s">
        <v>1233</v>
      </c>
      <c r="I6" s="1523" t="s">
        <v>1234</v>
      </c>
      <c r="J6" s="1523" t="s">
        <v>1235</v>
      </c>
      <c r="K6" s="1523" t="s">
        <v>1236</v>
      </c>
      <c r="L6" s="1523" t="s">
        <v>1237</v>
      </c>
      <c r="M6" s="1523" t="s">
        <v>1238</v>
      </c>
      <c r="N6" s="1523" t="s">
        <v>1239</v>
      </c>
      <c r="O6" s="1523" t="s">
        <v>1240</v>
      </c>
      <c r="P6" s="1523" t="s">
        <v>1241</v>
      </c>
      <c r="Q6" s="1523" t="s">
        <v>1242</v>
      </c>
      <c r="R6" s="1523" t="s">
        <v>1243</v>
      </c>
      <c r="S6" s="1523" t="s">
        <v>1244</v>
      </c>
    </row>
    <row r="7" spans="1:19" ht="14.25" customHeight="1" thickBot="1">
      <c r="A7" s="1529" t="s">
        <v>1220</v>
      </c>
      <c r="B7" s="1533" t="s">
        <v>1209</v>
      </c>
      <c r="C7" s="1523">
        <v>29350</v>
      </c>
      <c r="D7" s="1523">
        <v>28410</v>
      </c>
      <c r="E7" s="1523">
        <v>27990</v>
      </c>
      <c r="F7" s="1532">
        <v>12300</v>
      </c>
      <c r="G7" s="1526"/>
      <c r="I7" s="1523" t="s">
        <v>1245</v>
      </c>
      <c r="J7" s="1523" t="s">
        <v>1246</v>
      </c>
      <c r="K7" s="1523" t="s">
        <v>1247</v>
      </c>
      <c r="L7" s="1523" t="s">
        <v>1248</v>
      </c>
      <c r="M7" s="1523" t="s">
        <v>1249</v>
      </c>
      <c r="N7" s="1523" t="s">
        <v>1250</v>
      </c>
      <c r="O7" s="1523" t="s">
        <v>1251</v>
      </c>
      <c r="P7" s="1523" t="s">
        <v>1252</v>
      </c>
      <c r="Q7" s="1523" t="s">
        <v>1253</v>
      </c>
      <c r="R7" s="1523" t="s">
        <v>1254</v>
      </c>
      <c r="S7" s="1533" t="s">
        <v>1255</v>
      </c>
    </row>
    <row r="8" spans="1:19" ht="14.25" customHeight="1" thickBot="1">
      <c r="A8" s="1529" t="s">
        <v>1220</v>
      </c>
      <c r="B8" s="1523" t="s">
        <v>1221</v>
      </c>
      <c r="C8" s="1523">
        <v>30890</v>
      </c>
      <c r="D8" s="1523">
        <v>29780</v>
      </c>
      <c r="E8" s="1523">
        <v>29270</v>
      </c>
      <c r="F8" s="1532">
        <v>11600</v>
      </c>
      <c r="G8" s="1526"/>
      <c r="I8" s="1523" t="s">
        <v>1256</v>
      </c>
      <c r="J8" s="1523" t="s">
        <v>1257</v>
      </c>
      <c r="K8" s="1523" t="s">
        <v>1258</v>
      </c>
      <c r="L8" s="1523" t="s">
        <v>1259</v>
      </c>
      <c r="M8" s="1523" t="s">
        <v>1260</v>
      </c>
      <c r="N8" s="1523" t="s">
        <v>1261</v>
      </c>
      <c r="O8" s="1523" t="s">
        <v>1262</v>
      </c>
      <c r="P8" s="1523" t="s">
        <v>1263</v>
      </c>
      <c r="Q8" s="1523" t="s">
        <v>1264</v>
      </c>
      <c r="R8" s="1523" t="s">
        <v>1265</v>
      </c>
      <c r="S8" s="1523" t="s">
        <v>1266</v>
      </c>
    </row>
    <row r="9" spans="1:19" ht="14.25" customHeight="1" thickBot="1">
      <c r="A9" s="1529" t="s">
        <v>1220</v>
      </c>
      <c r="B9" s="1534" t="s">
        <v>1233</v>
      </c>
      <c r="C9" s="1535">
        <v>28140</v>
      </c>
      <c r="D9" s="1535"/>
      <c r="E9" s="1535"/>
      <c r="F9" s="1536"/>
      <c r="G9" s="1526"/>
      <c r="I9" s="1523" t="s">
        <v>1267</v>
      </c>
      <c r="J9" s="1523" t="s">
        <v>1268</v>
      </c>
      <c r="K9" s="1523" t="s">
        <v>1269</v>
      </c>
      <c r="L9" s="1523" t="s">
        <v>1270</v>
      </c>
      <c r="M9" s="1523" t="s">
        <v>1271</v>
      </c>
      <c r="N9" s="1523" t="s">
        <v>1272</v>
      </c>
      <c r="O9" s="1523" t="s">
        <v>1273</v>
      </c>
      <c r="P9" s="1523" t="s">
        <v>1274</v>
      </c>
      <c r="Q9" s="1523" t="s">
        <v>1275</v>
      </c>
      <c r="R9" s="1523" t="s">
        <v>1276</v>
      </c>
    </row>
    <row r="10" spans="1:19" ht="14.25" customHeight="1" thickBot="1">
      <c r="A10" s="1529" t="s">
        <v>1277</v>
      </c>
      <c r="B10" s="1530" t="s">
        <v>1278</v>
      </c>
      <c r="C10" s="1530">
        <v>27450</v>
      </c>
      <c r="D10" s="1530">
        <v>26180</v>
      </c>
      <c r="E10" s="1530">
        <v>25980</v>
      </c>
      <c r="F10" s="1531">
        <v>8910</v>
      </c>
      <c r="G10" s="1526"/>
      <c r="I10" s="1523" t="s">
        <v>1279</v>
      </c>
      <c r="J10" s="1523" t="s">
        <v>1280</v>
      </c>
      <c r="K10" s="1523" t="s">
        <v>1281</v>
      </c>
      <c r="L10" s="1523" t="s">
        <v>1282</v>
      </c>
      <c r="M10" s="1523" t="s">
        <v>1283</v>
      </c>
      <c r="N10" s="1523" t="s">
        <v>1284</v>
      </c>
      <c r="O10" s="1523" t="s">
        <v>1285</v>
      </c>
      <c r="P10" s="1523" t="s">
        <v>1286</v>
      </c>
      <c r="Q10" s="1523" t="s">
        <v>1287</v>
      </c>
      <c r="R10" s="1523" t="s">
        <v>1288</v>
      </c>
    </row>
    <row r="11" spans="1:19" ht="14.25" customHeight="1" thickBot="1">
      <c r="A11" s="1529" t="s">
        <v>1277</v>
      </c>
      <c r="B11" s="1533" t="s">
        <v>1196</v>
      </c>
      <c r="C11" s="1523">
        <v>22950</v>
      </c>
      <c r="D11" s="1523">
        <v>22630</v>
      </c>
      <c r="E11" s="1523">
        <v>22030</v>
      </c>
      <c r="F11" s="1537">
        <v>8330</v>
      </c>
      <c r="G11" s="1526"/>
      <c r="I11" s="1523" t="s">
        <v>1289</v>
      </c>
      <c r="J11" s="1523" t="s">
        <v>1290</v>
      </c>
      <c r="K11" s="1523" t="s">
        <v>1291</v>
      </c>
      <c r="L11" s="1523" t="s">
        <v>1292</v>
      </c>
      <c r="M11" s="1523" t="s">
        <v>1293</v>
      </c>
      <c r="N11" s="1523" t="s">
        <v>1294</v>
      </c>
      <c r="O11" s="1523" t="s">
        <v>1295</v>
      </c>
      <c r="P11" s="1523" t="s">
        <v>1296</v>
      </c>
      <c r="Q11" s="1523" t="s">
        <v>1297</v>
      </c>
      <c r="R11" s="1523" t="s">
        <v>1298</v>
      </c>
    </row>
    <row r="12" spans="1:19" ht="14.25" customHeight="1" thickBot="1">
      <c r="A12" s="1529" t="s">
        <v>1277</v>
      </c>
      <c r="B12" s="1533" t="s">
        <v>1132</v>
      </c>
      <c r="C12" s="1523">
        <v>24940</v>
      </c>
      <c r="D12" s="1523">
        <v>23180</v>
      </c>
      <c r="E12" s="1523">
        <v>22910</v>
      </c>
      <c r="F12" s="1537">
        <v>7180</v>
      </c>
      <c r="G12" s="1526"/>
      <c r="I12" s="1523" t="s">
        <v>1299</v>
      </c>
      <c r="J12" s="1523" t="s">
        <v>1300</v>
      </c>
      <c r="K12" s="1523" t="s">
        <v>1301</v>
      </c>
      <c r="L12" s="1523" t="s">
        <v>1302</v>
      </c>
      <c r="M12" s="1523" t="s">
        <v>1303</v>
      </c>
      <c r="N12" s="1523" t="s">
        <v>1304</v>
      </c>
      <c r="O12" s="1523" t="s">
        <v>1305</v>
      </c>
      <c r="P12" s="1523" t="s">
        <v>1306</v>
      </c>
      <c r="Q12" s="1523" t="s">
        <v>1307</v>
      </c>
      <c r="R12" s="1523" t="s">
        <v>1308</v>
      </c>
    </row>
    <row r="13" spans="1:19" ht="14.25" customHeight="1" thickBot="1">
      <c r="A13" s="1529" t="s">
        <v>1277</v>
      </c>
      <c r="B13" s="1533" t="s">
        <v>1222</v>
      </c>
      <c r="C13" s="1523">
        <v>24140</v>
      </c>
      <c r="D13" s="1523">
        <v>22270</v>
      </c>
      <c r="E13" s="1523">
        <v>21950</v>
      </c>
      <c r="F13" s="1537">
        <v>7600</v>
      </c>
      <c r="G13" s="1526"/>
      <c r="I13" s="1523" t="s">
        <v>1309</v>
      </c>
      <c r="J13" s="1523" t="s">
        <v>1310</v>
      </c>
      <c r="K13" s="1523" t="s">
        <v>1311</v>
      </c>
      <c r="L13" s="1523" t="s">
        <v>1312</v>
      </c>
      <c r="M13" s="1523" t="s">
        <v>1313</v>
      </c>
      <c r="N13" s="1523" t="s">
        <v>1314</v>
      </c>
      <c r="O13" s="1523" t="s">
        <v>1315</v>
      </c>
      <c r="P13" s="1523" t="s">
        <v>1316</v>
      </c>
      <c r="Q13" s="1523" t="s">
        <v>1317</v>
      </c>
      <c r="R13" s="1523" t="s">
        <v>1318</v>
      </c>
    </row>
    <row r="14" spans="1:19" ht="14.25" customHeight="1" thickBot="1">
      <c r="A14" s="1529" t="s">
        <v>1277</v>
      </c>
      <c r="B14" s="1533" t="s">
        <v>1234</v>
      </c>
      <c r="C14" s="1523">
        <v>25600</v>
      </c>
      <c r="D14" s="1523">
        <v>22260</v>
      </c>
      <c r="E14" s="1523">
        <v>22110</v>
      </c>
      <c r="F14" s="1537">
        <v>7630</v>
      </c>
      <c r="G14" s="1526"/>
      <c r="I14" s="1523" t="s">
        <v>1319</v>
      </c>
      <c r="J14" s="1523" t="s">
        <v>1320</v>
      </c>
      <c r="K14" s="1523" t="s">
        <v>1321</v>
      </c>
      <c r="L14" s="1523" t="s">
        <v>1322</v>
      </c>
      <c r="M14" s="1523" t="s">
        <v>1323</v>
      </c>
      <c r="N14" s="1523" t="s">
        <v>1324</v>
      </c>
      <c r="O14" s="1523" t="s">
        <v>1325</v>
      </c>
      <c r="P14" s="1523" t="s">
        <v>1326</v>
      </c>
      <c r="Q14" s="1523" t="s">
        <v>1327</v>
      </c>
      <c r="R14" s="1523" t="s">
        <v>1328</v>
      </c>
    </row>
    <row r="15" spans="1:19" ht="14.25" customHeight="1" thickBot="1">
      <c r="A15" s="1529" t="s">
        <v>1277</v>
      </c>
      <c r="B15" s="1533" t="s">
        <v>1245</v>
      </c>
      <c r="C15" s="1523">
        <v>24760</v>
      </c>
      <c r="D15" s="1523">
        <v>24440</v>
      </c>
      <c r="E15" s="1523">
        <v>24130</v>
      </c>
      <c r="F15" s="1537">
        <v>9480</v>
      </c>
      <c r="G15" s="1526"/>
      <c r="I15" s="1523" t="s">
        <v>1330</v>
      </c>
      <c r="J15" s="1523" t="s">
        <v>1331</v>
      </c>
      <c r="K15" s="1523" t="s">
        <v>1332</v>
      </c>
      <c r="L15" s="1523" t="s">
        <v>1333</v>
      </c>
      <c r="M15" s="1523" t="s">
        <v>1334</v>
      </c>
      <c r="N15" s="1523" t="s">
        <v>1335</v>
      </c>
      <c r="O15" s="1523" t="s">
        <v>1336</v>
      </c>
      <c r="P15" s="1523" t="s">
        <v>1337</v>
      </c>
      <c r="Q15" s="1523" t="s">
        <v>1338</v>
      </c>
      <c r="R15" s="1523" t="s">
        <v>1339</v>
      </c>
    </row>
    <row r="16" spans="1:19" ht="14.25" customHeight="1" thickBot="1">
      <c r="A16" s="1529" t="s">
        <v>1277</v>
      </c>
      <c r="B16" s="1533" t="s">
        <v>1256</v>
      </c>
      <c r="C16" s="1523">
        <v>22220</v>
      </c>
      <c r="D16" s="1523">
        <v>22310</v>
      </c>
      <c r="E16" s="1523">
        <v>22000</v>
      </c>
      <c r="F16" s="1537">
        <v>8900</v>
      </c>
      <c r="G16" s="1526"/>
      <c r="I16" s="1523" t="s">
        <v>1341</v>
      </c>
      <c r="J16" s="1523" t="s">
        <v>1342</v>
      </c>
      <c r="K16" s="1523" t="s">
        <v>1343</v>
      </c>
      <c r="L16" s="1523" t="s">
        <v>1344</v>
      </c>
      <c r="M16" s="1523" t="s">
        <v>1345</v>
      </c>
      <c r="N16" s="1523" t="s">
        <v>1346</v>
      </c>
      <c r="O16" s="1523" t="s">
        <v>1347</v>
      </c>
      <c r="P16" s="1523" t="s">
        <v>1348</v>
      </c>
      <c r="Q16" s="1523" t="s">
        <v>1349</v>
      </c>
      <c r="R16" s="1523" t="s">
        <v>1350</v>
      </c>
    </row>
    <row r="17" spans="1:18" ht="14.25" customHeight="1" thickBot="1">
      <c r="A17" s="1529" t="s">
        <v>1277</v>
      </c>
      <c r="B17" s="1533" t="s">
        <v>1267</v>
      </c>
      <c r="C17" s="1523">
        <v>24700</v>
      </c>
      <c r="D17" s="1523">
        <v>25150</v>
      </c>
      <c r="E17" s="1523">
        <v>24700</v>
      </c>
      <c r="F17" s="1538"/>
      <c r="G17" s="1526"/>
      <c r="I17" s="1523" t="s">
        <v>1351</v>
      </c>
      <c r="J17" s="1523" t="s">
        <v>1352</v>
      </c>
      <c r="K17" s="1523" t="s">
        <v>1353</v>
      </c>
      <c r="L17" s="1523" t="s">
        <v>1354</v>
      </c>
      <c r="M17" s="1523" t="s">
        <v>1355</v>
      </c>
      <c r="N17" s="1523" t="s">
        <v>1356</v>
      </c>
      <c r="O17" s="1523" t="s">
        <v>1357</v>
      </c>
      <c r="P17" s="1523" t="s">
        <v>1358</v>
      </c>
      <c r="Q17" s="1523" t="s">
        <v>1359</v>
      </c>
      <c r="R17" s="1523" t="s">
        <v>1360</v>
      </c>
    </row>
    <row r="18" spans="1:18" ht="14.25" customHeight="1" thickBot="1">
      <c r="A18" s="1529" t="s">
        <v>1277</v>
      </c>
      <c r="B18" s="1533" t="s">
        <v>1279</v>
      </c>
      <c r="C18" s="1523">
        <v>22350</v>
      </c>
      <c r="D18" s="1523">
        <v>24340</v>
      </c>
      <c r="E18" s="1523">
        <v>24100</v>
      </c>
      <c r="F18" s="1538"/>
      <c r="G18" s="1526"/>
      <c r="I18" s="1523" t="s">
        <v>1361</v>
      </c>
      <c r="J18" s="1523" t="s">
        <v>1362</v>
      </c>
      <c r="K18" s="1523" t="s">
        <v>1363</v>
      </c>
      <c r="L18" s="1523" t="s">
        <v>1364</v>
      </c>
      <c r="M18" s="1523" t="s">
        <v>1365</v>
      </c>
      <c r="N18" s="1523" t="s">
        <v>1366</v>
      </c>
      <c r="O18" s="1523" t="s">
        <v>1367</v>
      </c>
      <c r="P18" s="1523" t="s">
        <v>1368</v>
      </c>
      <c r="Q18" s="1523" t="s">
        <v>1369</v>
      </c>
      <c r="R18" s="1523" t="s">
        <v>1370</v>
      </c>
    </row>
    <row r="19" spans="1:18" ht="14.25" customHeight="1" thickBot="1">
      <c r="A19" s="1529" t="s">
        <v>1277</v>
      </c>
      <c r="B19" s="1533" t="s">
        <v>1289</v>
      </c>
      <c r="C19" s="1523">
        <v>23430</v>
      </c>
      <c r="D19" s="1523">
        <v>21580</v>
      </c>
      <c r="E19" s="1523">
        <v>21350</v>
      </c>
      <c r="F19" s="1538"/>
      <c r="G19" s="1526"/>
      <c r="I19" s="1523" t="s">
        <v>1371</v>
      </c>
      <c r="J19" s="1523" t="s">
        <v>1372</v>
      </c>
      <c r="K19" s="1523" t="s">
        <v>1373</v>
      </c>
      <c r="L19" s="1523" t="s">
        <v>1374</v>
      </c>
      <c r="M19" s="1523" t="s">
        <v>1375</v>
      </c>
      <c r="N19" s="1523" t="s">
        <v>1376</v>
      </c>
      <c r="O19" s="1523" t="s">
        <v>1377</v>
      </c>
      <c r="P19" s="1523" t="s">
        <v>1378</v>
      </c>
      <c r="Q19" s="1523" t="s">
        <v>1379</v>
      </c>
      <c r="R19" s="1523" t="s">
        <v>1380</v>
      </c>
    </row>
    <row r="20" spans="1:18" ht="14.25" customHeight="1" thickBot="1">
      <c r="A20" s="1529" t="s">
        <v>1277</v>
      </c>
      <c r="B20" s="1533" t="s">
        <v>1299</v>
      </c>
      <c r="C20" s="1523">
        <v>27660</v>
      </c>
      <c r="D20" s="1523">
        <v>24240</v>
      </c>
      <c r="E20" s="1523">
        <v>24020</v>
      </c>
      <c r="F20" s="1538"/>
      <c r="I20" s="1523" t="s">
        <v>1381</v>
      </c>
      <c r="J20" s="1523" t="s">
        <v>1382</v>
      </c>
      <c r="K20" s="1523" t="s">
        <v>1383</v>
      </c>
      <c r="L20" s="1523" t="s">
        <v>1384</v>
      </c>
      <c r="M20" s="1523" t="s">
        <v>1385</v>
      </c>
      <c r="N20" s="1523" t="s">
        <v>1386</v>
      </c>
      <c r="O20" s="1523" t="s">
        <v>1387</v>
      </c>
      <c r="P20" s="1523" t="s">
        <v>1388</v>
      </c>
      <c r="Q20" s="1523" t="s">
        <v>1389</v>
      </c>
      <c r="R20" s="1523" t="s">
        <v>1390</v>
      </c>
    </row>
    <row r="21" spans="1:18" ht="14.25" customHeight="1" thickBot="1">
      <c r="A21" s="1529" t="s">
        <v>1277</v>
      </c>
      <c r="B21" s="1533" t="s">
        <v>1309</v>
      </c>
      <c r="C21" s="1523">
        <v>24720</v>
      </c>
      <c r="D21" s="1523">
        <v>21670</v>
      </c>
      <c r="E21" s="1523">
        <v>21510</v>
      </c>
      <c r="F21" s="1538"/>
      <c r="J21" s="1523" t="s">
        <v>1391</v>
      </c>
      <c r="K21" s="1523" t="s">
        <v>1392</v>
      </c>
      <c r="L21" s="1523" t="s">
        <v>1393</v>
      </c>
      <c r="M21" s="1523" t="s">
        <v>1394</v>
      </c>
      <c r="N21" s="1523" t="s">
        <v>1395</v>
      </c>
      <c r="O21" s="1523" t="s">
        <v>1396</v>
      </c>
      <c r="P21" s="1523" t="s">
        <v>1397</v>
      </c>
      <c r="Q21" s="1523" t="s">
        <v>1398</v>
      </c>
      <c r="R21" s="1523" t="s">
        <v>1399</v>
      </c>
    </row>
    <row r="22" spans="1:18" ht="14.25" customHeight="1" thickBot="1">
      <c r="A22" s="1529" t="s">
        <v>1277</v>
      </c>
      <c r="B22" s="1533" t="s">
        <v>1400</v>
      </c>
      <c r="C22" s="1523">
        <v>26530</v>
      </c>
      <c r="D22" s="1523">
        <v>22980</v>
      </c>
      <c r="E22" s="1523">
        <v>22650</v>
      </c>
      <c r="F22" s="1538"/>
      <c r="K22" s="1523" t="s">
        <v>1401</v>
      </c>
      <c r="L22" s="1523" t="s">
        <v>1402</v>
      </c>
      <c r="M22" s="1523" t="s">
        <v>1403</v>
      </c>
      <c r="N22" s="1523" t="s">
        <v>1404</v>
      </c>
      <c r="O22" s="1523" t="s">
        <v>1405</v>
      </c>
      <c r="P22" s="1523" t="s">
        <v>1406</v>
      </c>
      <c r="Q22" s="1523" t="s">
        <v>1407</v>
      </c>
      <c r="R22" s="1533" t="s">
        <v>1408</v>
      </c>
    </row>
    <row r="23" spans="1:18" ht="14.25" customHeight="1" thickBot="1">
      <c r="A23" s="1529" t="s">
        <v>1277</v>
      </c>
      <c r="B23" s="1533" t="s">
        <v>1330</v>
      </c>
      <c r="C23" s="1523">
        <v>24700</v>
      </c>
      <c r="D23" s="1523">
        <v>27290</v>
      </c>
      <c r="E23" s="1523">
        <v>26710</v>
      </c>
      <c r="F23" s="1538"/>
      <c r="K23" s="1523" t="s">
        <v>1409</v>
      </c>
      <c r="L23" s="1523" t="s">
        <v>1410</v>
      </c>
      <c r="M23" s="1523" t="s">
        <v>1411</v>
      </c>
      <c r="N23" s="1523" t="s">
        <v>1412</v>
      </c>
      <c r="O23" s="1523" t="s">
        <v>1413</v>
      </c>
      <c r="P23" s="1523" t="s">
        <v>1414</v>
      </c>
      <c r="Q23" s="1523" t="s">
        <v>1415</v>
      </c>
    </row>
    <row r="24" spans="1:18" ht="14.25" customHeight="1" thickBot="1">
      <c r="A24" s="1529" t="s">
        <v>1277</v>
      </c>
      <c r="B24" s="1533" t="s">
        <v>1341</v>
      </c>
      <c r="C24" s="1523">
        <v>23070</v>
      </c>
      <c r="D24" s="1523">
        <v>24130</v>
      </c>
      <c r="E24" s="1523">
        <v>23860</v>
      </c>
      <c r="F24" s="1538"/>
      <c r="K24" s="1523" t="s">
        <v>1416</v>
      </c>
      <c r="L24" s="1523" t="s">
        <v>1417</v>
      </c>
      <c r="M24" s="1523" t="s">
        <v>1418</v>
      </c>
      <c r="N24" s="1523" t="s">
        <v>1419</v>
      </c>
      <c r="O24" s="1523" t="s">
        <v>1420</v>
      </c>
      <c r="P24" s="1523" t="s">
        <v>1421</v>
      </c>
      <c r="Q24" s="1523" t="s">
        <v>1422</v>
      </c>
    </row>
    <row r="25" spans="1:18" ht="14.25" customHeight="1" thickBot="1">
      <c r="A25" s="1529" t="s">
        <v>1277</v>
      </c>
      <c r="B25" s="1533" t="s">
        <v>1351</v>
      </c>
      <c r="C25" s="1523">
        <v>27550</v>
      </c>
      <c r="D25" s="1523">
        <v>25850</v>
      </c>
      <c r="E25" s="1523">
        <v>25340</v>
      </c>
      <c r="F25" s="1538"/>
      <c r="K25" s="1523" t="s">
        <v>1423</v>
      </c>
      <c r="L25" s="1523" t="s">
        <v>1424</v>
      </c>
      <c r="M25" s="1523" t="s">
        <v>1425</v>
      </c>
      <c r="N25" s="1523" t="s">
        <v>1426</v>
      </c>
      <c r="O25" s="1523" t="s">
        <v>1427</v>
      </c>
      <c r="P25" s="1523" t="s">
        <v>1428</v>
      </c>
      <c r="Q25" s="1523" t="s">
        <v>1429</v>
      </c>
    </row>
    <row r="26" spans="1:18" ht="14.25" customHeight="1" thickBot="1">
      <c r="A26" s="1529" t="s">
        <v>1277</v>
      </c>
      <c r="B26" s="1533" t="s">
        <v>1361</v>
      </c>
      <c r="C26" s="1523"/>
      <c r="D26" s="1523">
        <v>23900</v>
      </c>
      <c r="E26" s="1523">
        <v>23590</v>
      </c>
      <c r="F26" s="1538"/>
      <c r="K26" s="1523" t="s">
        <v>1430</v>
      </c>
      <c r="L26" s="1523" t="s">
        <v>1431</v>
      </c>
      <c r="M26" s="1523" t="s">
        <v>1432</v>
      </c>
      <c r="N26" s="1523" t="s">
        <v>1433</v>
      </c>
      <c r="O26" s="1523" t="s">
        <v>1434</v>
      </c>
      <c r="P26" s="1523" t="s">
        <v>1435</v>
      </c>
      <c r="Q26" s="1523" t="s">
        <v>1436</v>
      </c>
    </row>
    <row r="27" spans="1:18" ht="14.25" customHeight="1" thickBot="1">
      <c r="A27" s="1529" t="s">
        <v>1277</v>
      </c>
      <c r="B27" s="1533" t="s">
        <v>1371</v>
      </c>
      <c r="C27" s="1523"/>
      <c r="D27" s="1523">
        <v>22850</v>
      </c>
      <c r="E27" s="1523">
        <v>21920</v>
      </c>
      <c r="F27" s="1538"/>
      <c r="K27" s="1523" t="s">
        <v>1437</v>
      </c>
      <c r="L27" s="1523" t="s">
        <v>1438</v>
      </c>
      <c r="M27" s="1523" t="s">
        <v>1439</v>
      </c>
      <c r="N27" s="1523" t="s">
        <v>1440</v>
      </c>
      <c r="O27" s="1523" t="s">
        <v>1441</v>
      </c>
      <c r="P27" s="1523" t="s">
        <v>1442</v>
      </c>
      <c r="Q27" s="1523" t="s">
        <v>1443</v>
      </c>
    </row>
    <row r="28" spans="1:18" ht="14.25" customHeight="1" thickBot="1">
      <c r="A28" s="1539" t="s">
        <v>1277</v>
      </c>
      <c r="B28" s="1534" t="s">
        <v>1381</v>
      </c>
      <c r="C28" s="1535"/>
      <c r="D28" s="1535">
        <v>26610</v>
      </c>
      <c r="E28" s="1535">
        <v>26370</v>
      </c>
      <c r="F28" s="1536"/>
      <c r="K28" s="1523" t="s">
        <v>1444</v>
      </c>
      <c r="L28" s="1523" t="s">
        <v>1445</v>
      </c>
      <c r="M28" s="1523" t="s">
        <v>1446</v>
      </c>
      <c r="N28" s="1523" t="s">
        <v>1447</v>
      </c>
      <c r="O28" s="1523" t="s">
        <v>1448</v>
      </c>
      <c r="P28" s="1523" t="s">
        <v>1449</v>
      </c>
    </row>
    <row r="29" spans="1:18" ht="14.25" customHeight="1" thickBot="1">
      <c r="A29" s="1529" t="s">
        <v>1450</v>
      </c>
      <c r="B29" s="1530" t="s">
        <v>1451</v>
      </c>
      <c r="C29" s="1530">
        <v>22090</v>
      </c>
      <c r="D29" s="1530">
        <v>21860</v>
      </c>
      <c r="E29" s="1530">
        <v>19380</v>
      </c>
      <c r="F29" s="1531">
        <v>6610</v>
      </c>
      <c r="L29" s="1523" t="s">
        <v>1452</v>
      </c>
      <c r="M29" s="1523" t="s">
        <v>1453</v>
      </c>
      <c r="N29" s="1523" t="s">
        <v>1454</v>
      </c>
      <c r="O29" s="1523" t="s">
        <v>1455</v>
      </c>
      <c r="P29" s="1523" t="s">
        <v>1456</v>
      </c>
    </row>
    <row r="30" spans="1:18" ht="14.25" customHeight="1" thickBot="1">
      <c r="A30" s="1529" t="s">
        <v>1450</v>
      </c>
      <c r="B30" s="1533" t="s">
        <v>1197</v>
      </c>
      <c r="C30" s="1523">
        <v>21380</v>
      </c>
      <c r="D30" s="1523">
        <v>19930</v>
      </c>
      <c r="E30" s="1523">
        <v>19860</v>
      </c>
      <c r="F30" s="1537">
        <v>6010</v>
      </c>
      <c r="L30" s="1523" t="s">
        <v>1457</v>
      </c>
      <c r="M30" s="1523" t="s">
        <v>1458</v>
      </c>
      <c r="N30" s="1523" t="s">
        <v>1459</v>
      </c>
      <c r="O30" s="1523" t="s">
        <v>2496</v>
      </c>
      <c r="P30" s="1523" t="s">
        <v>1460</v>
      </c>
    </row>
    <row r="31" spans="1:18" ht="14.25" customHeight="1" thickBot="1">
      <c r="A31" s="1529" t="s">
        <v>1450</v>
      </c>
      <c r="B31" s="1533" t="s">
        <v>1210</v>
      </c>
      <c r="C31" s="1523">
        <v>21670</v>
      </c>
      <c r="D31" s="1523">
        <v>20660</v>
      </c>
      <c r="E31" s="1523">
        <v>20290</v>
      </c>
      <c r="F31" s="1537">
        <v>5840</v>
      </c>
      <c r="L31" s="1523" t="s">
        <v>1461</v>
      </c>
      <c r="M31" s="1523" t="s">
        <v>1462</v>
      </c>
      <c r="N31" s="1523" t="s">
        <v>1463</v>
      </c>
      <c r="O31" s="1523" t="s">
        <v>1464</v>
      </c>
      <c r="P31" s="1523" t="s">
        <v>1465</v>
      </c>
    </row>
    <row r="32" spans="1:18" ht="14.25" customHeight="1" thickBot="1">
      <c r="A32" s="1529" t="s">
        <v>1450</v>
      </c>
      <c r="B32" s="1533" t="s">
        <v>1223</v>
      </c>
      <c r="C32" s="1523">
        <v>22280</v>
      </c>
      <c r="D32" s="1523">
        <v>21800</v>
      </c>
      <c r="E32" s="1523">
        <v>17650</v>
      </c>
      <c r="F32" s="1537">
        <v>4690</v>
      </c>
      <c r="L32" s="1523" t="s">
        <v>1466</v>
      </c>
      <c r="M32" s="1523" t="s">
        <v>1467</v>
      </c>
      <c r="N32" s="1523" t="s">
        <v>1468</v>
      </c>
      <c r="O32" s="1523" t="s">
        <v>1469</v>
      </c>
      <c r="P32" s="1523" t="s">
        <v>1470</v>
      </c>
    </row>
    <row r="33" spans="1:16" ht="14.25" customHeight="1" thickBot="1">
      <c r="A33" s="1529" t="s">
        <v>1450</v>
      </c>
      <c r="B33" s="1533" t="s">
        <v>1235</v>
      </c>
      <c r="C33" s="1523">
        <v>22130</v>
      </c>
      <c r="D33" s="1523">
        <v>20460</v>
      </c>
      <c r="E33" s="1523">
        <v>18500</v>
      </c>
      <c r="F33" s="1537">
        <v>5340</v>
      </c>
      <c r="L33" s="1523" t="s">
        <v>1471</v>
      </c>
      <c r="M33" s="1523" t="s">
        <v>1472</v>
      </c>
      <c r="N33" s="1523" t="s">
        <v>1473</v>
      </c>
      <c r="O33" s="1523" t="s">
        <v>1474</v>
      </c>
      <c r="P33" s="1523" t="s">
        <v>1475</v>
      </c>
    </row>
    <row r="34" spans="1:16" ht="14.25" customHeight="1" thickBot="1">
      <c r="A34" s="1529" t="s">
        <v>1450</v>
      </c>
      <c r="B34" s="1533" t="s">
        <v>1246</v>
      </c>
      <c r="C34" s="1523">
        <v>22070</v>
      </c>
      <c r="D34" s="1523">
        <v>20110</v>
      </c>
      <c r="E34" s="1523">
        <v>18830</v>
      </c>
      <c r="F34" s="1537">
        <v>5190</v>
      </c>
      <c r="L34" s="1523" t="s">
        <v>1476</v>
      </c>
      <c r="M34" s="1523" t="s">
        <v>1477</v>
      </c>
      <c r="N34" s="1523" t="s">
        <v>1478</v>
      </c>
      <c r="O34" s="1523" t="s">
        <v>1479</v>
      </c>
      <c r="P34" s="1523" t="s">
        <v>1480</v>
      </c>
    </row>
    <row r="35" spans="1:16" ht="14.25" customHeight="1" thickBot="1">
      <c r="A35" s="1529" t="s">
        <v>1450</v>
      </c>
      <c r="B35" s="1533" t="s">
        <v>1257</v>
      </c>
      <c r="C35" s="1523">
        <v>22240</v>
      </c>
      <c r="D35" s="1523">
        <v>19550</v>
      </c>
      <c r="E35" s="1523">
        <v>19220</v>
      </c>
      <c r="F35" s="1537">
        <v>5800</v>
      </c>
      <c r="L35" s="1523" t="s">
        <v>1481</v>
      </c>
      <c r="M35" s="1523" t="s">
        <v>1482</v>
      </c>
      <c r="N35" s="1523" t="s">
        <v>1483</v>
      </c>
      <c r="O35" s="1523" t="s">
        <v>1484</v>
      </c>
      <c r="P35" s="1523" t="s">
        <v>1485</v>
      </c>
    </row>
    <row r="36" spans="1:16" ht="14.25" customHeight="1" thickBot="1">
      <c r="A36" s="1529" t="s">
        <v>1450</v>
      </c>
      <c r="B36" s="1533" t="s">
        <v>1268</v>
      </c>
      <c r="C36" s="1523">
        <v>19750</v>
      </c>
      <c r="D36" s="1523">
        <v>19790</v>
      </c>
      <c r="E36" s="1523">
        <v>18510</v>
      </c>
      <c r="F36" s="1537">
        <v>6520</v>
      </c>
      <c r="M36" s="1523" t="s">
        <v>1486</v>
      </c>
      <c r="N36" s="1523" t="s">
        <v>1487</v>
      </c>
      <c r="O36" s="1523" t="s">
        <v>1488</v>
      </c>
      <c r="P36" s="1523" t="s">
        <v>1489</v>
      </c>
    </row>
    <row r="37" spans="1:16" ht="14.25" customHeight="1" thickBot="1">
      <c r="A37" s="1529" t="s">
        <v>1450</v>
      </c>
      <c r="B37" s="1533" t="s">
        <v>1280</v>
      </c>
      <c r="C37" s="1523">
        <v>22380</v>
      </c>
      <c r="D37" s="1523">
        <v>18530</v>
      </c>
      <c r="E37" s="1523">
        <v>17930</v>
      </c>
      <c r="F37" s="1537">
        <v>6270</v>
      </c>
      <c r="M37" s="1523" t="s">
        <v>1490</v>
      </c>
      <c r="N37" s="1523" t="s">
        <v>1491</v>
      </c>
      <c r="O37" s="1523" t="s">
        <v>1492</v>
      </c>
      <c r="P37" s="1523" t="s">
        <v>1493</v>
      </c>
    </row>
    <row r="38" spans="1:16" ht="14.25" customHeight="1" thickBot="1">
      <c r="A38" s="1529" t="s">
        <v>1450</v>
      </c>
      <c r="B38" s="1533" t="s">
        <v>1290</v>
      </c>
      <c r="C38" s="1523">
        <v>20200</v>
      </c>
      <c r="D38" s="1523">
        <v>20070</v>
      </c>
      <c r="E38" s="1523">
        <v>19950</v>
      </c>
      <c r="F38" s="1537"/>
      <c r="M38" s="1523" t="s">
        <v>1494</v>
      </c>
      <c r="N38" s="1523" t="s">
        <v>1495</v>
      </c>
      <c r="O38" s="1523" t="s">
        <v>1496</v>
      </c>
      <c r="P38" s="1523" t="s">
        <v>1497</v>
      </c>
    </row>
    <row r="39" spans="1:16" ht="14.25" customHeight="1" thickBot="1">
      <c r="A39" s="1529" t="s">
        <v>1450</v>
      </c>
      <c r="B39" s="1533" t="s">
        <v>1300</v>
      </c>
      <c r="C39" s="1523">
        <v>19300</v>
      </c>
      <c r="D39" s="1523">
        <v>20360</v>
      </c>
      <c r="E39" s="1523">
        <v>20230</v>
      </c>
      <c r="F39" s="1537"/>
      <c r="M39" s="1523" t="s">
        <v>1498</v>
      </c>
      <c r="N39" s="1523" t="s">
        <v>1499</v>
      </c>
      <c r="O39" s="1523" t="s">
        <v>1500</v>
      </c>
      <c r="P39" s="1523" t="s">
        <v>1501</v>
      </c>
    </row>
    <row r="40" spans="1:16" ht="14.25" customHeight="1" thickBot="1">
      <c r="A40" s="1529" t="s">
        <v>1450</v>
      </c>
      <c r="B40" s="1533" t="s">
        <v>1310</v>
      </c>
      <c r="C40" s="1523">
        <v>20210</v>
      </c>
      <c r="D40" s="1523">
        <v>19060</v>
      </c>
      <c r="E40" s="1523">
        <v>18890</v>
      </c>
      <c r="F40" s="1537"/>
      <c r="M40" s="1523" t="s">
        <v>1502</v>
      </c>
      <c r="N40" s="1523" t="s">
        <v>1503</v>
      </c>
      <c r="O40" s="1523" t="s">
        <v>1504</v>
      </c>
      <c r="P40" s="1523" t="s">
        <v>1505</v>
      </c>
    </row>
    <row r="41" spans="1:16" ht="14.25" customHeight="1" thickBot="1">
      <c r="A41" s="1529" t="s">
        <v>1450</v>
      </c>
      <c r="B41" s="1533" t="s">
        <v>1320</v>
      </c>
      <c r="C41" s="1523">
        <v>20560</v>
      </c>
      <c r="D41" s="1523">
        <v>21040</v>
      </c>
      <c r="E41" s="1523">
        <v>20740</v>
      </c>
      <c r="F41" s="1537"/>
      <c r="M41" s="1533" t="s">
        <v>1506</v>
      </c>
      <c r="N41" s="1533" t="s">
        <v>1507</v>
      </c>
      <c r="P41" s="1533" t="s">
        <v>1508</v>
      </c>
    </row>
    <row r="42" spans="1:16" ht="14.25" customHeight="1" thickBot="1">
      <c r="A42" s="1529" t="s">
        <v>1450</v>
      </c>
      <c r="B42" s="1533" t="s">
        <v>1331</v>
      </c>
      <c r="C42" s="1523">
        <v>19280</v>
      </c>
      <c r="D42" s="1523">
        <v>22940</v>
      </c>
      <c r="E42" s="1523">
        <v>22500</v>
      </c>
      <c r="F42" s="1537"/>
      <c r="M42" s="1523" t="s">
        <v>1509</v>
      </c>
      <c r="N42" s="1523" t="s">
        <v>1510</v>
      </c>
      <c r="P42" s="1523" t="s">
        <v>1511</v>
      </c>
    </row>
    <row r="43" spans="1:16" ht="14.25" customHeight="1" thickBot="1">
      <c r="A43" s="1529" t="s">
        <v>1450</v>
      </c>
      <c r="B43" s="1533" t="s">
        <v>1342</v>
      </c>
      <c r="C43" s="1523">
        <v>21520</v>
      </c>
      <c r="D43" s="1523">
        <v>19230</v>
      </c>
      <c r="E43" s="1523">
        <v>18540</v>
      </c>
      <c r="F43" s="1537"/>
      <c r="M43" s="1523" t="s">
        <v>1512</v>
      </c>
      <c r="N43" s="1523" t="s">
        <v>1513</v>
      </c>
      <c r="P43" s="1523" t="s">
        <v>1514</v>
      </c>
    </row>
    <row r="44" spans="1:16" ht="14.25" customHeight="1" thickBot="1">
      <c r="A44" s="1529" t="s">
        <v>1450</v>
      </c>
      <c r="B44" s="1533" t="s">
        <v>1352</v>
      </c>
      <c r="C44" s="1523">
        <v>23260</v>
      </c>
      <c r="D44" s="1523">
        <v>21180</v>
      </c>
      <c r="E44" s="1523">
        <v>20730</v>
      </c>
      <c r="F44" s="1537"/>
      <c r="M44" s="1523" t="s">
        <v>1515</v>
      </c>
      <c r="N44" s="1523" t="s">
        <v>1516</v>
      </c>
      <c r="P44" s="1523" t="s">
        <v>1517</v>
      </c>
    </row>
    <row r="45" spans="1:16" ht="14.25" customHeight="1" thickBot="1">
      <c r="A45" s="1529" t="s">
        <v>1450</v>
      </c>
      <c r="B45" s="1533" t="s">
        <v>1362</v>
      </c>
      <c r="C45" s="1523">
        <v>19610</v>
      </c>
      <c r="D45" s="1523">
        <v>18090</v>
      </c>
      <c r="E45" s="1523">
        <v>17970</v>
      </c>
      <c r="F45" s="1537"/>
      <c r="M45" s="1523" t="s">
        <v>1518</v>
      </c>
      <c r="N45" s="1523" t="s">
        <v>1519</v>
      </c>
      <c r="P45" s="1523" t="s">
        <v>1520</v>
      </c>
    </row>
    <row r="46" spans="1:16" ht="14.25" customHeight="1" thickBot="1">
      <c r="A46" s="1529" t="s">
        <v>1450</v>
      </c>
      <c r="B46" s="1533" t="s">
        <v>1372</v>
      </c>
      <c r="C46" s="1523">
        <v>21660</v>
      </c>
      <c r="D46" s="1523">
        <v>19190</v>
      </c>
      <c r="E46" s="1523">
        <v>19790</v>
      </c>
      <c r="F46" s="1537"/>
      <c r="M46" s="1523" t="s">
        <v>1521</v>
      </c>
      <c r="N46" s="1523" t="s">
        <v>1522</v>
      </c>
      <c r="P46" s="1523" t="s">
        <v>1523</v>
      </c>
    </row>
    <row r="47" spans="1:16" ht="14.25" customHeight="1" thickBot="1">
      <c r="A47" s="1529" t="s">
        <v>1450</v>
      </c>
      <c r="B47" s="1533" t="s">
        <v>1382</v>
      </c>
      <c r="C47" s="1523">
        <v>18220</v>
      </c>
      <c r="D47" s="1523"/>
      <c r="E47" s="1523">
        <v>17220</v>
      </c>
      <c r="F47" s="1537"/>
      <c r="M47" s="1523" t="s">
        <v>1524</v>
      </c>
      <c r="N47" s="1523" t="s">
        <v>1525</v>
      </c>
    </row>
    <row r="48" spans="1:16" ht="14.25" customHeight="1" thickBot="1">
      <c r="A48" s="1529" t="s">
        <v>1450</v>
      </c>
      <c r="B48" s="1534" t="s">
        <v>1391</v>
      </c>
      <c r="C48" s="1535">
        <v>19430</v>
      </c>
      <c r="D48" s="1535"/>
      <c r="E48" s="1535">
        <v>17830</v>
      </c>
      <c r="F48" s="1540"/>
      <c r="M48" s="1523" t="s">
        <v>1526</v>
      </c>
      <c r="N48" s="1523" t="s">
        <v>1527</v>
      </c>
    </row>
    <row r="49" spans="1:14" ht="14.25" customHeight="1" thickBot="1">
      <c r="A49" s="1529" t="s">
        <v>1131</v>
      </c>
      <c r="B49" s="1530" t="s">
        <v>1528</v>
      </c>
      <c r="C49" s="1530">
        <v>17090</v>
      </c>
      <c r="D49" s="1530">
        <v>16950</v>
      </c>
      <c r="E49" s="1530">
        <v>16310</v>
      </c>
      <c r="F49" s="1531">
        <v>4540</v>
      </c>
      <c r="M49" s="1523" t="s">
        <v>1529</v>
      </c>
      <c r="N49" s="1523" t="s">
        <v>1530</v>
      </c>
    </row>
    <row r="50" spans="1:14" ht="14.25" customHeight="1" thickBot="1">
      <c r="A50" s="1529" t="s">
        <v>1131</v>
      </c>
      <c r="B50" s="1523" t="s">
        <v>1198</v>
      </c>
      <c r="C50" s="1523">
        <v>19040</v>
      </c>
      <c r="D50" s="1523">
        <v>16960</v>
      </c>
      <c r="E50" s="1523">
        <v>14800</v>
      </c>
      <c r="F50" s="1537">
        <v>3940</v>
      </c>
    </row>
    <row r="51" spans="1:14" ht="14.25" customHeight="1" thickBot="1">
      <c r="A51" s="1529" t="s">
        <v>1131</v>
      </c>
      <c r="B51" s="1523" t="s">
        <v>1211</v>
      </c>
      <c r="C51" s="1523">
        <v>17040</v>
      </c>
      <c r="D51" s="1523">
        <v>16930</v>
      </c>
      <c r="E51" s="1523">
        <v>15030</v>
      </c>
      <c r="F51" s="1537">
        <v>4120</v>
      </c>
    </row>
    <row r="52" spans="1:14" ht="14.25" customHeight="1" thickBot="1">
      <c r="A52" s="1529" t="s">
        <v>1131</v>
      </c>
      <c r="B52" s="1523" t="s">
        <v>1224</v>
      </c>
      <c r="C52" s="1523">
        <v>17110</v>
      </c>
      <c r="D52" s="1523">
        <v>17750</v>
      </c>
      <c r="E52" s="1523">
        <v>17310</v>
      </c>
      <c r="F52" s="1537">
        <v>3220</v>
      </c>
    </row>
    <row r="53" spans="1:14" ht="14.25" customHeight="1" thickBot="1">
      <c r="A53" s="1529" t="s">
        <v>1131</v>
      </c>
      <c r="B53" s="1523" t="s">
        <v>1236</v>
      </c>
      <c r="C53" s="1523">
        <v>17810</v>
      </c>
      <c r="D53" s="1523">
        <v>17260</v>
      </c>
      <c r="E53" s="1523">
        <v>17090</v>
      </c>
      <c r="F53" s="1537">
        <v>3520</v>
      </c>
    </row>
    <row r="54" spans="1:14" ht="14.25" customHeight="1" thickBot="1">
      <c r="A54" s="1529" t="s">
        <v>1131</v>
      </c>
      <c r="B54" s="1523" t="s">
        <v>1247</v>
      </c>
      <c r="C54" s="1523">
        <v>17410</v>
      </c>
      <c r="D54" s="1523">
        <v>16780</v>
      </c>
      <c r="E54" s="1523">
        <v>16370</v>
      </c>
      <c r="F54" s="1537">
        <v>3410</v>
      </c>
    </row>
    <row r="55" spans="1:14" ht="14.25" customHeight="1" thickBot="1">
      <c r="A55" s="1529" t="s">
        <v>1131</v>
      </c>
      <c r="B55" s="1523" t="s">
        <v>1258</v>
      </c>
      <c r="C55" s="1523">
        <v>16930</v>
      </c>
      <c r="D55" s="1523">
        <v>14720</v>
      </c>
      <c r="E55" s="1523">
        <v>15000</v>
      </c>
      <c r="F55" s="1537">
        <v>3710</v>
      </c>
    </row>
    <row r="56" spans="1:14" ht="14.25" customHeight="1" thickBot="1">
      <c r="A56" s="1529" t="s">
        <v>1131</v>
      </c>
      <c r="B56" s="1523" t="s">
        <v>1269</v>
      </c>
      <c r="C56" s="1523">
        <v>14930</v>
      </c>
      <c r="D56" s="1523">
        <v>15850</v>
      </c>
      <c r="E56" s="1523">
        <v>14320</v>
      </c>
      <c r="F56" s="1537">
        <v>3960</v>
      </c>
    </row>
    <row r="57" spans="1:14" ht="14.25" customHeight="1" thickBot="1">
      <c r="A57" s="1529" t="s">
        <v>1131</v>
      </c>
      <c r="B57" s="1523" t="s">
        <v>1281</v>
      </c>
      <c r="C57" s="1523">
        <v>16160</v>
      </c>
      <c r="D57" s="1523">
        <v>16190</v>
      </c>
      <c r="E57" s="1523">
        <v>15650</v>
      </c>
      <c r="F57" s="1537">
        <v>4200</v>
      </c>
    </row>
    <row r="58" spans="1:14" ht="14.25" customHeight="1" thickBot="1">
      <c r="A58" s="1529" t="s">
        <v>1131</v>
      </c>
      <c r="B58" s="1523" t="s">
        <v>1291</v>
      </c>
      <c r="C58" s="1523">
        <v>16360</v>
      </c>
      <c r="D58" s="1523">
        <v>14050</v>
      </c>
      <c r="E58" s="1523">
        <v>16070</v>
      </c>
      <c r="F58" s="1537">
        <v>3990</v>
      </c>
    </row>
    <row r="59" spans="1:14" ht="14.25" customHeight="1" thickBot="1">
      <c r="A59" s="1529" t="s">
        <v>1131</v>
      </c>
      <c r="B59" s="1523" t="s">
        <v>1301</v>
      </c>
      <c r="C59" s="1523">
        <v>14160</v>
      </c>
      <c r="D59" s="1523">
        <v>16620</v>
      </c>
      <c r="E59" s="1523">
        <v>13940</v>
      </c>
      <c r="F59" s="1537">
        <v>4260</v>
      </c>
    </row>
    <row r="60" spans="1:14" ht="14.25" customHeight="1" thickBot="1">
      <c r="A60" s="1529" t="s">
        <v>1131</v>
      </c>
      <c r="B60" s="1523" t="s">
        <v>1311</v>
      </c>
      <c r="C60" s="1523">
        <v>16750</v>
      </c>
      <c r="D60" s="1523">
        <v>13910</v>
      </c>
      <c r="E60" s="1523">
        <v>16550</v>
      </c>
      <c r="F60" s="1537">
        <v>4550</v>
      </c>
    </row>
    <row r="61" spans="1:14" ht="14.25" customHeight="1" thickBot="1">
      <c r="A61" s="1529" t="s">
        <v>1131</v>
      </c>
      <c r="B61" s="1523" t="s">
        <v>1321</v>
      </c>
      <c r="C61" s="1523">
        <v>14000</v>
      </c>
      <c r="D61" s="1523">
        <v>14550</v>
      </c>
      <c r="E61" s="1523">
        <v>13860</v>
      </c>
      <c r="F61" s="1541"/>
    </row>
    <row r="62" spans="1:14" ht="14.25" customHeight="1" thickBot="1">
      <c r="A62" s="1529" t="s">
        <v>1131</v>
      </c>
      <c r="B62" s="1523" t="s">
        <v>1332</v>
      </c>
      <c r="C62" s="1523">
        <v>14660</v>
      </c>
      <c r="D62" s="1523">
        <v>17450</v>
      </c>
      <c r="E62" s="1523">
        <v>14470</v>
      </c>
      <c r="F62" s="1541"/>
    </row>
    <row r="63" spans="1:14" ht="14.25" customHeight="1" thickBot="1">
      <c r="A63" s="1529" t="s">
        <v>1131</v>
      </c>
      <c r="B63" s="1523" t="s">
        <v>1343</v>
      </c>
      <c r="C63" s="1523">
        <v>17610</v>
      </c>
      <c r="D63" s="1523">
        <v>16500</v>
      </c>
      <c r="E63" s="1523">
        <v>17330</v>
      </c>
      <c r="F63" s="1541"/>
    </row>
    <row r="64" spans="1:14" ht="14.25" customHeight="1" thickBot="1">
      <c r="A64" s="1529" t="s">
        <v>1131</v>
      </c>
      <c r="B64" s="1523" t="s">
        <v>1353</v>
      </c>
      <c r="C64" s="1523">
        <v>16590</v>
      </c>
      <c r="D64" s="1523">
        <v>15130</v>
      </c>
      <c r="E64" s="1523">
        <v>16420</v>
      </c>
      <c r="F64" s="1541"/>
    </row>
    <row r="65" spans="1:6" s="1517" customFormat="1" ht="14.25" customHeight="1" thickBot="1">
      <c r="A65" s="1529" t="s">
        <v>1131</v>
      </c>
      <c r="B65" s="1523" t="s">
        <v>1363</v>
      </c>
      <c r="C65" s="1523">
        <v>15220</v>
      </c>
      <c r="D65" s="1523">
        <v>14660</v>
      </c>
      <c r="E65" s="1523">
        <v>15060</v>
      </c>
      <c r="F65" s="1537"/>
    </row>
    <row r="66" spans="1:6" s="1517" customFormat="1" ht="14.25" customHeight="1" thickBot="1">
      <c r="A66" s="1529" t="s">
        <v>1131</v>
      </c>
      <c r="B66" s="1523" t="s">
        <v>1373</v>
      </c>
      <c r="C66" s="1523">
        <v>14720</v>
      </c>
      <c r="D66" s="1523">
        <v>15970</v>
      </c>
      <c r="E66" s="1523">
        <v>14610</v>
      </c>
      <c r="F66" s="1537"/>
    </row>
    <row r="67" spans="1:6" s="1517" customFormat="1" ht="14.25" customHeight="1" thickBot="1">
      <c r="A67" s="1529" t="s">
        <v>1131</v>
      </c>
      <c r="B67" s="1523" t="s">
        <v>1383</v>
      </c>
      <c r="C67" s="1523">
        <v>16080</v>
      </c>
      <c r="D67" s="1523">
        <v>14840</v>
      </c>
      <c r="E67" s="1523">
        <v>15630</v>
      </c>
      <c r="F67" s="1537"/>
    </row>
    <row r="68" spans="1:6" s="1517" customFormat="1" ht="14.25" customHeight="1" thickBot="1">
      <c r="A68" s="1529" t="s">
        <v>1131</v>
      </c>
      <c r="B68" s="1523" t="s">
        <v>1392</v>
      </c>
      <c r="C68" s="1523">
        <v>14940</v>
      </c>
      <c r="D68" s="1523">
        <v>18000</v>
      </c>
      <c r="E68" s="1523">
        <v>14040</v>
      </c>
      <c r="F68" s="1537"/>
    </row>
    <row r="69" spans="1:6" s="1517" customFormat="1" ht="14.25" customHeight="1" thickBot="1">
      <c r="A69" s="1529" t="s">
        <v>1131</v>
      </c>
      <c r="B69" s="1523" t="s">
        <v>1401</v>
      </c>
      <c r="C69" s="1523">
        <v>18810</v>
      </c>
      <c r="D69" s="1523">
        <v>15100</v>
      </c>
      <c r="E69" s="1523">
        <v>14710</v>
      </c>
      <c r="F69" s="1537"/>
    </row>
    <row r="70" spans="1:6" s="1517" customFormat="1" ht="14.25" customHeight="1" thickBot="1">
      <c r="A70" s="1529" t="s">
        <v>1131</v>
      </c>
      <c r="B70" s="1523" t="s">
        <v>1409</v>
      </c>
      <c r="C70" s="1523">
        <v>18270</v>
      </c>
      <c r="D70" s="1523"/>
      <c r="E70" s="1523"/>
      <c r="F70" s="1537"/>
    </row>
    <row r="71" spans="1:6" s="1517" customFormat="1" ht="14.25" customHeight="1" thickBot="1">
      <c r="A71" s="1529" t="s">
        <v>1131</v>
      </c>
      <c r="B71" s="1523" t="s">
        <v>1416</v>
      </c>
      <c r="C71" s="1523">
        <v>15230</v>
      </c>
      <c r="D71" s="1523"/>
      <c r="E71" s="1523"/>
      <c r="F71" s="1537"/>
    </row>
    <row r="72" spans="1:6" s="1517" customFormat="1" ht="14.25" customHeight="1" thickBot="1">
      <c r="A72" s="1529" t="s">
        <v>1131</v>
      </c>
      <c r="B72" s="1523" t="s">
        <v>1423</v>
      </c>
      <c r="C72" s="1523"/>
      <c r="D72" s="1523"/>
      <c r="E72" s="1523"/>
      <c r="F72" s="1537">
        <v>4120</v>
      </c>
    </row>
    <row r="73" spans="1:6" s="1517" customFormat="1" ht="14.25" customHeight="1" thickBot="1">
      <c r="A73" s="1529" t="s">
        <v>1131</v>
      </c>
      <c r="B73" s="1523" t="s">
        <v>1430</v>
      </c>
      <c r="C73" s="1523"/>
      <c r="D73" s="1523"/>
      <c r="E73" s="1523"/>
      <c r="F73" s="1537">
        <v>3930</v>
      </c>
    </row>
    <row r="74" spans="1:6" s="1517" customFormat="1" ht="14.25" customHeight="1" thickBot="1">
      <c r="A74" s="1529" t="s">
        <v>1131</v>
      </c>
      <c r="B74" s="1523" t="s">
        <v>1437</v>
      </c>
      <c r="C74" s="1523"/>
      <c r="D74" s="1523"/>
      <c r="E74" s="1523"/>
      <c r="F74" s="1537">
        <v>4060</v>
      </c>
    </row>
    <row r="75" spans="1:6" s="1517" customFormat="1" ht="14.25" customHeight="1" thickBot="1">
      <c r="A75" s="1529" t="s">
        <v>1131</v>
      </c>
      <c r="B75" s="1535" t="s">
        <v>1444</v>
      </c>
      <c r="C75" s="1535"/>
      <c r="D75" s="1535"/>
      <c r="E75" s="1535"/>
      <c r="F75" s="1540">
        <v>3750</v>
      </c>
    </row>
    <row r="76" spans="1:6" s="1517" customFormat="1" ht="14.25" customHeight="1" thickBot="1">
      <c r="A76" s="1529" t="s">
        <v>1531</v>
      </c>
      <c r="B76" s="1530" t="s">
        <v>1532</v>
      </c>
      <c r="C76" s="1530">
        <v>14690</v>
      </c>
      <c r="D76" s="1530">
        <v>14640</v>
      </c>
      <c r="E76" s="1530">
        <v>14590</v>
      </c>
      <c r="F76" s="1531">
        <v>3060</v>
      </c>
    </row>
    <row r="77" spans="1:6" s="1517" customFormat="1" ht="14.25" customHeight="1" thickBot="1">
      <c r="A77" s="1529" t="s">
        <v>1531</v>
      </c>
      <c r="B77" s="1523" t="s">
        <v>1199</v>
      </c>
      <c r="C77" s="1523">
        <v>12550</v>
      </c>
      <c r="D77" s="1523">
        <v>12480</v>
      </c>
      <c r="E77" s="1523">
        <v>12450</v>
      </c>
      <c r="F77" s="1537">
        <v>2590</v>
      </c>
    </row>
    <row r="78" spans="1:6" s="1517" customFormat="1" ht="14.25" customHeight="1" thickBot="1">
      <c r="A78" s="1529" t="s">
        <v>1531</v>
      </c>
      <c r="B78" s="1523" t="s">
        <v>1212</v>
      </c>
      <c r="C78" s="1523">
        <v>14360</v>
      </c>
      <c r="D78" s="1523">
        <v>14320</v>
      </c>
      <c r="E78" s="1523">
        <v>12510</v>
      </c>
      <c r="F78" s="1537">
        <v>2700</v>
      </c>
    </row>
    <row r="79" spans="1:6" s="1517" customFormat="1" ht="14.25" customHeight="1" thickBot="1">
      <c r="A79" s="1529" t="s">
        <v>1531</v>
      </c>
      <c r="B79" s="1523" t="s">
        <v>1225</v>
      </c>
      <c r="C79" s="1523">
        <v>12590</v>
      </c>
      <c r="D79" s="1523">
        <v>12540</v>
      </c>
      <c r="E79" s="1523">
        <v>12350</v>
      </c>
      <c r="F79" s="1537">
        <v>2740</v>
      </c>
    </row>
    <row r="80" spans="1:6" s="1517" customFormat="1" ht="14.25" customHeight="1" thickBot="1">
      <c r="A80" s="1529" t="s">
        <v>1531</v>
      </c>
      <c r="B80" s="1523" t="s">
        <v>1237</v>
      </c>
      <c r="C80" s="1523">
        <v>12450</v>
      </c>
      <c r="D80" s="1523">
        <v>12370</v>
      </c>
      <c r="E80" s="1523">
        <v>10790</v>
      </c>
      <c r="F80" s="1537">
        <v>2290</v>
      </c>
    </row>
    <row r="81" spans="1:6" s="1517" customFormat="1" ht="14.25" customHeight="1" thickBot="1">
      <c r="A81" s="1529" t="s">
        <v>1531</v>
      </c>
      <c r="B81" s="1523" t="s">
        <v>1248</v>
      </c>
      <c r="C81" s="1523">
        <v>14210</v>
      </c>
      <c r="D81" s="1523">
        <v>14150</v>
      </c>
      <c r="E81" s="1523">
        <v>12730</v>
      </c>
      <c r="F81" s="1537">
        <v>2240</v>
      </c>
    </row>
    <row r="82" spans="1:6" s="1517" customFormat="1" ht="14.25" customHeight="1" thickBot="1">
      <c r="A82" s="1529" t="s">
        <v>1531</v>
      </c>
      <c r="B82" s="1523" t="s">
        <v>1259</v>
      </c>
      <c r="C82" s="1523">
        <v>10860</v>
      </c>
      <c r="D82" s="1523">
        <v>10820</v>
      </c>
      <c r="E82" s="1523">
        <v>14720</v>
      </c>
      <c r="F82" s="1537">
        <v>2490</v>
      </c>
    </row>
    <row r="83" spans="1:6" s="1517" customFormat="1" ht="14.25" customHeight="1" thickBot="1">
      <c r="A83" s="1529" t="s">
        <v>1531</v>
      </c>
      <c r="B83" s="1523" t="s">
        <v>1270</v>
      </c>
      <c r="C83" s="1523">
        <v>12810</v>
      </c>
      <c r="D83" s="1523">
        <v>12760</v>
      </c>
      <c r="E83" s="1523">
        <v>14830</v>
      </c>
      <c r="F83" s="1537">
        <v>2450</v>
      </c>
    </row>
    <row r="84" spans="1:6" s="1517" customFormat="1" ht="14.25" customHeight="1" thickBot="1">
      <c r="A84" s="1529" t="s">
        <v>1531</v>
      </c>
      <c r="B84" s="1523" t="s">
        <v>1282</v>
      </c>
      <c r="C84" s="1523">
        <v>14950</v>
      </c>
      <c r="D84" s="1523">
        <v>14810</v>
      </c>
      <c r="E84" s="1523">
        <v>12590</v>
      </c>
      <c r="F84" s="1537">
        <v>2540</v>
      </c>
    </row>
    <row r="85" spans="1:6" s="1517" customFormat="1" ht="14.25" customHeight="1" thickBot="1">
      <c r="A85" s="1529" t="s">
        <v>1531</v>
      </c>
      <c r="B85" s="1523" t="s">
        <v>1292</v>
      </c>
      <c r="C85" s="1523">
        <v>14960</v>
      </c>
      <c r="D85" s="1523">
        <v>14890</v>
      </c>
      <c r="E85" s="1523">
        <v>12840</v>
      </c>
      <c r="F85" s="1537">
        <v>2840</v>
      </c>
    </row>
    <row r="86" spans="1:6" s="1517" customFormat="1" ht="14.25" customHeight="1" thickBot="1">
      <c r="A86" s="1529" t="s">
        <v>1531</v>
      </c>
      <c r="B86" s="1523" t="s">
        <v>1302</v>
      </c>
      <c r="C86" s="1523">
        <v>12730</v>
      </c>
      <c r="D86" s="1523">
        <v>12660</v>
      </c>
      <c r="E86" s="1523">
        <v>13310</v>
      </c>
      <c r="F86" s="1537">
        <v>3140</v>
      </c>
    </row>
    <row r="87" spans="1:6" s="1517" customFormat="1" ht="14.25" customHeight="1" thickBot="1">
      <c r="A87" s="1529" t="s">
        <v>1531</v>
      </c>
      <c r="B87" s="1523" t="s">
        <v>1312</v>
      </c>
      <c r="C87" s="1523">
        <v>12940</v>
      </c>
      <c r="D87" s="1523">
        <v>12890</v>
      </c>
      <c r="E87" s="1523">
        <v>11580</v>
      </c>
      <c r="F87" s="1541"/>
    </row>
    <row r="88" spans="1:6" s="1517" customFormat="1" ht="14.25" customHeight="1" thickBot="1">
      <c r="A88" s="1529" t="s">
        <v>1531</v>
      </c>
      <c r="B88" s="1523" t="s">
        <v>1322</v>
      </c>
      <c r="C88" s="1523">
        <v>13430</v>
      </c>
      <c r="D88" s="1523">
        <v>13360</v>
      </c>
      <c r="E88" s="1523">
        <v>12790</v>
      </c>
      <c r="F88" s="1541"/>
    </row>
    <row r="89" spans="1:6" s="1517" customFormat="1" ht="14.25" customHeight="1" thickBot="1">
      <c r="A89" s="1529" t="s">
        <v>1531</v>
      </c>
      <c r="B89" s="1523" t="s">
        <v>1333</v>
      </c>
      <c r="C89" s="1523">
        <v>11680</v>
      </c>
      <c r="D89" s="1523">
        <v>11630</v>
      </c>
      <c r="E89" s="1523">
        <v>11320</v>
      </c>
      <c r="F89" s="1541"/>
    </row>
    <row r="90" spans="1:6" s="1517" customFormat="1" ht="14.25" customHeight="1" thickBot="1">
      <c r="A90" s="1529" t="s">
        <v>1531</v>
      </c>
      <c r="B90" s="1523" t="s">
        <v>1344</v>
      </c>
      <c r="C90" s="1523">
        <v>12890</v>
      </c>
      <c r="D90" s="1523">
        <v>12820</v>
      </c>
      <c r="E90" s="1523">
        <v>12710</v>
      </c>
      <c r="F90" s="1541"/>
    </row>
    <row r="91" spans="1:6" s="1517" customFormat="1" ht="14.25" customHeight="1" thickBot="1">
      <c r="A91" s="1529" t="s">
        <v>1531</v>
      </c>
      <c r="B91" s="1523" t="s">
        <v>1354</v>
      </c>
      <c r="C91" s="1523">
        <v>11410</v>
      </c>
      <c r="D91" s="1523">
        <v>11360</v>
      </c>
      <c r="E91" s="1523">
        <v>12670</v>
      </c>
      <c r="F91" s="1541"/>
    </row>
    <row r="92" spans="1:6" s="1517" customFormat="1" ht="14.25" customHeight="1" thickBot="1">
      <c r="A92" s="1529" t="s">
        <v>1531</v>
      </c>
      <c r="B92" s="1523" t="s">
        <v>1364</v>
      </c>
      <c r="C92" s="1523">
        <v>12770</v>
      </c>
      <c r="D92" s="1523">
        <v>12740</v>
      </c>
      <c r="E92" s="1523">
        <v>11970</v>
      </c>
      <c r="F92" s="1541"/>
    </row>
    <row r="93" spans="1:6" s="1517" customFormat="1" ht="14.25" customHeight="1" thickBot="1">
      <c r="A93" s="1529" t="s">
        <v>1531</v>
      </c>
      <c r="B93" s="1523" t="s">
        <v>1374</v>
      </c>
      <c r="C93" s="1523">
        <v>12740</v>
      </c>
      <c r="D93" s="1523">
        <v>12700</v>
      </c>
      <c r="E93" s="1523">
        <v>12540</v>
      </c>
      <c r="F93" s="1541"/>
    </row>
    <row r="94" spans="1:6" s="1517" customFormat="1" ht="14.25" customHeight="1" thickBot="1">
      <c r="A94" s="1529" t="s">
        <v>1531</v>
      </c>
      <c r="B94" s="1523" t="s">
        <v>1384</v>
      </c>
      <c r="C94" s="1523">
        <v>12020</v>
      </c>
      <c r="D94" s="1523">
        <v>11990</v>
      </c>
      <c r="E94" s="1523">
        <v>13110</v>
      </c>
      <c r="F94" s="1541"/>
    </row>
    <row r="95" spans="1:6" s="1517" customFormat="1" ht="14.25" customHeight="1" thickBot="1">
      <c r="A95" s="1529" t="s">
        <v>1531</v>
      </c>
      <c r="B95" s="1523" t="s">
        <v>1393</v>
      </c>
      <c r="C95" s="1523">
        <v>12620</v>
      </c>
      <c r="D95" s="1523">
        <v>12580</v>
      </c>
      <c r="E95" s="1523">
        <v>13160</v>
      </c>
      <c r="F95" s="1537"/>
    </row>
    <row r="96" spans="1:6" s="1517" customFormat="1" ht="14.25" customHeight="1" thickBot="1">
      <c r="A96" s="1529" t="s">
        <v>1531</v>
      </c>
      <c r="B96" s="1523" t="s">
        <v>1402</v>
      </c>
      <c r="C96" s="1523">
        <v>13200</v>
      </c>
      <c r="D96" s="1523">
        <v>13150</v>
      </c>
      <c r="E96" s="1523">
        <v>12900</v>
      </c>
      <c r="F96" s="1537"/>
    </row>
    <row r="97" spans="1:6" s="1517" customFormat="1" ht="14.25" customHeight="1" thickBot="1">
      <c r="A97" s="1529" t="s">
        <v>1531</v>
      </c>
      <c r="B97" s="1523" t="s">
        <v>1410</v>
      </c>
      <c r="C97" s="1523">
        <v>13270</v>
      </c>
      <c r="D97" s="1523">
        <v>13210</v>
      </c>
      <c r="E97" s="1523">
        <v>11080</v>
      </c>
      <c r="F97" s="1537"/>
    </row>
    <row r="98" spans="1:6" s="1517" customFormat="1" ht="14.25" customHeight="1" thickBot="1">
      <c r="A98" s="1529" t="s">
        <v>1531</v>
      </c>
      <c r="B98" s="1523" t="s">
        <v>1417</v>
      </c>
      <c r="C98" s="1523">
        <v>13010</v>
      </c>
      <c r="D98" s="1523">
        <v>12930</v>
      </c>
      <c r="E98" s="1523">
        <v>12840</v>
      </c>
      <c r="F98" s="1537"/>
    </row>
    <row r="99" spans="1:6" s="1517" customFormat="1" ht="14.25" customHeight="1" thickBot="1">
      <c r="A99" s="1529" t="s">
        <v>1531</v>
      </c>
      <c r="B99" s="1523" t="s">
        <v>1424</v>
      </c>
      <c r="C99" s="1523">
        <v>11190</v>
      </c>
      <c r="D99" s="1523">
        <v>11130</v>
      </c>
      <c r="E99" s="1523"/>
      <c r="F99" s="1537"/>
    </row>
    <row r="100" spans="1:6" s="1517" customFormat="1" ht="14.25" customHeight="1" thickBot="1">
      <c r="A100" s="1529" t="s">
        <v>1531</v>
      </c>
      <c r="B100" s="1523" t="s">
        <v>1431</v>
      </c>
      <c r="C100" s="1523">
        <v>14280</v>
      </c>
      <c r="D100" s="1523">
        <v>14180</v>
      </c>
      <c r="E100" s="1523"/>
      <c r="F100" s="1537"/>
    </row>
    <row r="101" spans="1:6" s="1517" customFormat="1" ht="14.25" customHeight="1" thickBot="1">
      <c r="A101" s="1529" t="s">
        <v>1531</v>
      </c>
      <c r="B101" s="1523" t="s">
        <v>1438</v>
      </c>
      <c r="C101" s="1523">
        <v>12960</v>
      </c>
      <c r="D101" s="1523">
        <v>12890</v>
      </c>
      <c r="E101" s="1523"/>
      <c r="F101" s="1537"/>
    </row>
    <row r="102" spans="1:6" s="1517" customFormat="1" ht="14.25" customHeight="1" thickBot="1">
      <c r="A102" s="1529" t="s">
        <v>1531</v>
      </c>
      <c r="B102" s="1523" t="s">
        <v>1445</v>
      </c>
      <c r="C102" s="1523"/>
      <c r="D102" s="1523"/>
      <c r="E102" s="1523"/>
      <c r="F102" s="1537">
        <v>3100</v>
      </c>
    </row>
    <row r="103" spans="1:6" s="1517" customFormat="1" ht="14.25" customHeight="1" thickBot="1">
      <c r="A103" s="1529" t="s">
        <v>1531</v>
      </c>
      <c r="B103" s="1523" t="s">
        <v>1452</v>
      </c>
      <c r="C103" s="1523"/>
      <c r="D103" s="1523"/>
      <c r="E103" s="1523"/>
      <c r="F103" s="1537">
        <v>2320</v>
      </c>
    </row>
    <row r="104" spans="1:6" s="1517" customFormat="1" ht="14.25" customHeight="1" thickBot="1">
      <c r="A104" s="1529" t="s">
        <v>1531</v>
      </c>
      <c r="B104" s="1523" t="s">
        <v>1457</v>
      </c>
      <c r="C104" s="1523"/>
      <c r="D104" s="1523"/>
      <c r="E104" s="1523"/>
      <c r="F104" s="1537">
        <v>2320</v>
      </c>
    </row>
    <row r="105" spans="1:6" s="1517" customFormat="1" ht="14.25" customHeight="1" thickBot="1">
      <c r="A105" s="1529" t="s">
        <v>1531</v>
      </c>
      <c r="B105" s="1523" t="s">
        <v>1461</v>
      </c>
      <c r="C105" s="1523"/>
      <c r="D105" s="1523"/>
      <c r="E105" s="1523"/>
      <c r="F105" s="1537">
        <v>2320</v>
      </c>
    </row>
    <row r="106" spans="1:6" s="1517" customFormat="1" ht="14.25" customHeight="1" thickBot="1">
      <c r="A106" s="1529" t="s">
        <v>1531</v>
      </c>
      <c r="B106" s="1523" t="s">
        <v>1466</v>
      </c>
      <c r="C106" s="1523"/>
      <c r="D106" s="1523"/>
      <c r="E106" s="1523"/>
      <c r="F106" s="1537">
        <v>2320</v>
      </c>
    </row>
    <row r="107" spans="1:6" s="1517" customFormat="1" ht="14.25" customHeight="1" thickBot="1">
      <c r="A107" s="1529" t="s">
        <v>1531</v>
      </c>
      <c r="B107" s="1523" t="s">
        <v>1471</v>
      </c>
      <c r="C107" s="1523"/>
      <c r="D107" s="1523"/>
      <c r="E107" s="1523"/>
      <c r="F107" s="1537">
        <v>2280</v>
      </c>
    </row>
    <row r="108" spans="1:6" s="1517" customFormat="1" ht="14.25" customHeight="1" thickBot="1">
      <c r="A108" s="1529" t="s">
        <v>1531</v>
      </c>
      <c r="B108" s="1523" t="s">
        <v>1476</v>
      </c>
      <c r="C108" s="1523"/>
      <c r="D108" s="1523"/>
      <c r="E108" s="1523"/>
      <c r="F108" s="1537">
        <v>2280</v>
      </c>
    </row>
    <row r="109" spans="1:6" s="1517" customFormat="1" ht="14.25" customHeight="1" thickBot="1">
      <c r="A109" s="1529" t="s">
        <v>1531</v>
      </c>
      <c r="B109" s="1535" t="s">
        <v>1481</v>
      </c>
      <c r="C109" s="1535"/>
      <c r="D109" s="1535"/>
      <c r="E109" s="1535"/>
      <c r="F109" s="1540">
        <v>2280</v>
      </c>
    </row>
    <row r="110" spans="1:6" s="1517" customFormat="1" ht="14.25" customHeight="1" thickBot="1">
      <c r="A110" s="1529" t="s">
        <v>200</v>
      </c>
      <c r="B110" s="1530" t="s">
        <v>1533</v>
      </c>
      <c r="C110" s="1530">
        <v>10520</v>
      </c>
      <c r="D110" s="1530">
        <v>10490</v>
      </c>
      <c r="E110" s="1530">
        <v>10760</v>
      </c>
      <c r="F110" s="1531">
        <v>2160</v>
      </c>
    </row>
    <row r="111" spans="1:6" s="1517" customFormat="1" ht="14.25" customHeight="1" thickBot="1">
      <c r="A111" s="1529" t="s">
        <v>200</v>
      </c>
      <c r="B111" s="1523" t="s">
        <v>1200</v>
      </c>
      <c r="C111" s="1523">
        <v>10090</v>
      </c>
      <c r="D111" s="1523">
        <v>10060</v>
      </c>
      <c r="E111" s="1523">
        <v>10300</v>
      </c>
      <c r="F111" s="1537">
        <v>2010</v>
      </c>
    </row>
    <row r="112" spans="1:6" s="1517" customFormat="1" ht="14.25" customHeight="1" thickBot="1">
      <c r="A112" s="1529" t="s">
        <v>200</v>
      </c>
      <c r="B112" s="1523" t="s">
        <v>1213</v>
      </c>
      <c r="C112" s="1523">
        <v>9910</v>
      </c>
      <c r="D112" s="1523">
        <v>9850</v>
      </c>
      <c r="E112" s="1523">
        <v>9960</v>
      </c>
      <c r="F112" s="1537">
        <v>2090</v>
      </c>
    </row>
    <row r="113" spans="1:6" s="1517" customFormat="1" ht="14.25" customHeight="1" thickBot="1">
      <c r="A113" s="1529" t="s">
        <v>200</v>
      </c>
      <c r="B113" s="1523" t="s">
        <v>1226</v>
      </c>
      <c r="C113" s="1523">
        <v>11430</v>
      </c>
      <c r="D113" s="1523">
        <v>11400</v>
      </c>
      <c r="E113" s="1523">
        <v>11710</v>
      </c>
      <c r="F113" s="1537">
        <v>2050</v>
      </c>
    </row>
    <row r="114" spans="1:6" s="1517" customFormat="1" ht="14.25" customHeight="1" thickBot="1">
      <c r="A114" s="1529" t="s">
        <v>200</v>
      </c>
      <c r="B114" s="1523" t="s">
        <v>1238</v>
      </c>
      <c r="C114" s="1523">
        <v>11390</v>
      </c>
      <c r="D114" s="1523">
        <v>11350</v>
      </c>
      <c r="E114" s="1523">
        <v>11640</v>
      </c>
      <c r="F114" s="1537">
        <v>1620</v>
      </c>
    </row>
    <row r="115" spans="1:6" s="1517" customFormat="1" ht="14.25" customHeight="1" thickBot="1">
      <c r="A115" s="1529" t="s">
        <v>200</v>
      </c>
      <c r="B115" s="1523" t="s">
        <v>1249</v>
      </c>
      <c r="C115" s="1523">
        <v>9930</v>
      </c>
      <c r="D115" s="1523">
        <v>9900</v>
      </c>
      <c r="E115" s="1523">
        <v>10160</v>
      </c>
      <c r="F115" s="1537">
        <v>1580</v>
      </c>
    </row>
    <row r="116" spans="1:6" s="1517" customFormat="1" ht="14.25" customHeight="1" thickBot="1">
      <c r="A116" s="1529" t="s">
        <v>200</v>
      </c>
      <c r="B116" s="1523" t="s">
        <v>1260</v>
      </c>
      <c r="C116" s="1523">
        <v>9150</v>
      </c>
      <c r="D116" s="1523">
        <v>9120</v>
      </c>
      <c r="E116" s="1523">
        <v>9380</v>
      </c>
      <c r="F116" s="1537">
        <v>1750</v>
      </c>
    </row>
    <row r="117" spans="1:6" s="1517" customFormat="1" ht="14.25" customHeight="1" thickBot="1">
      <c r="A117" s="1529" t="s">
        <v>200</v>
      </c>
      <c r="B117" s="1523" t="s">
        <v>1271</v>
      </c>
      <c r="C117" s="1523">
        <v>10680</v>
      </c>
      <c r="D117" s="1523">
        <v>10650</v>
      </c>
      <c r="E117" s="1523">
        <v>10970</v>
      </c>
      <c r="F117" s="1537">
        <v>1730</v>
      </c>
    </row>
    <row r="118" spans="1:6" s="1517" customFormat="1" ht="14.25" customHeight="1" thickBot="1">
      <c r="A118" s="1529" t="s">
        <v>200</v>
      </c>
      <c r="B118" s="1523" t="s">
        <v>1283</v>
      </c>
      <c r="C118" s="1523">
        <v>10080</v>
      </c>
      <c r="D118" s="1523">
        <v>10050</v>
      </c>
      <c r="E118" s="1523">
        <v>10350</v>
      </c>
      <c r="F118" s="1537">
        <v>1920</v>
      </c>
    </row>
    <row r="119" spans="1:6" s="1517" customFormat="1" ht="14.25" customHeight="1" thickBot="1">
      <c r="A119" s="1529" t="s">
        <v>200</v>
      </c>
      <c r="B119" s="1523" t="s">
        <v>1293</v>
      </c>
      <c r="C119" s="1523">
        <v>9450</v>
      </c>
      <c r="D119" s="1523">
        <v>9410</v>
      </c>
      <c r="E119" s="1523">
        <v>9680</v>
      </c>
      <c r="F119" s="1537">
        <v>1880</v>
      </c>
    </row>
    <row r="120" spans="1:6" s="1517" customFormat="1" ht="14.25" customHeight="1" thickBot="1">
      <c r="A120" s="1529" t="s">
        <v>200</v>
      </c>
      <c r="B120" s="1523" t="s">
        <v>1303</v>
      </c>
      <c r="C120" s="1523">
        <v>8730</v>
      </c>
      <c r="D120" s="1523">
        <v>8700</v>
      </c>
      <c r="E120" s="1523">
        <v>8950</v>
      </c>
      <c r="F120" s="1537">
        <v>1830</v>
      </c>
    </row>
    <row r="121" spans="1:6" s="1517" customFormat="1" ht="14.25" customHeight="1" thickBot="1">
      <c r="A121" s="1529" t="s">
        <v>200</v>
      </c>
      <c r="B121" s="1523" t="s">
        <v>1313</v>
      </c>
      <c r="C121" s="1523">
        <v>10070</v>
      </c>
      <c r="D121" s="1523">
        <v>10040</v>
      </c>
      <c r="E121" s="1523">
        <v>10270</v>
      </c>
      <c r="F121" s="1537">
        <v>1960</v>
      </c>
    </row>
    <row r="122" spans="1:6" s="1517" customFormat="1" ht="14.25" customHeight="1" thickBot="1">
      <c r="A122" s="1529" t="s">
        <v>200</v>
      </c>
      <c r="B122" s="1523" t="s">
        <v>1323</v>
      </c>
      <c r="C122" s="1523">
        <v>10500</v>
      </c>
      <c r="D122" s="1523">
        <v>10470</v>
      </c>
      <c r="E122" s="1523">
        <v>10780</v>
      </c>
      <c r="F122" s="1537">
        <v>2180</v>
      </c>
    </row>
    <row r="123" spans="1:6" s="1517" customFormat="1" ht="14.25" customHeight="1" thickBot="1">
      <c r="A123" s="1529" t="s">
        <v>200</v>
      </c>
      <c r="B123" s="1523" t="s">
        <v>1334</v>
      </c>
      <c r="C123" s="1523">
        <v>10390</v>
      </c>
      <c r="D123" s="1523">
        <v>10360</v>
      </c>
      <c r="E123" s="1523">
        <v>10660</v>
      </c>
      <c r="F123" s="1537">
        <v>2040</v>
      </c>
    </row>
    <row r="124" spans="1:6" s="1517" customFormat="1" ht="14.25" customHeight="1" thickBot="1">
      <c r="A124" s="1529" t="s">
        <v>200</v>
      </c>
      <c r="B124" s="1523" t="s">
        <v>1345</v>
      </c>
      <c r="C124" s="1523">
        <v>10390</v>
      </c>
      <c r="D124" s="1523">
        <v>10360</v>
      </c>
      <c r="E124" s="1523">
        <v>10680</v>
      </c>
      <c r="F124" s="1541"/>
    </row>
    <row r="125" spans="1:6" s="1517" customFormat="1" ht="14.25" customHeight="1" thickBot="1">
      <c r="A125" s="1529" t="s">
        <v>200</v>
      </c>
      <c r="B125" s="1523" t="s">
        <v>1355</v>
      </c>
      <c r="C125" s="1523">
        <v>10440</v>
      </c>
      <c r="D125" s="1523">
        <v>10410</v>
      </c>
      <c r="E125" s="1523">
        <v>10710</v>
      </c>
      <c r="F125" s="1541"/>
    </row>
    <row r="126" spans="1:6" s="1517" customFormat="1" ht="14.25" customHeight="1" thickBot="1">
      <c r="A126" s="1529" t="s">
        <v>200</v>
      </c>
      <c r="B126" s="1523" t="s">
        <v>1365</v>
      </c>
      <c r="C126" s="1523">
        <v>10780</v>
      </c>
      <c r="D126" s="1523">
        <v>10750</v>
      </c>
      <c r="E126" s="1523">
        <v>11080</v>
      </c>
      <c r="F126" s="1541"/>
    </row>
    <row r="127" spans="1:6" s="1517" customFormat="1" ht="14.25" customHeight="1" thickBot="1">
      <c r="A127" s="1529" t="s">
        <v>200</v>
      </c>
      <c r="B127" s="1523" t="s">
        <v>1375</v>
      </c>
      <c r="C127" s="1523">
        <v>10100</v>
      </c>
      <c r="D127" s="1523">
        <v>10070</v>
      </c>
      <c r="E127" s="1523">
        <v>10350</v>
      </c>
      <c r="F127" s="1541"/>
    </row>
    <row r="128" spans="1:6" s="1517" customFormat="1" ht="14.25" customHeight="1" thickBot="1">
      <c r="A128" s="1529" t="s">
        <v>200</v>
      </c>
      <c r="B128" s="1523" t="s">
        <v>1385</v>
      </c>
      <c r="C128" s="1523">
        <v>9200</v>
      </c>
      <c r="D128" s="1523">
        <v>9160</v>
      </c>
      <c r="E128" s="1523">
        <v>9660</v>
      </c>
      <c r="F128" s="1541"/>
    </row>
    <row r="129" spans="1:6" s="1517" customFormat="1" ht="14.25" customHeight="1" thickBot="1">
      <c r="A129" s="1529" t="s">
        <v>200</v>
      </c>
      <c r="B129" s="1523" t="s">
        <v>1394</v>
      </c>
      <c r="C129" s="1523">
        <v>10340</v>
      </c>
      <c r="D129" s="1523">
        <v>10310</v>
      </c>
      <c r="E129" s="1523">
        <v>10580</v>
      </c>
      <c r="F129" s="1541"/>
    </row>
    <row r="130" spans="1:6" s="1517" customFormat="1" ht="14.25" customHeight="1" thickBot="1">
      <c r="A130" s="1529" t="s">
        <v>200</v>
      </c>
      <c r="B130" s="1523" t="s">
        <v>1403</v>
      </c>
      <c r="C130" s="1523">
        <v>9680</v>
      </c>
      <c r="D130" s="1523">
        <v>9660</v>
      </c>
      <c r="E130" s="1523">
        <v>9950</v>
      </c>
      <c r="F130" s="1541"/>
    </row>
    <row r="131" spans="1:6" s="1517" customFormat="1" ht="14.25" customHeight="1" thickBot="1">
      <c r="A131" s="1529" t="s">
        <v>200</v>
      </c>
      <c r="B131" s="1523" t="s">
        <v>1411</v>
      </c>
      <c r="C131" s="1523">
        <v>9540</v>
      </c>
      <c r="D131" s="1523">
        <v>9510</v>
      </c>
      <c r="E131" s="1523">
        <v>9790</v>
      </c>
      <c r="F131" s="1541"/>
    </row>
    <row r="132" spans="1:6" s="1517" customFormat="1" ht="14.25" customHeight="1" thickBot="1">
      <c r="A132" s="1529" t="s">
        <v>200</v>
      </c>
      <c r="B132" s="1523" t="s">
        <v>1418</v>
      </c>
      <c r="C132" s="1523">
        <v>9320</v>
      </c>
      <c r="D132" s="1523">
        <v>9290</v>
      </c>
      <c r="E132" s="1523">
        <v>9570</v>
      </c>
      <c r="F132" s="1541"/>
    </row>
    <row r="133" spans="1:6" s="1517" customFormat="1" ht="14.25" customHeight="1" thickBot="1">
      <c r="A133" s="1529" t="s">
        <v>200</v>
      </c>
      <c r="B133" s="1523" t="s">
        <v>1425</v>
      </c>
      <c r="C133" s="1523">
        <v>10310</v>
      </c>
      <c r="D133" s="1523">
        <v>10280</v>
      </c>
      <c r="E133" s="1523">
        <v>10530</v>
      </c>
      <c r="F133" s="1541"/>
    </row>
    <row r="134" spans="1:6" s="1517" customFormat="1" ht="14.25" customHeight="1" thickBot="1">
      <c r="A134" s="1529" t="s">
        <v>200</v>
      </c>
      <c r="B134" s="1523" t="s">
        <v>1432</v>
      </c>
      <c r="C134" s="1523">
        <v>10370</v>
      </c>
      <c r="D134" s="1523">
        <v>10310</v>
      </c>
      <c r="E134" s="1523">
        <v>10240</v>
      </c>
      <c r="F134" s="1537">
        <v>2060</v>
      </c>
    </row>
    <row r="135" spans="1:6" s="1517" customFormat="1" ht="14.25" customHeight="1" thickBot="1">
      <c r="A135" s="1529" t="s">
        <v>200</v>
      </c>
      <c r="B135" s="1523" t="s">
        <v>1439</v>
      </c>
      <c r="C135" s="1523">
        <v>9300</v>
      </c>
      <c r="D135" s="1523">
        <v>9270</v>
      </c>
      <c r="E135" s="1523">
        <v>9350</v>
      </c>
      <c r="F135" s="1541"/>
    </row>
    <row r="136" spans="1:6" s="1517" customFormat="1" ht="14.25" customHeight="1" thickBot="1">
      <c r="A136" s="1529" t="s">
        <v>200</v>
      </c>
      <c r="B136" s="1523" t="s">
        <v>1446</v>
      </c>
      <c r="C136" s="1523">
        <v>10160</v>
      </c>
      <c r="D136" s="1523">
        <v>10110</v>
      </c>
      <c r="E136" s="1523">
        <v>10080</v>
      </c>
      <c r="F136" s="1541"/>
    </row>
    <row r="137" spans="1:6" s="1517" customFormat="1" ht="14.25" customHeight="1" thickBot="1">
      <c r="A137" s="1529" t="s">
        <v>200</v>
      </c>
      <c r="B137" s="1523" t="s">
        <v>1453</v>
      </c>
      <c r="C137" s="1523">
        <v>9200</v>
      </c>
      <c r="D137" s="1523">
        <v>9170</v>
      </c>
      <c r="E137" s="1523">
        <v>9450</v>
      </c>
      <c r="F137" s="1541"/>
    </row>
    <row r="138" spans="1:6" s="1517" customFormat="1" ht="14.25" customHeight="1" thickBot="1">
      <c r="A138" s="1529" t="s">
        <v>200</v>
      </c>
      <c r="B138" s="1523" t="s">
        <v>1458</v>
      </c>
      <c r="C138" s="1523">
        <v>9690</v>
      </c>
      <c r="D138" s="1523">
        <v>9660</v>
      </c>
      <c r="E138" s="1523">
        <v>9840</v>
      </c>
      <c r="F138" s="1541"/>
    </row>
    <row r="139" spans="1:6" s="1517" customFormat="1" ht="14.25" customHeight="1" thickBot="1">
      <c r="A139" s="1529" t="s">
        <v>200</v>
      </c>
      <c r="B139" s="1523" t="s">
        <v>1462</v>
      </c>
      <c r="C139" s="1523">
        <v>10290</v>
      </c>
      <c r="D139" s="1523">
        <v>10260</v>
      </c>
      <c r="E139" s="1523">
        <v>10550</v>
      </c>
      <c r="F139" s="1537">
        <v>1700</v>
      </c>
    </row>
    <row r="140" spans="1:6" s="1517" customFormat="1" ht="14.25" customHeight="1" thickBot="1">
      <c r="A140" s="1529" t="s">
        <v>200</v>
      </c>
      <c r="B140" s="1523" t="s">
        <v>1467</v>
      </c>
      <c r="C140" s="1523">
        <v>9740</v>
      </c>
      <c r="D140" s="1523">
        <v>9710</v>
      </c>
      <c r="E140" s="1523">
        <v>10000</v>
      </c>
      <c r="F140" s="1537">
        <v>2000</v>
      </c>
    </row>
    <row r="141" spans="1:6" s="1517" customFormat="1" ht="14.25" customHeight="1" thickBot="1">
      <c r="A141" s="1529" t="s">
        <v>200</v>
      </c>
      <c r="B141" s="1523" t="s">
        <v>1472</v>
      </c>
      <c r="C141" s="1523">
        <v>9810</v>
      </c>
      <c r="D141" s="1523">
        <v>9770</v>
      </c>
      <c r="E141" s="1523">
        <v>10060</v>
      </c>
      <c r="F141" s="1541"/>
    </row>
    <row r="142" spans="1:6" s="1517" customFormat="1" ht="14.25" customHeight="1" thickBot="1">
      <c r="A142" s="1529" t="s">
        <v>200</v>
      </c>
      <c r="B142" s="1523" t="s">
        <v>1477</v>
      </c>
      <c r="C142" s="1523">
        <v>9300</v>
      </c>
      <c r="D142" s="1523">
        <v>9270</v>
      </c>
      <c r="E142" s="1523">
        <v>9530</v>
      </c>
      <c r="F142" s="1541"/>
    </row>
    <row r="143" spans="1:6" s="1517" customFormat="1" ht="14.25" customHeight="1" thickBot="1">
      <c r="A143" s="1529" t="s">
        <v>200</v>
      </c>
      <c r="B143" s="1523" t="s">
        <v>1482</v>
      </c>
      <c r="C143" s="1523">
        <v>10080</v>
      </c>
      <c r="D143" s="1523">
        <v>10050</v>
      </c>
      <c r="E143" s="1523">
        <v>10340</v>
      </c>
      <c r="F143" s="1541"/>
    </row>
    <row r="144" spans="1:6" s="1517" customFormat="1" ht="14.25" customHeight="1" thickBot="1">
      <c r="A144" s="1529" t="s">
        <v>200</v>
      </c>
      <c r="B144" s="1523" t="s">
        <v>1486</v>
      </c>
      <c r="C144" s="1523">
        <v>9820</v>
      </c>
      <c r="D144" s="1523">
        <v>9750</v>
      </c>
      <c r="E144" s="1523">
        <v>9900</v>
      </c>
      <c r="F144" s="1541"/>
    </row>
    <row r="145" spans="1:6" s="1517" customFormat="1" ht="14.25" customHeight="1" thickBot="1">
      <c r="A145" s="1529" t="s">
        <v>200</v>
      </c>
      <c r="B145" s="1523" t="s">
        <v>1490</v>
      </c>
      <c r="C145" s="1523"/>
      <c r="D145" s="1523"/>
      <c r="E145" s="1523"/>
      <c r="F145" s="1537">
        <v>1740</v>
      </c>
    </row>
    <row r="146" spans="1:6" s="1517" customFormat="1" ht="14.25" customHeight="1" thickBot="1">
      <c r="A146" s="1529" t="s">
        <v>200</v>
      </c>
      <c r="B146" s="1523" t="s">
        <v>1494</v>
      </c>
      <c r="C146" s="1523"/>
      <c r="D146" s="1523"/>
      <c r="E146" s="1523"/>
      <c r="F146" s="1537">
        <v>1740</v>
      </c>
    </row>
    <row r="147" spans="1:6" s="1517" customFormat="1" ht="14.25" customHeight="1" thickBot="1">
      <c r="A147" s="1529" t="s">
        <v>200</v>
      </c>
      <c r="B147" s="1523" t="s">
        <v>1498</v>
      </c>
      <c r="C147" s="1523"/>
      <c r="D147" s="1523"/>
      <c r="E147" s="1523"/>
      <c r="F147" s="1537">
        <v>1740</v>
      </c>
    </row>
    <row r="148" spans="1:6" s="1517" customFormat="1" ht="14.25" customHeight="1" thickBot="1">
      <c r="A148" s="1529" t="s">
        <v>200</v>
      </c>
      <c r="B148" s="1523" t="s">
        <v>1502</v>
      </c>
      <c r="C148" s="1523"/>
      <c r="D148" s="1523"/>
      <c r="E148" s="1523"/>
      <c r="F148" s="1537">
        <v>1740</v>
      </c>
    </row>
    <row r="149" spans="1:6" s="1517" customFormat="1" ht="14.25" customHeight="1" thickBot="1">
      <c r="A149" s="1529" t="s">
        <v>200</v>
      </c>
      <c r="B149" s="1523" t="s">
        <v>1506</v>
      </c>
      <c r="C149" s="1523"/>
      <c r="D149" s="1523"/>
      <c r="E149" s="1523"/>
      <c r="F149" s="1537">
        <v>1740</v>
      </c>
    </row>
    <row r="150" spans="1:6" s="1517" customFormat="1" ht="14.25" customHeight="1" thickBot="1">
      <c r="A150" s="1529" t="s">
        <v>200</v>
      </c>
      <c r="B150" s="1523" t="s">
        <v>1509</v>
      </c>
      <c r="C150" s="1523"/>
      <c r="D150" s="1523"/>
      <c r="E150" s="1523"/>
      <c r="F150" s="1537">
        <v>1610</v>
      </c>
    </row>
    <row r="151" spans="1:6" s="1517" customFormat="1" ht="14.25" customHeight="1" thickBot="1">
      <c r="A151" s="1529" t="s">
        <v>200</v>
      </c>
      <c r="B151" s="1523" t="s">
        <v>1512</v>
      </c>
      <c r="C151" s="1523"/>
      <c r="D151" s="1523"/>
      <c r="E151" s="1523"/>
      <c r="F151" s="1537">
        <v>1610</v>
      </c>
    </row>
    <row r="152" spans="1:6" s="1517" customFormat="1" ht="14.25" customHeight="1" thickBot="1">
      <c r="A152" s="1529" t="s">
        <v>200</v>
      </c>
      <c r="B152" s="1523" t="s">
        <v>1515</v>
      </c>
      <c r="C152" s="1523"/>
      <c r="D152" s="1523"/>
      <c r="E152" s="1523"/>
      <c r="F152" s="1537">
        <v>1610</v>
      </c>
    </row>
    <row r="153" spans="1:6" s="1517" customFormat="1" ht="14.25" customHeight="1" thickBot="1">
      <c r="A153" s="1529" t="s">
        <v>200</v>
      </c>
      <c r="B153" s="1523" t="s">
        <v>1518</v>
      </c>
      <c r="C153" s="1523"/>
      <c r="D153" s="1523"/>
      <c r="E153" s="1523"/>
      <c r="F153" s="1537">
        <v>1610</v>
      </c>
    </row>
    <row r="154" spans="1:6" s="1517" customFormat="1" ht="14.25" customHeight="1" thickBot="1">
      <c r="A154" s="1529" t="s">
        <v>200</v>
      </c>
      <c r="B154" s="1523" t="s">
        <v>1521</v>
      </c>
      <c r="C154" s="1523"/>
      <c r="D154" s="1523"/>
      <c r="E154" s="1523"/>
      <c r="F154" s="1537">
        <v>1610</v>
      </c>
    </row>
    <row r="155" spans="1:6" s="1517" customFormat="1" ht="14.25" customHeight="1" thickBot="1">
      <c r="A155" s="1529" t="s">
        <v>200</v>
      </c>
      <c r="B155" s="1523" t="s">
        <v>1524</v>
      </c>
      <c r="C155" s="1523"/>
      <c r="D155" s="1523"/>
      <c r="E155" s="1523"/>
      <c r="F155" s="1537">
        <v>1800</v>
      </c>
    </row>
    <row r="156" spans="1:6" s="1517" customFormat="1" ht="14.25" customHeight="1" thickBot="1">
      <c r="A156" s="1529" t="s">
        <v>200</v>
      </c>
      <c r="B156" s="1523" t="s">
        <v>1526</v>
      </c>
      <c r="C156" s="1523"/>
      <c r="D156" s="1523"/>
      <c r="E156" s="1523"/>
      <c r="F156" s="1537">
        <v>1910</v>
      </c>
    </row>
    <row r="157" spans="1:6" s="1517" customFormat="1" ht="14.25" customHeight="1" thickBot="1">
      <c r="A157" s="1529" t="s">
        <v>200</v>
      </c>
      <c r="B157" s="1535" t="s">
        <v>1529</v>
      </c>
      <c r="C157" s="1535"/>
      <c r="D157" s="1535"/>
      <c r="E157" s="1535"/>
      <c r="F157" s="1540">
        <v>1500</v>
      </c>
    </row>
    <row r="158" spans="1:6" s="1517" customFormat="1" ht="14.25" customHeight="1" thickBot="1">
      <c r="A158" s="1529" t="s">
        <v>1534</v>
      </c>
      <c r="B158" s="1530" t="s">
        <v>1535</v>
      </c>
      <c r="C158" s="1530">
        <v>8170</v>
      </c>
      <c r="D158" s="1530">
        <v>8140</v>
      </c>
      <c r="E158" s="1530">
        <v>8590</v>
      </c>
      <c r="F158" s="1531">
        <v>1450</v>
      </c>
    </row>
    <row r="159" spans="1:6" s="1517" customFormat="1" ht="14.25" customHeight="1" thickBot="1">
      <c r="A159" s="1529" t="s">
        <v>1534</v>
      </c>
      <c r="B159" s="1523" t="s">
        <v>1201</v>
      </c>
      <c r="C159" s="1523">
        <v>7410</v>
      </c>
      <c r="D159" s="1523">
        <v>7370</v>
      </c>
      <c r="E159" s="1523">
        <v>8030</v>
      </c>
      <c r="F159" s="1537">
        <v>1510</v>
      </c>
    </row>
    <row r="160" spans="1:6" s="1517" customFormat="1" ht="14.25" customHeight="1" thickBot="1">
      <c r="A160" s="1529" t="s">
        <v>1534</v>
      </c>
      <c r="B160" s="1523" t="s">
        <v>1214</v>
      </c>
      <c r="C160" s="1523">
        <v>7240</v>
      </c>
      <c r="D160" s="1523">
        <v>7210</v>
      </c>
      <c r="E160" s="1523">
        <v>7860</v>
      </c>
      <c r="F160" s="1537">
        <v>1370</v>
      </c>
    </row>
    <row r="161" spans="1:6" s="1517" customFormat="1" ht="14.25" customHeight="1" thickBot="1">
      <c r="A161" s="1529" t="s">
        <v>1534</v>
      </c>
      <c r="B161" s="1523" t="s">
        <v>1227</v>
      </c>
      <c r="C161" s="1523">
        <v>7720</v>
      </c>
      <c r="D161" s="1523">
        <v>7690</v>
      </c>
      <c r="E161" s="1523">
        <v>8200</v>
      </c>
      <c r="F161" s="1537">
        <v>1190</v>
      </c>
    </row>
    <row r="162" spans="1:6" s="1517" customFormat="1" ht="14.25" customHeight="1" thickBot="1">
      <c r="A162" s="1529" t="s">
        <v>1534</v>
      </c>
      <c r="B162" s="1523" t="s">
        <v>1239</v>
      </c>
      <c r="C162" s="1523">
        <v>6900</v>
      </c>
      <c r="D162" s="1523">
        <v>6870</v>
      </c>
      <c r="E162" s="1523">
        <v>7500</v>
      </c>
      <c r="F162" s="1537">
        <v>1390</v>
      </c>
    </row>
    <row r="163" spans="1:6" s="1517" customFormat="1" ht="14.25" customHeight="1" thickBot="1">
      <c r="A163" s="1529" t="s">
        <v>1534</v>
      </c>
      <c r="B163" s="1523" t="s">
        <v>1250</v>
      </c>
      <c r="C163" s="1523">
        <v>7120</v>
      </c>
      <c r="D163" s="1523">
        <v>7090</v>
      </c>
      <c r="E163" s="1523">
        <v>7690</v>
      </c>
      <c r="F163" s="1537">
        <v>1230</v>
      </c>
    </row>
    <row r="164" spans="1:6" s="1517" customFormat="1" ht="14.25" customHeight="1" thickBot="1">
      <c r="A164" s="1529" t="s">
        <v>1534</v>
      </c>
      <c r="B164" s="1523" t="s">
        <v>1261</v>
      </c>
      <c r="C164" s="1523">
        <v>6560</v>
      </c>
      <c r="D164" s="1523">
        <v>6530</v>
      </c>
      <c r="E164" s="1523">
        <v>7110</v>
      </c>
      <c r="F164" s="1537">
        <v>1340</v>
      </c>
    </row>
    <row r="165" spans="1:6" s="1517" customFormat="1" ht="14.25" customHeight="1" thickBot="1">
      <c r="A165" s="1529" t="s">
        <v>1534</v>
      </c>
      <c r="B165" s="1523" t="s">
        <v>1272</v>
      </c>
      <c r="C165" s="1523">
        <v>7450</v>
      </c>
      <c r="D165" s="1523">
        <v>7430</v>
      </c>
      <c r="E165" s="1523">
        <v>8110</v>
      </c>
      <c r="F165" s="1537">
        <v>1290</v>
      </c>
    </row>
    <row r="166" spans="1:6" s="1517" customFormat="1" ht="14.25" customHeight="1" thickBot="1">
      <c r="A166" s="1529" t="s">
        <v>1534</v>
      </c>
      <c r="B166" s="1523" t="s">
        <v>1284</v>
      </c>
      <c r="C166" s="1523">
        <v>7490</v>
      </c>
      <c r="D166" s="1523">
        <v>7460</v>
      </c>
      <c r="E166" s="1523">
        <v>8150</v>
      </c>
      <c r="F166" s="1537">
        <v>1350</v>
      </c>
    </row>
    <row r="167" spans="1:6" s="1517" customFormat="1" ht="14.25" customHeight="1" thickBot="1">
      <c r="A167" s="1529" t="s">
        <v>1534</v>
      </c>
      <c r="B167" s="1523" t="s">
        <v>1294</v>
      </c>
      <c r="C167" s="1523">
        <v>7540</v>
      </c>
      <c r="D167" s="1523">
        <v>7510</v>
      </c>
      <c r="E167" s="1523">
        <v>8030</v>
      </c>
      <c r="F167" s="1541"/>
    </row>
    <row r="168" spans="1:6" s="1517" customFormat="1" ht="14.25" customHeight="1" thickBot="1">
      <c r="A168" s="1529" t="s">
        <v>1534</v>
      </c>
      <c r="B168" s="1523" t="s">
        <v>1304</v>
      </c>
      <c r="C168" s="1523">
        <v>7210</v>
      </c>
      <c r="D168" s="1523">
        <v>7180</v>
      </c>
      <c r="E168" s="1523">
        <v>7830</v>
      </c>
      <c r="F168" s="1541"/>
    </row>
    <row r="169" spans="1:6" s="1517" customFormat="1" ht="14.25" customHeight="1" thickBot="1">
      <c r="A169" s="1529" t="s">
        <v>1534</v>
      </c>
      <c r="B169" s="1523" t="s">
        <v>1314</v>
      </c>
      <c r="C169" s="1523">
        <v>7040</v>
      </c>
      <c r="D169" s="1523">
        <v>7020</v>
      </c>
      <c r="E169" s="1523">
        <v>7670</v>
      </c>
      <c r="F169" s="1541"/>
    </row>
    <row r="170" spans="1:6" s="1517" customFormat="1" ht="14.25" customHeight="1" thickBot="1">
      <c r="A170" s="1529" t="s">
        <v>1534</v>
      </c>
      <c r="B170" s="1523" t="s">
        <v>1324</v>
      </c>
      <c r="C170" s="1523">
        <v>8040</v>
      </c>
      <c r="D170" s="1523">
        <v>7190</v>
      </c>
      <c r="E170" s="1523">
        <v>7850</v>
      </c>
      <c r="F170" s="1541"/>
    </row>
    <row r="171" spans="1:6" s="1517" customFormat="1" ht="14.25" customHeight="1" thickBot="1">
      <c r="A171" s="1529" t="s">
        <v>1534</v>
      </c>
      <c r="B171" s="1523" t="s">
        <v>1335</v>
      </c>
      <c r="C171" s="1523">
        <v>7860</v>
      </c>
      <c r="D171" s="1523">
        <v>7720</v>
      </c>
      <c r="E171" s="1523">
        <v>8150</v>
      </c>
      <c r="F171" s="1537">
        <v>1110</v>
      </c>
    </row>
    <row r="172" spans="1:6" s="1517" customFormat="1" ht="14.25" customHeight="1" thickBot="1">
      <c r="A172" s="1529" t="s">
        <v>1534</v>
      </c>
      <c r="B172" s="1523" t="s">
        <v>1346</v>
      </c>
      <c r="C172" s="1523">
        <v>7210</v>
      </c>
      <c r="D172" s="1523">
        <v>7170</v>
      </c>
      <c r="E172" s="1523">
        <v>7320</v>
      </c>
      <c r="F172" s="1541"/>
    </row>
    <row r="173" spans="1:6" s="1517" customFormat="1" ht="14.25" customHeight="1" thickBot="1">
      <c r="A173" s="1529" t="s">
        <v>1534</v>
      </c>
      <c r="B173" s="1523" t="s">
        <v>1356</v>
      </c>
      <c r="C173" s="1523">
        <v>6860</v>
      </c>
      <c r="D173" s="1523">
        <v>6810</v>
      </c>
      <c r="E173" s="1523">
        <v>7440</v>
      </c>
      <c r="F173" s="1541"/>
    </row>
    <row r="174" spans="1:6" s="1517" customFormat="1" ht="14.25" customHeight="1" thickBot="1">
      <c r="A174" s="1529" t="s">
        <v>1534</v>
      </c>
      <c r="B174" s="1523" t="s">
        <v>1366</v>
      </c>
      <c r="C174" s="1523">
        <v>7120</v>
      </c>
      <c r="D174" s="1523">
        <v>7090</v>
      </c>
      <c r="E174" s="1523">
        <v>7500</v>
      </c>
      <c r="F174" s="1537">
        <v>1490</v>
      </c>
    </row>
    <row r="175" spans="1:6" s="1517" customFormat="1" ht="14.25" customHeight="1" thickBot="1">
      <c r="A175" s="1529" t="s">
        <v>1534</v>
      </c>
      <c r="B175" s="1523" t="s">
        <v>1376</v>
      </c>
      <c r="C175" s="1523">
        <v>7850</v>
      </c>
      <c r="D175" s="1523">
        <v>7820</v>
      </c>
      <c r="E175" s="1523">
        <v>8120</v>
      </c>
      <c r="F175" s="1537">
        <v>1530</v>
      </c>
    </row>
    <row r="176" spans="1:6" s="1517" customFormat="1" ht="14.25" customHeight="1" thickBot="1">
      <c r="A176" s="1529" t="s">
        <v>1534</v>
      </c>
      <c r="B176" s="1523" t="s">
        <v>1386</v>
      </c>
      <c r="C176" s="1523">
        <v>7620</v>
      </c>
      <c r="D176" s="1523">
        <v>7570</v>
      </c>
      <c r="E176" s="1523">
        <v>7990</v>
      </c>
      <c r="F176" s="1537">
        <v>1480</v>
      </c>
    </row>
    <row r="177" spans="1:6" s="1517" customFormat="1" ht="14.25" customHeight="1" thickBot="1">
      <c r="A177" s="1529" t="s">
        <v>1534</v>
      </c>
      <c r="B177" s="1523" t="s">
        <v>1395</v>
      </c>
      <c r="C177" s="1523">
        <v>8590</v>
      </c>
      <c r="D177" s="1523">
        <v>8570</v>
      </c>
      <c r="E177" s="1523">
        <v>8740</v>
      </c>
      <c r="F177" s="1537">
        <v>1540</v>
      </c>
    </row>
    <row r="178" spans="1:6" s="1517" customFormat="1" ht="14.25" customHeight="1" thickBot="1">
      <c r="A178" s="1529" t="s">
        <v>1534</v>
      </c>
      <c r="B178" s="1523" t="s">
        <v>1404</v>
      </c>
      <c r="C178" s="1523">
        <v>7510</v>
      </c>
      <c r="D178" s="1523">
        <v>7470</v>
      </c>
      <c r="E178" s="1523">
        <v>8090</v>
      </c>
      <c r="F178" s="1537">
        <v>1320</v>
      </c>
    </row>
    <row r="179" spans="1:6" s="1517" customFormat="1" ht="14.25" customHeight="1" thickBot="1">
      <c r="A179" s="1529" t="s">
        <v>1534</v>
      </c>
      <c r="B179" s="1523" t="s">
        <v>1412</v>
      </c>
      <c r="C179" s="1523">
        <v>6380</v>
      </c>
      <c r="D179" s="1523">
        <v>6340</v>
      </c>
      <c r="E179" s="1523">
        <v>6810</v>
      </c>
      <c r="F179" s="1541"/>
    </row>
    <row r="180" spans="1:6" s="1517" customFormat="1" ht="14.25" customHeight="1" thickBot="1">
      <c r="A180" s="1529" t="s">
        <v>1534</v>
      </c>
      <c r="B180" s="1523" t="s">
        <v>1419</v>
      </c>
      <c r="C180" s="1523">
        <v>7830</v>
      </c>
      <c r="D180" s="1523">
        <v>7800</v>
      </c>
      <c r="E180" s="1523">
        <v>7780</v>
      </c>
      <c r="F180" s="1537">
        <v>1440</v>
      </c>
    </row>
    <row r="181" spans="1:6" s="1517" customFormat="1" ht="14.25" customHeight="1" thickBot="1">
      <c r="A181" s="1529" t="s">
        <v>1534</v>
      </c>
      <c r="B181" s="1523" t="s">
        <v>1426</v>
      </c>
      <c r="C181" s="1523">
        <v>7110</v>
      </c>
      <c r="D181" s="1523">
        <v>7080</v>
      </c>
      <c r="E181" s="1523">
        <v>7730</v>
      </c>
      <c r="F181" s="1537">
        <v>1350</v>
      </c>
    </row>
    <row r="182" spans="1:6" s="1517" customFormat="1" ht="14.25" customHeight="1" thickBot="1">
      <c r="A182" s="1529" t="s">
        <v>1534</v>
      </c>
      <c r="B182" s="1523" t="s">
        <v>1433</v>
      </c>
      <c r="C182" s="1523">
        <v>7310</v>
      </c>
      <c r="D182" s="1523">
        <v>7280</v>
      </c>
      <c r="E182" s="1523">
        <v>7950</v>
      </c>
      <c r="F182" s="1537">
        <v>1220</v>
      </c>
    </row>
    <row r="183" spans="1:6" s="1517" customFormat="1" ht="14.25" customHeight="1" thickBot="1">
      <c r="A183" s="1529" t="s">
        <v>1534</v>
      </c>
      <c r="B183" s="1523" t="s">
        <v>1440</v>
      </c>
      <c r="C183" s="1523">
        <v>7470</v>
      </c>
      <c r="D183" s="1523">
        <v>7440</v>
      </c>
      <c r="E183" s="1523">
        <v>7880</v>
      </c>
      <c r="F183" s="1541"/>
    </row>
    <row r="184" spans="1:6" s="1517" customFormat="1" ht="14.25" customHeight="1" thickBot="1">
      <c r="A184" s="1529" t="s">
        <v>1534</v>
      </c>
      <c r="B184" s="1523" t="s">
        <v>1447</v>
      </c>
      <c r="C184" s="1523">
        <v>6960</v>
      </c>
      <c r="D184" s="1523">
        <v>6930</v>
      </c>
      <c r="E184" s="1523">
        <v>7570</v>
      </c>
      <c r="F184" s="1541"/>
    </row>
    <row r="185" spans="1:6" s="1517" customFormat="1" ht="14.25" customHeight="1" thickBot="1">
      <c r="A185" s="1529" t="s">
        <v>1534</v>
      </c>
      <c r="B185" s="1523" t="s">
        <v>1454</v>
      </c>
      <c r="C185" s="1523">
        <v>7260</v>
      </c>
      <c r="D185" s="1523">
        <v>7230</v>
      </c>
      <c r="E185" s="1523">
        <v>7710</v>
      </c>
      <c r="F185" s="1537">
        <v>1360</v>
      </c>
    </row>
    <row r="186" spans="1:6" s="1517" customFormat="1" ht="14.25" customHeight="1" thickBot="1">
      <c r="A186" s="1529" t="s">
        <v>1534</v>
      </c>
      <c r="B186" s="1523" t="s">
        <v>1459</v>
      </c>
      <c r="C186" s="1523"/>
      <c r="D186" s="1523"/>
      <c r="E186" s="1523"/>
      <c r="F186" s="1537">
        <v>1560</v>
      </c>
    </row>
    <row r="187" spans="1:6" s="1517" customFormat="1" ht="14.25" customHeight="1" thickBot="1">
      <c r="A187" s="1529" t="s">
        <v>1534</v>
      </c>
      <c r="B187" s="1523" t="s">
        <v>1463</v>
      </c>
      <c r="C187" s="1523"/>
      <c r="D187" s="1523"/>
      <c r="E187" s="1523"/>
      <c r="F187" s="1537">
        <v>1560</v>
      </c>
    </row>
    <row r="188" spans="1:6" s="1517" customFormat="1" ht="14.25" customHeight="1" thickBot="1">
      <c r="A188" s="1529" t="s">
        <v>1534</v>
      </c>
      <c r="B188" s="1523" t="s">
        <v>1468</v>
      </c>
      <c r="C188" s="1523"/>
      <c r="D188" s="1523"/>
      <c r="E188" s="1523"/>
      <c r="F188" s="1537">
        <v>1560</v>
      </c>
    </row>
    <row r="189" spans="1:6" s="1517" customFormat="1" ht="14.25" customHeight="1" thickBot="1">
      <c r="A189" s="1529" t="s">
        <v>1534</v>
      </c>
      <c r="B189" s="1523" t="s">
        <v>1473</v>
      </c>
      <c r="C189" s="1523"/>
      <c r="D189" s="1523"/>
      <c r="E189" s="1523"/>
      <c r="F189" s="1537">
        <v>1320</v>
      </c>
    </row>
    <row r="190" spans="1:6" s="1517" customFormat="1" ht="14.25" customHeight="1" thickBot="1">
      <c r="A190" s="1529" t="s">
        <v>1534</v>
      </c>
      <c r="B190" s="1523" t="s">
        <v>1478</v>
      </c>
      <c r="C190" s="1523"/>
      <c r="D190" s="1523"/>
      <c r="E190" s="1523"/>
      <c r="F190" s="1537">
        <v>1320</v>
      </c>
    </row>
    <row r="191" spans="1:6" s="1517" customFormat="1" ht="14.25" customHeight="1" thickBot="1">
      <c r="A191" s="1529" t="s">
        <v>1534</v>
      </c>
      <c r="B191" s="1523" t="s">
        <v>1483</v>
      </c>
      <c r="C191" s="1523"/>
      <c r="D191" s="1523"/>
      <c r="E191" s="1523"/>
      <c r="F191" s="1537">
        <v>1320</v>
      </c>
    </row>
    <row r="192" spans="1:6" s="1517" customFormat="1" ht="14.25" customHeight="1" thickBot="1">
      <c r="A192" s="1529" t="s">
        <v>1534</v>
      </c>
      <c r="B192" s="1523" t="s">
        <v>1487</v>
      </c>
      <c r="C192" s="1523"/>
      <c r="D192" s="1523"/>
      <c r="E192" s="1523"/>
      <c r="F192" s="1537">
        <v>1100</v>
      </c>
    </row>
    <row r="193" spans="1:6" s="1517" customFormat="1" ht="14.25" customHeight="1" thickBot="1">
      <c r="A193" s="1529" t="s">
        <v>1534</v>
      </c>
      <c r="B193" s="1523" t="s">
        <v>1491</v>
      </c>
      <c r="C193" s="1523"/>
      <c r="D193" s="1523"/>
      <c r="E193" s="1523"/>
      <c r="F193" s="1537">
        <v>1100</v>
      </c>
    </row>
    <row r="194" spans="1:6" s="1517" customFormat="1" ht="14.25" customHeight="1" thickBot="1">
      <c r="A194" s="1529" t="s">
        <v>1534</v>
      </c>
      <c r="B194" s="1523" t="s">
        <v>1495</v>
      </c>
      <c r="C194" s="1523"/>
      <c r="D194" s="1523"/>
      <c r="E194" s="1523"/>
      <c r="F194" s="1537">
        <v>1080</v>
      </c>
    </row>
    <row r="195" spans="1:6" s="1517" customFormat="1" ht="14.25" customHeight="1" thickBot="1">
      <c r="A195" s="1529" t="s">
        <v>1534</v>
      </c>
      <c r="B195" s="1523" t="s">
        <v>1499</v>
      </c>
      <c r="C195" s="1523"/>
      <c r="D195" s="1523"/>
      <c r="E195" s="1523"/>
      <c r="F195" s="1537">
        <v>1270</v>
      </c>
    </row>
    <row r="196" spans="1:6" s="1517" customFormat="1" ht="14.25" customHeight="1" thickBot="1">
      <c r="A196" s="1529" t="s">
        <v>1534</v>
      </c>
      <c r="B196" s="1523" t="s">
        <v>1503</v>
      </c>
      <c r="C196" s="1523"/>
      <c r="D196" s="1523"/>
      <c r="E196" s="1523"/>
      <c r="F196" s="1537">
        <v>1150</v>
      </c>
    </row>
    <row r="197" spans="1:6" s="1517" customFormat="1" ht="14.25" customHeight="1" thickBot="1">
      <c r="A197" s="1529" t="s">
        <v>1534</v>
      </c>
      <c r="B197" s="1523" t="s">
        <v>1507</v>
      </c>
      <c r="C197" s="1523"/>
      <c r="D197" s="1523"/>
      <c r="E197" s="1523"/>
      <c r="F197" s="1537">
        <v>1330</v>
      </c>
    </row>
    <row r="198" spans="1:6" s="1517" customFormat="1" ht="14.25" customHeight="1" thickBot="1">
      <c r="A198" s="1529" t="s">
        <v>1534</v>
      </c>
      <c r="B198" s="1523" t="s">
        <v>1510</v>
      </c>
      <c r="C198" s="1523"/>
      <c r="D198" s="1523"/>
      <c r="E198" s="1523"/>
      <c r="F198" s="1537">
        <v>1170</v>
      </c>
    </row>
    <row r="199" spans="1:6" s="1517" customFormat="1" ht="14.25" customHeight="1" thickBot="1">
      <c r="A199" s="1529" t="s">
        <v>1534</v>
      </c>
      <c r="B199" s="1523" t="s">
        <v>1513</v>
      </c>
      <c r="C199" s="1523"/>
      <c r="D199" s="1523"/>
      <c r="E199" s="1523"/>
      <c r="F199" s="1537">
        <v>1120</v>
      </c>
    </row>
    <row r="200" spans="1:6" s="1517" customFormat="1" ht="14.25" customHeight="1" thickBot="1">
      <c r="A200" s="1529" t="s">
        <v>1534</v>
      </c>
      <c r="B200" s="1523" t="s">
        <v>1516</v>
      </c>
      <c r="C200" s="1523"/>
      <c r="D200" s="1523"/>
      <c r="E200" s="1523"/>
      <c r="F200" s="1537">
        <v>1120</v>
      </c>
    </row>
    <row r="201" spans="1:6" s="1517" customFormat="1" ht="14.25" customHeight="1" thickBot="1">
      <c r="A201" s="1529" t="s">
        <v>1534</v>
      </c>
      <c r="B201" s="1523" t="s">
        <v>1519</v>
      </c>
      <c r="C201" s="1523"/>
      <c r="D201" s="1523"/>
      <c r="E201" s="1523"/>
      <c r="F201" s="1537">
        <v>1540</v>
      </c>
    </row>
    <row r="202" spans="1:6" s="1517" customFormat="1" ht="14.25" customHeight="1" thickBot="1">
      <c r="A202" s="1529" t="s">
        <v>1534</v>
      </c>
      <c r="B202" s="1523" t="s">
        <v>1522</v>
      </c>
      <c r="C202" s="1523"/>
      <c r="D202" s="1523"/>
      <c r="E202" s="1523"/>
      <c r="F202" s="1537">
        <v>1310</v>
      </c>
    </row>
    <row r="203" spans="1:6" s="1517" customFormat="1" ht="14.25" customHeight="1" thickBot="1">
      <c r="A203" s="1529" t="s">
        <v>1534</v>
      </c>
      <c r="B203" s="1523" t="s">
        <v>1525</v>
      </c>
      <c r="C203" s="1523"/>
      <c r="D203" s="1523"/>
      <c r="E203" s="1523"/>
      <c r="F203" s="1537">
        <v>1310</v>
      </c>
    </row>
    <row r="204" spans="1:6" s="1517" customFormat="1" ht="14.25" customHeight="1" thickBot="1">
      <c r="A204" s="1529" t="s">
        <v>1534</v>
      </c>
      <c r="B204" s="1523" t="s">
        <v>1527</v>
      </c>
      <c r="C204" s="1523"/>
      <c r="D204" s="1523"/>
      <c r="E204" s="1523"/>
      <c r="F204" s="1537">
        <v>1080</v>
      </c>
    </row>
    <row r="205" spans="1:6" s="1517" customFormat="1" ht="14.25" customHeight="1" thickBot="1">
      <c r="A205" s="1529" t="s">
        <v>1534</v>
      </c>
      <c r="B205" s="1523" t="s">
        <v>1530</v>
      </c>
      <c r="C205" s="1523"/>
      <c r="D205" s="1523"/>
      <c r="E205" s="1523"/>
      <c r="F205" s="1537">
        <v>1080</v>
      </c>
    </row>
    <row r="206" spans="1:6" s="1517" customFormat="1" ht="14.25" customHeight="1" thickBot="1">
      <c r="A206" s="1529" t="s">
        <v>1536</v>
      </c>
      <c r="B206" s="1530" t="s">
        <v>1537</v>
      </c>
      <c r="C206" s="1530">
        <v>5450</v>
      </c>
      <c r="D206" s="1530">
        <v>5430</v>
      </c>
      <c r="E206" s="1530">
        <v>5700</v>
      </c>
      <c r="F206" s="1531">
        <v>1020</v>
      </c>
    </row>
    <row r="207" spans="1:6" s="1517" customFormat="1" ht="14.25" customHeight="1" thickBot="1">
      <c r="A207" s="1529" t="s">
        <v>1536</v>
      </c>
      <c r="B207" s="1523" t="s">
        <v>1202</v>
      </c>
      <c r="C207" s="1523">
        <v>5860</v>
      </c>
      <c r="D207" s="1523">
        <v>5820</v>
      </c>
      <c r="E207" s="1523">
        <v>6050</v>
      </c>
      <c r="F207" s="1537">
        <v>1080</v>
      </c>
    </row>
    <row r="208" spans="1:6" s="1517" customFormat="1" ht="14.25" customHeight="1" thickBot="1">
      <c r="A208" s="1529" t="s">
        <v>1536</v>
      </c>
      <c r="B208" s="1523" t="s">
        <v>1215</v>
      </c>
      <c r="C208" s="1523">
        <v>4630</v>
      </c>
      <c r="D208" s="1523">
        <v>4600</v>
      </c>
      <c r="E208" s="1523">
        <v>4840</v>
      </c>
      <c r="F208" s="1537">
        <v>900</v>
      </c>
    </row>
    <row r="209" spans="1:6" s="1517" customFormat="1" ht="14.25" customHeight="1" thickBot="1">
      <c r="A209" s="1529" t="s">
        <v>1536</v>
      </c>
      <c r="B209" s="1523" t="s">
        <v>1228</v>
      </c>
      <c r="C209" s="1523">
        <v>5320</v>
      </c>
      <c r="D209" s="1523">
        <v>5270</v>
      </c>
      <c r="E209" s="1523">
        <v>5540</v>
      </c>
      <c r="F209" s="1537">
        <v>980</v>
      </c>
    </row>
    <row r="210" spans="1:6" s="1517" customFormat="1" ht="14.25" customHeight="1" thickBot="1">
      <c r="A210" s="1529" t="s">
        <v>1536</v>
      </c>
      <c r="B210" s="1523" t="s">
        <v>1240</v>
      </c>
      <c r="C210" s="1523">
        <v>5760</v>
      </c>
      <c r="D210" s="1523">
        <v>5710</v>
      </c>
      <c r="E210" s="1523">
        <v>6010</v>
      </c>
      <c r="F210" s="1537">
        <v>870</v>
      </c>
    </row>
    <row r="211" spans="1:6" s="1517" customFormat="1" ht="14.25" customHeight="1" thickBot="1">
      <c r="A211" s="1529" t="s">
        <v>1536</v>
      </c>
      <c r="B211" s="1523" t="s">
        <v>1251</v>
      </c>
      <c r="C211" s="1523">
        <v>4160</v>
      </c>
      <c r="D211" s="1523">
        <v>4100</v>
      </c>
      <c r="E211" s="1523">
        <v>4270</v>
      </c>
      <c r="F211" s="1537">
        <v>790</v>
      </c>
    </row>
    <row r="212" spans="1:6" s="1517" customFormat="1" ht="14.25" customHeight="1" thickBot="1">
      <c r="A212" s="1529" t="s">
        <v>1536</v>
      </c>
      <c r="B212" s="1523" t="s">
        <v>1262</v>
      </c>
      <c r="C212" s="1523">
        <v>4880</v>
      </c>
      <c r="D212" s="1523">
        <v>4850</v>
      </c>
      <c r="E212" s="1523">
        <v>5110</v>
      </c>
      <c r="F212" s="1537">
        <v>940</v>
      </c>
    </row>
    <row r="213" spans="1:6" s="1517" customFormat="1" ht="14.25" customHeight="1" thickBot="1">
      <c r="A213" s="1529" t="s">
        <v>1536</v>
      </c>
      <c r="B213" s="1523" t="s">
        <v>1273</v>
      </c>
      <c r="C213" s="1523">
        <v>4640</v>
      </c>
      <c r="D213" s="1523">
        <v>4590</v>
      </c>
      <c r="E213" s="1523">
        <v>4700</v>
      </c>
      <c r="F213" s="1537">
        <v>1030</v>
      </c>
    </row>
    <row r="214" spans="1:6" s="1517" customFormat="1" ht="14.25" customHeight="1" thickBot="1">
      <c r="A214" s="1529" t="s">
        <v>1536</v>
      </c>
      <c r="B214" s="1523" t="s">
        <v>1285</v>
      </c>
      <c r="C214" s="1523">
        <v>4540</v>
      </c>
      <c r="D214" s="1523">
        <v>4490</v>
      </c>
      <c r="E214" s="1523">
        <v>4610</v>
      </c>
      <c r="F214" s="1541"/>
    </row>
    <row r="215" spans="1:6" s="1517" customFormat="1" ht="14.25" customHeight="1" thickBot="1">
      <c r="A215" s="1529" t="s">
        <v>1536</v>
      </c>
      <c r="B215" s="1523" t="s">
        <v>1295</v>
      </c>
      <c r="C215" s="1523">
        <v>5280</v>
      </c>
      <c r="D215" s="1523">
        <v>5250</v>
      </c>
      <c r="E215" s="1523">
        <v>5520</v>
      </c>
      <c r="F215" s="1537">
        <v>1000</v>
      </c>
    </row>
    <row r="216" spans="1:6" s="1517" customFormat="1" ht="14.25" customHeight="1" thickBot="1">
      <c r="A216" s="1529" t="s">
        <v>1536</v>
      </c>
      <c r="B216" s="1523" t="s">
        <v>1305</v>
      </c>
      <c r="C216" s="1523">
        <v>5100</v>
      </c>
      <c r="D216" s="1523">
        <v>5050</v>
      </c>
      <c r="E216" s="1523">
        <v>5300</v>
      </c>
      <c r="F216" s="1537">
        <v>950</v>
      </c>
    </row>
    <row r="217" spans="1:6" s="1517" customFormat="1" ht="14.25" customHeight="1" thickBot="1">
      <c r="A217" s="1529" t="s">
        <v>1536</v>
      </c>
      <c r="B217" s="1523" t="s">
        <v>1315</v>
      </c>
      <c r="C217" s="1523">
        <v>5370</v>
      </c>
      <c r="D217" s="1523">
        <v>5320</v>
      </c>
      <c r="E217" s="1523">
        <v>5410</v>
      </c>
      <c r="F217" s="1537">
        <v>950</v>
      </c>
    </row>
    <row r="218" spans="1:6" s="1517" customFormat="1" ht="14.25" customHeight="1" thickBot="1">
      <c r="A218" s="1529" t="s">
        <v>1536</v>
      </c>
      <c r="B218" s="1523" t="s">
        <v>1325</v>
      </c>
      <c r="C218" s="1523">
        <v>5540</v>
      </c>
      <c r="D218" s="1523">
        <v>5480</v>
      </c>
      <c r="E218" s="1523">
        <v>5740</v>
      </c>
      <c r="F218" s="1537">
        <v>1020</v>
      </c>
    </row>
    <row r="219" spans="1:6" s="1517" customFormat="1" ht="14.25" customHeight="1" thickBot="1">
      <c r="A219" s="1529" t="s">
        <v>1536</v>
      </c>
      <c r="B219" s="1523" t="s">
        <v>1336</v>
      </c>
      <c r="C219" s="1523">
        <v>5140</v>
      </c>
      <c r="D219" s="1523">
        <v>5100</v>
      </c>
      <c r="E219" s="1523">
        <v>5350</v>
      </c>
      <c r="F219" s="1537">
        <v>1120</v>
      </c>
    </row>
    <row r="220" spans="1:6" s="1517" customFormat="1" ht="14.25" customHeight="1" thickBot="1">
      <c r="A220" s="1529" t="s">
        <v>1536</v>
      </c>
      <c r="B220" s="1523" t="s">
        <v>1347</v>
      </c>
      <c r="C220" s="1523">
        <v>5040</v>
      </c>
      <c r="D220" s="1523">
        <v>5000</v>
      </c>
      <c r="E220" s="1523">
        <v>5240</v>
      </c>
      <c r="F220" s="1537">
        <v>980</v>
      </c>
    </row>
    <row r="221" spans="1:6" s="1517" customFormat="1" ht="14.25" customHeight="1" thickBot="1">
      <c r="A221" s="1529" t="s">
        <v>1536</v>
      </c>
      <c r="B221" s="1523" t="s">
        <v>1357</v>
      </c>
      <c r="C221" s="1542"/>
      <c r="D221" s="1542"/>
      <c r="E221" s="1542"/>
      <c r="F221" s="1537">
        <v>1070</v>
      </c>
    </row>
    <row r="222" spans="1:6" s="1517" customFormat="1" ht="14.25" customHeight="1" thickBot="1">
      <c r="A222" s="1529" t="s">
        <v>1536</v>
      </c>
      <c r="B222" s="1523" t="s">
        <v>1367</v>
      </c>
      <c r="C222" s="1542"/>
      <c r="D222" s="1542"/>
      <c r="E222" s="1542"/>
      <c r="F222" s="1537">
        <v>870</v>
      </c>
    </row>
    <row r="223" spans="1:6" s="1517" customFormat="1" ht="14.25" customHeight="1" thickBot="1">
      <c r="A223" s="1529" t="s">
        <v>1536</v>
      </c>
      <c r="B223" s="1523" t="s">
        <v>1377</v>
      </c>
      <c r="C223" s="1542"/>
      <c r="D223" s="1542"/>
      <c r="E223" s="1542"/>
      <c r="F223" s="1537">
        <v>940</v>
      </c>
    </row>
    <row r="224" spans="1:6" s="1517" customFormat="1" ht="14.25" customHeight="1" thickBot="1">
      <c r="A224" s="1529" t="s">
        <v>1536</v>
      </c>
      <c r="B224" s="1523" t="s">
        <v>1387</v>
      </c>
      <c r="C224" s="1542"/>
      <c r="D224" s="1542"/>
      <c r="E224" s="1542"/>
      <c r="F224" s="1537">
        <v>990</v>
      </c>
    </row>
    <row r="225" spans="1:6" s="1517" customFormat="1" ht="14.25" customHeight="1" thickBot="1">
      <c r="A225" s="1529" t="s">
        <v>1536</v>
      </c>
      <c r="B225" s="1523" t="s">
        <v>1396</v>
      </c>
      <c r="C225" s="1523">
        <v>5730</v>
      </c>
      <c r="D225" s="1523">
        <v>5680</v>
      </c>
      <c r="E225" s="1523">
        <v>6020</v>
      </c>
      <c r="F225" s="1537">
        <v>1000</v>
      </c>
    </row>
    <row r="226" spans="1:6" s="1517" customFormat="1" ht="14.25" customHeight="1" thickBot="1">
      <c r="A226" s="1529" t="s">
        <v>1536</v>
      </c>
      <c r="B226" s="1523" t="s">
        <v>1405</v>
      </c>
      <c r="C226" s="1523">
        <v>4970</v>
      </c>
      <c r="D226" s="1523">
        <v>4940</v>
      </c>
      <c r="E226" s="1523">
        <v>5180</v>
      </c>
      <c r="F226" s="1537">
        <v>960</v>
      </c>
    </row>
    <row r="227" spans="1:6" s="1517" customFormat="1" ht="14.25" customHeight="1" thickBot="1">
      <c r="A227" s="1529" t="s">
        <v>1536</v>
      </c>
      <c r="B227" s="1523" t="s">
        <v>1413</v>
      </c>
      <c r="C227" s="1523">
        <v>5550</v>
      </c>
      <c r="D227" s="1523">
        <v>5500</v>
      </c>
      <c r="E227" s="1523">
        <v>5780</v>
      </c>
      <c r="F227" s="1537">
        <v>940</v>
      </c>
    </row>
    <row r="228" spans="1:6" s="1517" customFormat="1" ht="14.25" customHeight="1" thickBot="1">
      <c r="A228" s="1529" t="s">
        <v>1536</v>
      </c>
      <c r="B228" s="1523" t="s">
        <v>1420</v>
      </c>
      <c r="C228" s="1523">
        <v>5460</v>
      </c>
      <c r="D228" s="1523">
        <v>5420</v>
      </c>
      <c r="E228" s="1523">
        <v>5690</v>
      </c>
      <c r="F228" s="1537">
        <v>910</v>
      </c>
    </row>
    <row r="229" spans="1:6" s="1517" customFormat="1" ht="14.25" customHeight="1" thickBot="1">
      <c r="A229" s="1529" t="s">
        <v>1536</v>
      </c>
      <c r="B229" s="1523" t="s">
        <v>1427</v>
      </c>
      <c r="C229" s="1523">
        <v>5310</v>
      </c>
      <c r="D229" s="1523">
        <v>5270</v>
      </c>
      <c r="E229" s="1523">
        <v>5510</v>
      </c>
      <c r="F229" s="1541"/>
    </row>
    <row r="230" spans="1:6" s="1517" customFormat="1" ht="14.25" customHeight="1" thickBot="1">
      <c r="A230" s="1529" t="s">
        <v>1536</v>
      </c>
      <c r="B230" s="1523" t="s">
        <v>1434</v>
      </c>
      <c r="C230" s="1523">
        <v>4540</v>
      </c>
      <c r="D230" s="1523">
        <v>4500</v>
      </c>
      <c r="E230" s="1523">
        <v>4730</v>
      </c>
      <c r="F230" s="1541"/>
    </row>
    <row r="231" spans="1:6" s="1517" customFormat="1" ht="14.25" customHeight="1" thickBot="1">
      <c r="A231" s="1529" t="s">
        <v>1536</v>
      </c>
      <c r="B231" s="1523" t="s">
        <v>1441</v>
      </c>
      <c r="C231" s="1523">
        <v>4480</v>
      </c>
      <c r="D231" s="1523">
        <v>4410</v>
      </c>
      <c r="E231" s="1523">
        <v>4640</v>
      </c>
      <c r="F231" s="1541"/>
    </row>
    <row r="232" spans="1:6" s="1517" customFormat="1" ht="14.25" customHeight="1" thickBot="1">
      <c r="A232" s="1529" t="s">
        <v>1536</v>
      </c>
      <c r="B232" s="1523" t="s">
        <v>1448</v>
      </c>
      <c r="C232" s="1523">
        <v>5670</v>
      </c>
      <c r="D232" s="1523">
        <v>5600</v>
      </c>
      <c r="E232" s="1523">
        <v>5890</v>
      </c>
      <c r="F232" s="1537">
        <v>1150</v>
      </c>
    </row>
    <row r="233" spans="1:6" s="1517" customFormat="1" ht="14.25" customHeight="1" thickBot="1">
      <c r="A233" s="1529" t="s">
        <v>1536</v>
      </c>
      <c r="B233" s="1523" t="s">
        <v>1455</v>
      </c>
      <c r="C233" s="1523">
        <v>4590</v>
      </c>
      <c r="D233" s="1523">
        <v>4500</v>
      </c>
      <c r="E233" s="1523">
        <v>4600</v>
      </c>
      <c r="F233" s="1541"/>
    </row>
    <row r="234" spans="1:6" s="1517" customFormat="1" ht="14.25" customHeight="1" thickBot="1">
      <c r="A234" s="1529" t="s">
        <v>1536</v>
      </c>
      <c r="B234" s="1523" t="s">
        <v>2496</v>
      </c>
      <c r="C234" s="1523">
        <v>3990</v>
      </c>
      <c r="D234" s="1523">
        <v>3950</v>
      </c>
      <c r="E234" s="1523">
        <v>4180</v>
      </c>
      <c r="F234" s="1541"/>
    </row>
    <row r="235" spans="1:6" s="1517" customFormat="1" ht="14.25" customHeight="1" thickBot="1">
      <c r="A235" s="1529" t="s">
        <v>1536</v>
      </c>
      <c r="B235" s="1523" t="s">
        <v>1464</v>
      </c>
      <c r="C235" s="1523">
        <v>5590</v>
      </c>
      <c r="D235" s="1523">
        <v>5540</v>
      </c>
      <c r="E235" s="1523">
        <v>5810</v>
      </c>
      <c r="F235" s="1537">
        <v>970</v>
      </c>
    </row>
    <row r="236" spans="1:6" s="1517" customFormat="1" ht="14.25" customHeight="1" thickBot="1">
      <c r="A236" s="1529" t="s">
        <v>1536</v>
      </c>
      <c r="B236" s="1523" t="s">
        <v>1469</v>
      </c>
      <c r="C236" s="1523"/>
      <c r="D236" s="1523"/>
      <c r="E236" s="1523"/>
      <c r="F236" s="1537">
        <v>1020</v>
      </c>
    </row>
    <row r="237" spans="1:6" s="1517" customFormat="1" ht="14.25" customHeight="1" thickBot="1">
      <c r="A237" s="1529" t="s">
        <v>1536</v>
      </c>
      <c r="B237" s="1523" t="s">
        <v>1474</v>
      </c>
      <c r="C237" s="1523"/>
      <c r="D237" s="1523"/>
      <c r="E237" s="1523"/>
      <c r="F237" s="1537">
        <v>960</v>
      </c>
    </row>
    <row r="238" spans="1:6" s="1517" customFormat="1" ht="14.25" customHeight="1" thickBot="1">
      <c r="A238" s="1529" t="s">
        <v>1536</v>
      </c>
      <c r="B238" s="1523" t="s">
        <v>1479</v>
      </c>
      <c r="C238" s="1523"/>
      <c r="D238" s="1523"/>
      <c r="E238" s="1523"/>
      <c r="F238" s="1537">
        <v>960</v>
      </c>
    </row>
    <row r="239" spans="1:6" s="1517" customFormat="1" ht="14.25" customHeight="1" thickBot="1">
      <c r="A239" s="1529" t="s">
        <v>1536</v>
      </c>
      <c r="B239" s="1523" t="s">
        <v>1484</v>
      </c>
      <c r="C239" s="1523"/>
      <c r="D239" s="1523"/>
      <c r="E239" s="1523"/>
      <c r="F239" s="1537">
        <v>960</v>
      </c>
    </row>
    <row r="240" spans="1:6" s="1517" customFormat="1" ht="14.25" customHeight="1" thickBot="1">
      <c r="A240" s="1529" t="s">
        <v>1536</v>
      </c>
      <c r="B240" s="1523" t="s">
        <v>1488</v>
      </c>
      <c r="C240" s="1523"/>
      <c r="D240" s="1523"/>
      <c r="E240" s="1523"/>
      <c r="F240" s="1537">
        <v>990</v>
      </c>
    </row>
    <row r="241" spans="1:6" s="1517" customFormat="1" ht="14.25" customHeight="1" thickBot="1">
      <c r="A241" s="1529" t="s">
        <v>1536</v>
      </c>
      <c r="B241" s="1523" t="s">
        <v>1492</v>
      </c>
      <c r="C241" s="1523"/>
      <c r="D241" s="1523"/>
      <c r="E241" s="1523"/>
      <c r="F241" s="1537">
        <v>1000</v>
      </c>
    </row>
    <row r="242" spans="1:6" s="1517" customFormat="1" ht="14.25" customHeight="1" thickBot="1">
      <c r="A242" s="1529" t="s">
        <v>1536</v>
      </c>
      <c r="B242" s="1523" t="s">
        <v>1496</v>
      </c>
      <c r="C242" s="1523"/>
      <c r="D242" s="1523"/>
      <c r="E242" s="1523"/>
      <c r="F242" s="1537">
        <v>980</v>
      </c>
    </row>
    <row r="243" spans="1:6" s="1517" customFormat="1" ht="14.25" customHeight="1" thickBot="1">
      <c r="A243" s="1529" t="s">
        <v>1536</v>
      </c>
      <c r="B243" s="1523" t="s">
        <v>1500</v>
      </c>
      <c r="C243" s="1523"/>
      <c r="D243" s="1523"/>
      <c r="E243" s="1523"/>
      <c r="F243" s="1537">
        <v>970</v>
      </c>
    </row>
    <row r="244" spans="1:6" s="1517" customFormat="1" ht="14.25" customHeight="1" thickBot="1">
      <c r="A244" s="1529" t="s">
        <v>1536</v>
      </c>
      <c r="B244" s="1535" t="s">
        <v>1504</v>
      </c>
      <c r="C244" s="1535"/>
      <c r="D244" s="1535"/>
      <c r="E244" s="1535"/>
      <c r="F244" s="1540">
        <v>970</v>
      </c>
    </row>
    <row r="245" spans="1:6" s="1517" customFormat="1" ht="14.25" customHeight="1" thickBot="1">
      <c r="A245" s="1529" t="s">
        <v>1538</v>
      </c>
      <c r="B245" s="1530" t="s">
        <v>1539</v>
      </c>
      <c r="C245" s="1530">
        <v>4050</v>
      </c>
      <c r="D245" s="1530">
        <v>4020</v>
      </c>
      <c r="E245" s="1530">
        <v>4160</v>
      </c>
      <c r="F245" s="1531">
        <v>840</v>
      </c>
    </row>
    <row r="246" spans="1:6" s="1517" customFormat="1" ht="14.25" customHeight="1" thickBot="1">
      <c r="A246" s="1529" t="s">
        <v>1538</v>
      </c>
      <c r="B246" s="1523" t="s">
        <v>1203</v>
      </c>
      <c r="C246" s="1523">
        <v>4010</v>
      </c>
      <c r="D246" s="1523">
        <v>3960</v>
      </c>
      <c r="E246" s="1523">
        <v>4130</v>
      </c>
      <c r="F246" s="1537">
        <v>840</v>
      </c>
    </row>
    <row r="247" spans="1:6" s="1517" customFormat="1" ht="14.25" customHeight="1" thickBot="1">
      <c r="A247" s="1529" t="s">
        <v>1538</v>
      </c>
      <c r="B247" s="1523" t="s">
        <v>1540</v>
      </c>
      <c r="C247" s="1523">
        <v>3170</v>
      </c>
      <c r="D247" s="1523">
        <v>3140</v>
      </c>
      <c r="E247" s="1523">
        <v>3270</v>
      </c>
      <c r="F247" s="1537">
        <v>640</v>
      </c>
    </row>
    <row r="248" spans="1:6" s="1517" customFormat="1" ht="14.25" customHeight="1" thickBot="1">
      <c r="A248" s="1529" t="s">
        <v>1538</v>
      </c>
      <c r="B248" s="1523" t="s">
        <v>1541</v>
      </c>
      <c r="C248" s="1523">
        <v>3140</v>
      </c>
      <c r="D248" s="1523">
        <v>3120</v>
      </c>
      <c r="E248" s="1523">
        <v>3240</v>
      </c>
      <c r="F248" s="1537">
        <v>620</v>
      </c>
    </row>
    <row r="249" spans="1:6" s="1517" customFormat="1" ht="14.25" customHeight="1" thickBot="1">
      <c r="A249" s="1529" t="s">
        <v>1538</v>
      </c>
      <c r="B249" s="1523" t="s">
        <v>1241</v>
      </c>
      <c r="C249" s="1523">
        <v>3200</v>
      </c>
      <c r="D249" s="1523">
        <v>3100</v>
      </c>
      <c r="E249" s="1523">
        <v>3230</v>
      </c>
      <c r="F249" s="1537">
        <v>750</v>
      </c>
    </row>
    <row r="250" spans="1:6" s="1517" customFormat="1" ht="14.25" customHeight="1" thickBot="1">
      <c r="A250" s="1529" t="s">
        <v>1538</v>
      </c>
      <c r="B250" s="1523" t="s">
        <v>1252</v>
      </c>
      <c r="C250" s="1523">
        <v>4060</v>
      </c>
      <c r="D250" s="1523">
        <v>4000</v>
      </c>
      <c r="E250" s="1523">
        <v>4140</v>
      </c>
      <c r="F250" s="1537">
        <v>790</v>
      </c>
    </row>
    <row r="251" spans="1:6" s="1517" customFormat="1" ht="14.25" customHeight="1" thickBot="1">
      <c r="A251" s="1529" t="s">
        <v>1538</v>
      </c>
      <c r="B251" s="1523" t="s">
        <v>1263</v>
      </c>
      <c r="C251" s="1523">
        <v>3990</v>
      </c>
      <c r="D251" s="1523">
        <v>3970</v>
      </c>
      <c r="E251" s="1523">
        <v>4110</v>
      </c>
      <c r="F251" s="1537">
        <v>730</v>
      </c>
    </row>
    <row r="252" spans="1:6" s="1517" customFormat="1" ht="14.25" customHeight="1" thickBot="1">
      <c r="A252" s="1529" t="s">
        <v>1538</v>
      </c>
      <c r="B252" s="1523" t="s">
        <v>1274</v>
      </c>
      <c r="C252" s="1523">
        <v>3560</v>
      </c>
      <c r="D252" s="1523">
        <v>3530</v>
      </c>
      <c r="E252" s="1523">
        <v>3650</v>
      </c>
      <c r="F252" s="1537">
        <v>750</v>
      </c>
    </row>
    <row r="253" spans="1:6" s="1517" customFormat="1" ht="14.25" customHeight="1" thickBot="1">
      <c r="A253" s="1529" t="s">
        <v>1538</v>
      </c>
      <c r="B253" s="1523" t="s">
        <v>1286</v>
      </c>
      <c r="C253" s="1523">
        <v>3780</v>
      </c>
      <c r="D253" s="1523">
        <v>3750</v>
      </c>
      <c r="E253" s="1523">
        <v>3870</v>
      </c>
      <c r="F253" s="1537">
        <v>770</v>
      </c>
    </row>
    <row r="254" spans="1:6" s="1517" customFormat="1" ht="14.25" customHeight="1" thickBot="1">
      <c r="A254" s="1529" t="s">
        <v>1538</v>
      </c>
      <c r="B254" s="1523" t="s">
        <v>1296</v>
      </c>
      <c r="C254" s="1542"/>
      <c r="D254" s="1542"/>
      <c r="E254" s="1542"/>
      <c r="F254" s="1537">
        <v>740</v>
      </c>
    </row>
    <row r="255" spans="1:6" s="1517" customFormat="1" ht="14.25" customHeight="1" thickBot="1">
      <c r="A255" s="1529" t="s">
        <v>1538</v>
      </c>
      <c r="B255" s="1523" t="s">
        <v>1306</v>
      </c>
      <c r="C255" s="1542"/>
      <c r="D255" s="1542"/>
      <c r="E255" s="1542"/>
      <c r="F255" s="1537">
        <v>760</v>
      </c>
    </row>
    <row r="256" spans="1:6" s="1517" customFormat="1" ht="14.25" customHeight="1" thickBot="1">
      <c r="A256" s="1529" t="s">
        <v>1538</v>
      </c>
      <c r="B256" s="1523" t="s">
        <v>1316</v>
      </c>
      <c r="C256" s="1523">
        <v>3760</v>
      </c>
      <c r="D256" s="1523">
        <v>3730</v>
      </c>
      <c r="E256" s="1523">
        <v>3870</v>
      </c>
      <c r="F256" s="1537">
        <v>830</v>
      </c>
    </row>
    <row r="257" spans="1:6" s="1517" customFormat="1" ht="14.25" customHeight="1" thickBot="1">
      <c r="A257" s="1529" t="s">
        <v>1538</v>
      </c>
      <c r="B257" s="1523" t="s">
        <v>1326</v>
      </c>
      <c r="C257" s="1523">
        <v>3570</v>
      </c>
      <c r="D257" s="1523">
        <v>3540</v>
      </c>
      <c r="E257" s="1523">
        <v>3650</v>
      </c>
      <c r="F257" s="1537">
        <v>790</v>
      </c>
    </row>
    <row r="258" spans="1:6" s="1517" customFormat="1" ht="14.25" customHeight="1" thickBot="1">
      <c r="A258" s="1529" t="s">
        <v>1538</v>
      </c>
      <c r="B258" s="1523" t="s">
        <v>1337</v>
      </c>
      <c r="C258" s="1523">
        <v>3410</v>
      </c>
      <c r="D258" s="1523">
        <v>3380</v>
      </c>
      <c r="E258" s="1523">
        <v>3500</v>
      </c>
      <c r="F258" s="1537">
        <v>830</v>
      </c>
    </row>
    <row r="259" spans="1:6" s="1517" customFormat="1" ht="14.25" customHeight="1" thickBot="1">
      <c r="A259" s="1529" t="s">
        <v>1538</v>
      </c>
      <c r="B259" s="1523" t="s">
        <v>1348</v>
      </c>
      <c r="C259" s="1523">
        <v>3870</v>
      </c>
      <c r="D259" s="1523">
        <v>3840</v>
      </c>
      <c r="E259" s="1523">
        <v>3970</v>
      </c>
      <c r="F259" s="1537">
        <v>830</v>
      </c>
    </row>
    <row r="260" spans="1:6" s="1517" customFormat="1" ht="14.25" customHeight="1" thickBot="1">
      <c r="A260" s="1529" t="s">
        <v>1538</v>
      </c>
      <c r="B260" s="1523" t="s">
        <v>1358</v>
      </c>
      <c r="C260" s="1523">
        <v>3700</v>
      </c>
      <c r="D260" s="1523">
        <v>3660</v>
      </c>
      <c r="E260" s="1523">
        <v>3810</v>
      </c>
      <c r="F260" s="1537">
        <v>790</v>
      </c>
    </row>
    <row r="261" spans="1:6" s="1517" customFormat="1" ht="14.25" customHeight="1" thickBot="1">
      <c r="A261" s="1529" t="s">
        <v>1538</v>
      </c>
      <c r="B261" s="1523" t="s">
        <v>1368</v>
      </c>
      <c r="C261" s="1523">
        <v>3470</v>
      </c>
      <c r="D261" s="1523">
        <v>3430</v>
      </c>
      <c r="E261" s="1523">
        <v>3640</v>
      </c>
      <c r="F261" s="1537">
        <v>760</v>
      </c>
    </row>
    <row r="262" spans="1:6" s="1517" customFormat="1" ht="14.25" customHeight="1" thickBot="1">
      <c r="A262" s="1529" t="s">
        <v>1538</v>
      </c>
      <c r="B262" s="1523" t="s">
        <v>1378</v>
      </c>
      <c r="C262" s="1523">
        <v>3510</v>
      </c>
      <c r="D262" s="1523">
        <v>3470</v>
      </c>
      <c r="E262" s="1523">
        <v>3680</v>
      </c>
      <c r="F262" s="1541"/>
    </row>
    <row r="263" spans="1:6" s="1517" customFormat="1" ht="14.25" customHeight="1" thickBot="1">
      <c r="A263" s="1529" t="s">
        <v>1538</v>
      </c>
      <c r="B263" s="1523" t="s">
        <v>1388</v>
      </c>
      <c r="C263" s="1523">
        <v>3960</v>
      </c>
      <c r="D263" s="1523">
        <v>3930</v>
      </c>
      <c r="E263" s="1523">
        <v>4070</v>
      </c>
      <c r="F263" s="1537">
        <v>830</v>
      </c>
    </row>
    <row r="264" spans="1:6" s="1517" customFormat="1" ht="14.25" customHeight="1" thickBot="1">
      <c r="A264" s="1529" t="s">
        <v>1538</v>
      </c>
      <c r="B264" s="1523" t="s">
        <v>1397</v>
      </c>
      <c r="C264" s="1523">
        <v>4010</v>
      </c>
      <c r="D264" s="1523">
        <v>3980</v>
      </c>
      <c r="E264" s="1523">
        <v>4150</v>
      </c>
      <c r="F264" s="1537">
        <v>760</v>
      </c>
    </row>
    <row r="265" spans="1:6" s="1517" customFormat="1" ht="14.25" customHeight="1" thickBot="1">
      <c r="A265" s="1529" t="s">
        <v>1538</v>
      </c>
      <c r="B265" s="1523" t="s">
        <v>1406</v>
      </c>
      <c r="C265" s="1523">
        <v>3910</v>
      </c>
      <c r="D265" s="1523">
        <v>3890</v>
      </c>
      <c r="E265" s="1523">
        <v>4040</v>
      </c>
      <c r="F265" s="1537">
        <v>780</v>
      </c>
    </row>
    <row r="266" spans="1:6" s="1517" customFormat="1" ht="14.25" customHeight="1" thickBot="1">
      <c r="A266" s="1529" t="s">
        <v>1538</v>
      </c>
      <c r="B266" s="1523" t="s">
        <v>1414</v>
      </c>
      <c r="C266" s="1523">
        <v>3930</v>
      </c>
      <c r="D266" s="1523">
        <v>3900</v>
      </c>
      <c r="E266" s="1523">
        <v>4080</v>
      </c>
      <c r="F266" s="1537">
        <v>770</v>
      </c>
    </row>
    <row r="267" spans="1:6" s="1517" customFormat="1" ht="14.25" customHeight="1" thickBot="1">
      <c r="A267" s="1529" t="s">
        <v>1538</v>
      </c>
      <c r="B267" s="1523" t="s">
        <v>1421</v>
      </c>
      <c r="C267" s="1523">
        <v>3800</v>
      </c>
      <c r="D267" s="1523">
        <v>3780</v>
      </c>
      <c r="E267" s="1523">
        <v>3930</v>
      </c>
      <c r="F267" s="1541"/>
    </row>
    <row r="268" spans="1:6" s="1517" customFormat="1" ht="14.25" customHeight="1" thickBot="1">
      <c r="A268" s="1529" t="s">
        <v>1538</v>
      </c>
      <c r="B268" s="1523" t="s">
        <v>1428</v>
      </c>
      <c r="C268" s="1523">
        <v>3460</v>
      </c>
      <c r="D268" s="1523">
        <v>3430</v>
      </c>
      <c r="E268" s="1523">
        <v>3560</v>
      </c>
      <c r="F268" s="1537">
        <v>840</v>
      </c>
    </row>
    <row r="269" spans="1:6" s="1517" customFormat="1" ht="14.25" customHeight="1" thickBot="1">
      <c r="A269" s="1529" t="s">
        <v>1538</v>
      </c>
      <c r="B269" s="1523" t="s">
        <v>1435</v>
      </c>
      <c r="C269" s="1523">
        <v>3210</v>
      </c>
      <c r="D269" s="1523">
        <v>3190</v>
      </c>
      <c r="E269" s="1523">
        <v>3310</v>
      </c>
      <c r="F269" s="1537">
        <v>730</v>
      </c>
    </row>
    <row r="270" spans="1:6" s="1517" customFormat="1" ht="14.25" customHeight="1" thickBot="1">
      <c r="A270" s="1529" t="s">
        <v>1538</v>
      </c>
      <c r="B270" s="1523" t="s">
        <v>1442</v>
      </c>
      <c r="C270" s="1523">
        <v>3240</v>
      </c>
      <c r="D270" s="1523">
        <v>3210</v>
      </c>
      <c r="E270" s="1523">
        <v>3390</v>
      </c>
      <c r="F270" s="1537">
        <v>820</v>
      </c>
    </row>
    <row r="271" spans="1:6" s="1517" customFormat="1" ht="14.25" customHeight="1" thickBot="1">
      <c r="A271" s="1529" t="s">
        <v>1538</v>
      </c>
      <c r="B271" s="1523" t="s">
        <v>1449</v>
      </c>
      <c r="C271" s="1523">
        <v>3300</v>
      </c>
      <c r="D271" s="1523">
        <v>3270</v>
      </c>
      <c r="E271" s="1523">
        <v>3380</v>
      </c>
      <c r="F271" s="1537">
        <v>750</v>
      </c>
    </row>
    <row r="272" spans="1:6" s="1517" customFormat="1" ht="14.25" customHeight="1" thickBot="1">
      <c r="A272" s="1529" t="s">
        <v>1538</v>
      </c>
      <c r="B272" s="1523" t="s">
        <v>1456</v>
      </c>
      <c r="C272" s="1542"/>
      <c r="D272" s="1542"/>
      <c r="E272" s="1542"/>
      <c r="F272" s="1537">
        <v>740</v>
      </c>
    </row>
    <row r="273" spans="1:6" s="1517" customFormat="1" ht="14.25" customHeight="1" thickBot="1">
      <c r="A273" s="1529" t="s">
        <v>1538</v>
      </c>
      <c r="B273" s="1523" t="s">
        <v>1460</v>
      </c>
      <c r="C273" s="1523">
        <v>3130</v>
      </c>
      <c r="D273" s="1523">
        <v>3100</v>
      </c>
      <c r="E273" s="1523">
        <v>3230</v>
      </c>
      <c r="F273" s="1537">
        <v>700</v>
      </c>
    </row>
    <row r="274" spans="1:6" s="1517" customFormat="1" ht="14.25" customHeight="1" thickBot="1">
      <c r="A274" s="1529" t="s">
        <v>1538</v>
      </c>
      <c r="B274" s="1523" t="s">
        <v>1465</v>
      </c>
      <c r="C274" s="1523">
        <v>3460</v>
      </c>
      <c r="D274" s="1523">
        <v>3430</v>
      </c>
      <c r="E274" s="1523">
        <v>3560</v>
      </c>
      <c r="F274" s="1537">
        <v>690</v>
      </c>
    </row>
    <row r="275" spans="1:6" s="1517" customFormat="1" ht="14.25" customHeight="1" thickBot="1">
      <c r="A275" s="1529" t="s">
        <v>1538</v>
      </c>
      <c r="B275" s="1523" t="s">
        <v>1470</v>
      </c>
      <c r="C275" s="1523">
        <v>4040</v>
      </c>
      <c r="D275" s="1523">
        <v>4020</v>
      </c>
      <c r="E275" s="1523">
        <v>4160</v>
      </c>
      <c r="F275" s="1537">
        <v>820</v>
      </c>
    </row>
    <row r="276" spans="1:6" s="1517" customFormat="1" ht="14.25" customHeight="1" thickBot="1">
      <c r="A276" s="1529" t="s">
        <v>1538</v>
      </c>
      <c r="B276" s="1523" t="s">
        <v>1475</v>
      </c>
      <c r="C276" s="1523">
        <v>3270</v>
      </c>
      <c r="D276" s="1523">
        <v>3240</v>
      </c>
      <c r="E276" s="1523">
        <v>3350</v>
      </c>
      <c r="F276" s="1537">
        <v>680</v>
      </c>
    </row>
    <row r="277" spans="1:6" s="1517" customFormat="1" ht="14.25" customHeight="1" thickBot="1">
      <c r="A277" s="1529" t="s">
        <v>1538</v>
      </c>
      <c r="B277" s="1523" t="s">
        <v>1480</v>
      </c>
      <c r="C277" s="1523">
        <v>2930</v>
      </c>
      <c r="D277" s="1523">
        <v>2900</v>
      </c>
      <c r="E277" s="1523">
        <v>3000</v>
      </c>
      <c r="F277" s="1537">
        <v>640</v>
      </c>
    </row>
    <row r="278" spans="1:6" s="1517" customFormat="1" ht="14.25" customHeight="1" thickBot="1">
      <c r="A278" s="1529" t="s">
        <v>1538</v>
      </c>
      <c r="B278" s="1523" t="s">
        <v>1485</v>
      </c>
      <c r="C278" s="1523">
        <v>4080</v>
      </c>
      <c r="D278" s="1523">
        <v>4030</v>
      </c>
      <c r="E278" s="1523">
        <v>4140</v>
      </c>
      <c r="F278" s="1537">
        <v>850</v>
      </c>
    </row>
    <row r="279" spans="1:6" s="1517" customFormat="1" ht="14.25" customHeight="1" thickBot="1">
      <c r="A279" s="1529" t="s">
        <v>1538</v>
      </c>
      <c r="B279" s="1523" t="s">
        <v>1489</v>
      </c>
      <c r="C279" s="1523"/>
      <c r="D279" s="1523"/>
      <c r="E279" s="1523"/>
      <c r="F279" s="1537">
        <v>760</v>
      </c>
    </row>
    <row r="280" spans="1:6" s="1517" customFormat="1" ht="14.25" customHeight="1" thickBot="1">
      <c r="A280" s="1529" t="s">
        <v>1538</v>
      </c>
      <c r="B280" s="1523" t="s">
        <v>1493</v>
      </c>
      <c r="C280" s="1523"/>
      <c r="D280" s="1523"/>
      <c r="E280" s="1523"/>
      <c r="F280" s="1537">
        <v>760</v>
      </c>
    </row>
    <row r="281" spans="1:6" s="1517" customFormat="1" ht="14.25" customHeight="1" thickBot="1">
      <c r="A281" s="1529" t="s">
        <v>1538</v>
      </c>
      <c r="B281" s="1523" t="s">
        <v>1497</v>
      </c>
      <c r="C281" s="1523"/>
      <c r="D281" s="1523"/>
      <c r="E281" s="1523"/>
      <c r="F281" s="1537">
        <v>780</v>
      </c>
    </row>
    <row r="282" spans="1:6" s="1517" customFormat="1" ht="14.25" customHeight="1" thickBot="1">
      <c r="A282" s="1529" t="s">
        <v>1538</v>
      </c>
      <c r="B282" s="1523" t="s">
        <v>1501</v>
      </c>
      <c r="C282" s="1523"/>
      <c r="D282" s="1523"/>
      <c r="E282" s="1523"/>
      <c r="F282" s="1537">
        <v>730</v>
      </c>
    </row>
    <row r="283" spans="1:6" s="1517" customFormat="1" ht="14.25" customHeight="1" thickBot="1">
      <c r="A283" s="1529" t="s">
        <v>1538</v>
      </c>
      <c r="B283" s="1523" t="s">
        <v>1505</v>
      </c>
      <c r="C283" s="1523"/>
      <c r="D283" s="1523"/>
      <c r="E283" s="1523"/>
      <c r="F283" s="1537">
        <v>770</v>
      </c>
    </row>
    <row r="284" spans="1:6" s="1517" customFormat="1" ht="14.25" customHeight="1" thickBot="1">
      <c r="A284" s="1529" t="s">
        <v>1538</v>
      </c>
      <c r="B284" s="1523" t="s">
        <v>1508</v>
      </c>
      <c r="C284" s="1523"/>
      <c r="D284" s="1523"/>
      <c r="E284" s="1523"/>
      <c r="F284" s="1537">
        <v>640</v>
      </c>
    </row>
    <row r="285" spans="1:6" s="1517" customFormat="1" ht="14.25" customHeight="1" thickBot="1">
      <c r="A285" s="1529" t="s">
        <v>1538</v>
      </c>
      <c r="B285" s="1523" t="s">
        <v>1511</v>
      </c>
      <c r="C285" s="1523"/>
      <c r="D285" s="1523"/>
      <c r="E285" s="1523"/>
      <c r="F285" s="1537">
        <v>640</v>
      </c>
    </row>
    <row r="286" spans="1:6" s="1517" customFormat="1" ht="14.25" customHeight="1" thickBot="1">
      <c r="A286" s="1529" t="s">
        <v>1538</v>
      </c>
      <c r="B286" s="1523" t="s">
        <v>1514</v>
      </c>
      <c r="C286" s="1523"/>
      <c r="D286" s="1523"/>
      <c r="E286" s="1523"/>
      <c r="F286" s="1537">
        <v>850</v>
      </c>
    </row>
    <row r="287" spans="1:6" s="1517" customFormat="1" ht="14.25" customHeight="1" thickBot="1">
      <c r="A287" s="1529" t="s">
        <v>1538</v>
      </c>
      <c r="B287" s="1523" t="s">
        <v>1517</v>
      </c>
      <c r="C287" s="1523"/>
      <c r="D287" s="1523"/>
      <c r="E287" s="1523"/>
      <c r="F287" s="1537">
        <v>760</v>
      </c>
    </row>
    <row r="288" spans="1:6" s="1517" customFormat="1" ht="14.25" customHeight="1" thickBot="1">
      <c r="A288" s="1529" t="s">
        <v>1538</v>
      </c>
      <c r="B288" s="1523" t="s">
        <v>1520</v>
      </c>
      <c r="C288" s="1523"/>
      <c r="D288" s="1523"/>
      <c r="E288" s="1523"/>
      <c r="F288" s="1537">
        <v>830</v>
      </c>
    </row>
    <row r="289" spans="1:6" s="1517" customFormat="1" ht="14.25" customHeight="1" thickBot="1">
      <c r="A289" s="1529" t="s">
        <v>1538</v>
      </c>
      <c r="B289" s="1535" t="s">
        <v>1523</v>
      </c>
      <c r="C289" s="1535"/>
      <c r="D289" s="1535"/>
      <c r="E289" s="1535"/>
      <c r="F289" s="1540">
        <v>680</v>
      </c>
    </row>
    <row r="290" spans="1:6" s="1517" customFormat="1" ht="14.25" customHeight="1" thickBot="1">
      <c r="A290" s="1529" t="s">
        <v>1542</v>
      </c>
      <c r="B290" s="1530" t="s">
        <v>1543</v>
      </c>
      <c r="C290" s="1530">
        <v>2770</v>
      </c>
      <c r="D290" s="1530">
        <v>2740</v>
      </c>
      <c r="E290" s="1530">
        <v>2720</v>
      </c>
      <c r="F290" s="1543"/>
    </row>
    <row r="291" spans="1:6" s="1517" customFormat="1" ht="14.25" customHeight="1" thickBot="1">
      <c r="A291" s="1529" t="s">
        <v>1542</v>
      </c>
      <c r="B291" s="1523" t="s">
        <v>1204</v>
      </c>
      <c r="C291" s="1523">
        <v>2670</v>
      </c>
      <c r="D291" s="1523">
        <v>2640</v>
      </c>
      <c r="E291" s="1523">
        <v>2620</v>
      </c>
      <c r="F291" s="1541"/>
    </row>
    <row r="292" spans="1:6" s="1517" customFormat="1" ht="14.25" customHeight="1" thickBot="1">
      <c r="A292" s="1529" t="s">
        <v>1542</v>
      </c>
      <c r="B292" s="1523" t="s">
        <v>1544</v>
      </c>
      <c r="C292" s="1523">
        <v>2180</v>
      </c>
      <c r="D292" s="1523">
        <v>2140</v>
      </c>
      <c r="E292" s="1523">
        <v>2120</v>
      </c>
      <c r="F292" s="1537">
        <v>490</v>
      </c>
    </row>
    <row r="293" spans="1:6" s="1517" customFormat="1" ht="14.25" customHeight="1" thickBot="1">
      <c r="A293" s="1529" t="s">
        <v>1542</v>
      </c>
      <c r="B293" s="1523" t="s">
        <v>1545</v>
      </c>
      <c r="C293" s="1523"/>
      <c r="D293" s="1523"/>
      <c r="E293" s="1523"/>
      <c r="F293" s="1537">
        <v>470</v>
      </c>
    </row>
    <row r="294" spans="1:6" s="1517" customFormat="1" ht="14.25" customHeight="1" thickBot="1">
      <c r="A294" s="1529" t="s">
        <v>1542</v>
      </c>
      <c r="B294" s="1523" t="s">
        <v>1546</v>
      </c>
      <c r="C294" s="1523">
        <v>2730</v>
      </c>
      <c r="D294" s="1523">
        <v>2700</v>
      </c>
      <c r="E294" s="1523">
        <v>2680</v>
      </c>
      <c r="F294" s="1537">
        <v>490</v>
      </c>
    </row>
    <row r="295" spans="1:6" s="1517" customFormat="1" ht="14.25" customHeight="1" thickBot="1">
      <c r="A295" s="1529" t="s">
        <v>1542</v>
      </c>
      <c r="B295" s="1523" t="s">
        <v>1242</v>
      </c>
      <c r="C295" s="1523">
        <v>2380</v>
      </c>
      <c r="D295" s="1523">
        <v>2350</v>
      </c>
      <c r="E295" s="1523">
        <v>2330</v>
      </c>
      <c r="F295" s="1537">
        <v>530</v>
      </c>
    </row>
    <row r="296" spans="1:6" s="1517" customFormat="1" ht="14.25" customHeight="1" thickBot="1">
      <c r="A296" s="1529" t="s">
        <v>1542</v>
      </c>
      <c r="B296" s="1523" t="s">
        <v>1253</v>
      </c>
      <c r="C296" s="1523">
        <v>2650</v>
      </c>
      <c r="D296" s="1523">
        <v>2620</v>
      </c>
      <c r="E296" s="1523">
        <v>2590</v>
      </c>
      <c r="F296" s="1537">
        <v>590</v>
      </c>
    </row>
    <row r="297" spans="1:6" s="1517" customFormat="1" ht="14.25" customHeight="1" thickBot="1">
      <c r="A297" s="1529" t="s">
        <v>1542</v>
      </c>
      <c r="B297" s="1523" t="s">
        <v>1264</v>
      </c>
      <c r="C297" s="1523">
        <v>2700</v>
      </c>
      <c r="D297" s="1523">
        <v>2670</v>
      </c>
      <c r="E297" s="1523">
        <v>2650</v>
      </c>
      <c r="F297" s="1537">
        <v>630</v>
      </c>
    </row>
    <row r="298" spans="1:6" s="1517" customFormat="1" ht="14.25" customHeight="1" thickBot="1">
      <c r="A298" s="1529" t="s">
        <v>1542</v>
      </c>
      <c r="B298" s="1523" t="s">
        <v>1275</v>
      </c>
      <c r="C298" s="1523">
        <v>2650</v>
      </c>
      <c r="D298" s="1523">
        <v>2620</v>
      </c>
      <c r="E298" s="1523">
        <v>2590</v>
      </c>
      <c r="F298" s="1537">
        <v>640</v>
      </c>
    </row>
    <row r="299" spans="1:6" s="1517" customFormat="1" ht="14.25" customHeight="1" thickBot="1">
      <c r="A299" s="1529" t="s">
        <v>1542</v>
      </c>
      <c r="B299" s="1523" t="s">
        <v>1287</v>
      </c>
      <c r="C299" s="1523">
        <v>2500</v>
      </c>
      <c r="D299" s="1523">
        <v>2480</v>
      </c>
      <c r="E299" s="1523">
        <v>2460</v>
      </c>
      <c r="F299" s="1541"/>
    </row>
    <row r="300" spans="1:6" s="1517" customFormat="1" ht="14.25" customHeight="1" thickBot="1">
      <c r="A300" s="1529" t="s">
        <v>1542</v>
      </c>
      <c r="B300" s="1523" t="s">
        <v>1297</v>
      </c>
      <c r="C300" s="1523">
        <v>2760</v>
      </c>
      <c r="D300" s="1523">
        <v>2730</v>
      </c>
      <c r="E300" s="1523">
        <v>2700</v>
      </c>
      <c r="F300" s="1537">
        <v>630</v>
      </c>
    </row>
    <row r="301" spans="1:6" s="1517" customFormat="1" ht="14.25" customHeight="1" thickBot="1">
      <c r="A301" s="1529" t="s">
        <v>1542</v>
      </c>
      <c r="B301" s="1523" t="s">
        <v>1307</v>
      </c>
      <c r="C301" s="1523">
        <v>2510</v>
      </c>
      <c r="D301" s="1523">
        <v>2480</v>
      </c>
      <c r="E301" s="1523">
        <v>2460</v>
      </c>
      <c r="F301" s="1541"/>
    </row>
    <row r="302" spans="1:6" s="1517" customFormat="1" ht="14.25" customHeight="1" thickBot="1">
      <c r="A302" s="1529" t="s">
        <v>1542</v>
      </c>
      <c r="B302" s="1523" t="s">
        <v>1317</v>
      </c>
      <c r="C302" s="1523">
        <v>2480</v>
      </c>
      <c r="D302" s="1523">
        <v>2450</v>
      </c>
      <c r="E302" s="1523">
        <v>2420</v>
      </c>
      <c r="F302" s="1537">
        <v>600</v>
      </c>
    </row>
    <row r="303" spans="1:6" s="1517" customFormat="1" ht="14.25" customHeight="1" thickBot="1">
      <c r="A303" s="1529" t="s">
        <v>1542</v>
      </c>
      <c r="B303" s="1523" t="s">
        <v>1327</v>
      </c>
      <c r="C303" s="1523">
        <v>2270</v>
      </c>
      <c r="D303" s="1523">
        <v>2240</v>
      </c>
      <c r="E303" s="1523">
        <v>2210</v>
      </c>
      <c r="F303" s="1537">
        <v>540</v>
      </c>
    </row>
    <row r="304" spans="1:6" s="1517" customFormat="1" ht="14.25" customHeight="1" thickBot="1">
      <c r="A304" s="1529" t="s">
        <v>1542</v>
      </c>
      <c r="B304" s="1523" t="s">
        <v>1338</v>
      </c>
      <c r="C304" s="1523">
        <v>2310</v>
      </c>
      <c r="D304" s="1523">
        <v>2290</v>
      </c>
      <c r="E304" s="1523">
        <v>2270</v>
      </c>
      <c r="F304" s="1541"/>
    </row>
    <row r="305" spans="1:6" s="1517" customFormat="1" ht="14.25" customHeight="1" thickBot="1">
      <c r="A305" s="1529" t="s">
        <v>1542</v>
      </c>
      <c r="B305" s="1523" t="s">
        <v>1349</v>
      </c>
      <c r="C305" s="1523">
        <v>2490</v>
      </c>
      <c r="D305" s="1523">
        <v>2470</v>
      </c>
      <c r="E305" s="1523">
        <v>2440</v>
      </c>
      <c r="F305" s="1537">
        <v>560</v>
      </c>
    </row>
    <row r="306" spans="1:6" s="1517" customFormat="1" ht="14.25" customHeight="1" thickBot="1">
      <c r="A306" s="1529" t="s">
        <v>1542</v>
      </c>
      <c r="B306" s="1523" t="s">
        <v>1359</v>
      </c>
      <c r="C306" s="1523">
        <v>2420</v>
      </c>
      <c r="D306" s="1523">
        <v>2400</v>
      </c>
      <c r="E306" s="1523">
        <v>2380</v>
      </c>
      <c r="F306" s="1541"/>
    </row>
    <row r="307" spans="1:6" s="1517" customFormat="1" ht="14.25" customHeight="1" thickBot="1">
      <c r="A307" s="1529" t="s">
        <v>1542</v>
      </c>
      <c r="B307" s="1523" t="s">
        <v>1369</v>
      </c>
      <c r="C307" s="1523">
        <v>2770</v>
      </c>
      <c r="D307" s="1523">
        <v>2740</v>
      </c>
      <c r="E307" s="1523">
        <v>2710</v>
      </c>
      <c r="F307" s="1537">
        <v>650</v>
      </c>
    </row>
    <row r="308" spans="1:6" s="1517" customFormat="1" ht="14.25" customHeight="1" thickBot="1">
      <c r="A308" s="1529" t="s">
        <v>1542</v>
      </c>
      <c r="B308" s="1523" t="s">
        <v>1379</v>
      </c>
      <c r="C308" s="1523">
        <v>2610</v>
      </c>
      <c r="D308" s="1523">
        <v>2580</v>
      </c>
      <c r="E308" s="1523">
        <v>2550</v>
      </c>
      <c r="F308" s="1537">
        <v>580</v>
      </c>
    </row>
    <row r="309" spans="1:6" s="1517" customFormat="1" ht="14.25" customHeight="1" thickBot="1">
      <c r="A309" s="1529" t="s">
        <v>1542</v>
      </c>
      <c r="B309" s="1523" t="s">
        <v>1389</v>
      </c>
      <c r="C309" s="1523">
        <v>2690</v>
      </c>
      <c r="D309" s="1523">
        <v>2670</v>
      </c>
      <c r="E309" s="1523">
        <v>2650</v>
      </c>
      <c r="F309" s="1541"/>
    </row>
    <row r="310" spans="1:6" s="1517" customFormat="1" ht="14.25" customHeight="1" thickBot="1">
      <c r="A310" s="1529" t="s">
        <v>1542</v>
      </c>
      <c r="B310" s="1523" t="s">
        <v>1398</v>
      </c>
      <c r="C310" s="1523">
        <v>2360</v>
      </c>
      <c r="D310" s="1523">
        <v>2330</v>
      </c>
      <c r="E310" s="1523">
        <v>2310</v>
      </c>
      <c r="F310" s="1537">
        <v>560</v>
      </c>
    </row>
    <row r="311" spans="1:6" s="1517" customFormat="1" ht="14.25" customHeight="1" thickBot="1">
      <c r="A311" s="1529" t="s">
        <v>1542</v>
      </c>
      <c r="B311" s="1523" t="s">
        <v>1407</v>
      </c>
      <c r="C311" s="1523">
        <v>1970</v>
      </c>
      <c r="D311" s="1523">
        <v>1950</v>
      </c>
      <c r="E311" s="1523">
        <v>1920</v>
      </c>
      <c r="F311" s="1537">
        <v>470</v>
      </c>
    </row>
    <row r="312" spans="1:6" s="1517" customFormat="1" ht="14.25" customHeight="1" thickBot="1">
      <c r="A312" s="1529" t="s">
        <v>1542</v>
      </c>
      <c r="B312" s="1523" t="s">
        <v>1415</v>
      </c>
      <c r="C312" s="1523">
        <v>2230</v>
      </c>
      <c r="D312" s="1523">
        <v>2200</v>
      </c>
      <c r="E312" s="1523">
        <v>2170</v>
      </c>
      <c r="F312" s="1537">
        <v>460</v>
      </c>
    </row>
    <row r="313" spans="1:6" s="1517" customFormat="1" ht="14.25" customHeight="1" thickBot="1">
      <c r="A313" s="1529" t="s">
        <v>1542</v>
      </c>
      <c r="B313" s="1523" t="s">
        <v>1422</v>
      </c>
      <c r="C313" s="1523">
        <v>2770</v>
      </c>
      <c r="D313" s="1523">
        <v>2740</v>
      </c>
      <c r="E313" s="1523">
        <v>2710</v>
      </c>
      <c r="F313" s="1537">
        <v>610</v>
      </c>
    </row>
    <row r="314" spans="1:6" s="1517" customFormat="1" ht="14.25" customHeight="1" thickBot="1">
      <c r="A314" s="1529" t="s">
        <v>1542</v>
      </c>
      <c r="B314" s="1523" t="s">
        <v>1429</v>
      </c>
      <c r="C314" s="1523"/>
      <c r="D314" s="1523"/>
      <c r="E314" s="1523"/>
      <c r="F314" s="1537">
        <v>490</v>
      </c>
    </row>
    <row r="315" spans="1:6" s="1517" customFormat="1" ht="14.25" customHeight="1" thickBot="1">
      <c r="A315" s="1529" t="s">
        <v>1542</v>
      </c>
      <c r="B315" s="1523" t="s">
        <v>1436</v>
      </c>
      <c r="C315" s="1523"/>
      <c r="D315" s="1523"/>
      <c r="E315" s="1523"/>
      <c r="F315" s="1537">
        <v>520</v>
      </c>
    </row>
    <row r="316" spans="1:6" s="1517" customFormat="1" ht="14.25" customHeight="1" thickBot="1">
      <c r="A316" s="1529" t="s">
        <v>1542</v>
      </c>
      <c r="B316" s="1535" t="s">
        <v>1443</v>
      </c>
      <c r="C316" s="1535"/>
      <c r="D316" s="1535"/>
      <c r="E316" s="1535"/>
      <c r="F316" s="1540">
        <v>460</v>
      </c>
    </row>
    <row r="317" spans="1:6" s="1517" customFormat="1" ht="14.25" customHeight="1" thickBot="1">
      <c r="A317" s="1529" t="s">
        <v>1329</v>
      </c>
      <c r="B317" s="1530" t="s">
        <v>1547</v>
      </c>
      <c r="C317" s="1530">
        <v>1200</v>
      </c>
      <c r="D317" s="1530">
        <v>1180</v>
      </c>
      <c r="E317" s="1530">
        <v>1160</v>
      </c>
      <c r="F317" s="1531">
        <v>370</v>
      </c>
    </row>
    <row r="318" spans="1:6" s="1517" customFormat="1" ht="14.25" customHeight="1" thickBot="1">
      <c r="A318" s="1529" t="s">
        <v>1329</v>
      </c>
      <c r="B318" s="1523" t="s">
        <v>1548</v>
      </c>
      <c r="C318" s="1523">
        <v>1090</v>
      </c>
      <c r="D318" s="1523">
        <v>1060</v>
      </c>
      <c r="E318" s="1523">
        <v>1040</v>
      </c>
      <c r="F318" s="1541"/>
    </row>
    <row r="319" spans="1:6" s="1517" customFormat="1" ht="14.25" customHeight="1" thickBot="1">
      <c r="A319" s="1529" t="s">
        <v>1329</v>
      </c>
      <c r="B319" s="1523" t="s">
        <v>1549</v>
      </c>
      <c r="C319" s="1523">
        <v>1520</v>
      </c>
      <c r="D319" s="1523">
        <v>1470</v>
      </c>
      <c r="E319" s="1523">
        <v>1440</v>
      </c>
      <c r="F319" s="1537">
        <v>370</v>
      </c>
    </row>
    <row r="320" spans="1:6" s="1517" customFormat="1" ht="14.25" customHeight="1" thickBot="1">
      <c r="A320" s="1529" t="s">
        <v>1329</v>
      </c>
      <c r="B320" s="1523" t="s">
        <v>1231</v>
      </c>
      <c r="C320" s="1523">
        <v>1360</v>
      </c>
      <c r="D320" s="1523">
        <v>1300</v>
      </c>
      <c r="E320" s="1523">
        <v>1270</v>
      </c>
      <c r="F320" s="1541"/>
    </row>
    <row r="321" spans="1:6" s="1517" customFormat="1" ht="14.25" customHeight="1" thickBot="1">
      <c r="A321" s="1529" t="s">
        <v>1329</v>
      </c>
      <c r="B321" s="1523" t="s">
        <v>1243</v>
      </c>
      <c r="C321" s="1523">
        <v>1750</v>
      </c>
      <c r="D321" s="1523">
        <v>1690</v>
      </c>
      <c r="E321" s="1523">
        <v>1660</v>
      </c>
      <c r="F321" s="1541"/>
    </row>
    <row r="322" spans="1:6" s="1517" customFormat="1" ht="14.25" customHeight="1" thickBot="1">
      <c r="A322" s="1529" t="s">
        <v>1329</v>
      </c>
      <c r="B322" s="1523" t="s">
        <v>1254</v>
      </c>
      <c r="C322" s="1523">
        <v>1650</v>
      </c>
      <c r="D322" s="1523">
        <v>1610</v>
      </c>
      <c r="E322" s="1523">
        <v>1580</v>
      </c>
      <c r="F322" s="1537">
        <v>500</v>
      </c>
    </row>
    <row r="323" spans="1:6" s="1517" customFormat="1" ht="14.25" customHeight="1" thickBot="1">
      <c r="A323" s="1529" t="s">
        <v>1329</v>
      </c>
      <c r="B323" s="1523" t="s">
        <v>1265</v>
      </c>
      <c r="C323" s="1523">
        <v>1780</v>
      </c>
      <c r="D323" s="1523">
        <v>1740</v>
      </c>
      <c r="E323" s="1523">
        <v>1720</v>
      </c>
      <c r="F323" s="1541"/>
    </row>
    <row r="324" spans="1:6" s="1517" customFormat="1" ht="14.25" customHeight="1" thickBot="1">
      <c r="A324" s="1529" t="s">
        <v>1329</v>
      </c>
      <c r="B324" s="1523" t="s">
        <v>1276</v>
      </c>
      <c r="C324" s="1523">
        <v>1650</v>
      </c>
      <c r="D324" s="1523">
        <v>1610</v>
      </c>
      <c r="E324" s="1523">
        <v>1580</v>
      </c>
      <c r="F324" s="1541"/>
    </row>
    <row r="325" spans="1:6" s="1517" customFormat="1" ht="14.25" customHeight="1" thickBot="1">
      <c r="A325" s="1529" t="s">
        <v>1329</v>
      </c>
      <c r="B325" s="1523" t="s">
        <v>1288</v>
      </c>
      <c r="C325" s="1523">
        <v>1330</v>
      </c>
      <c r="D325" s="1523">
        <v>1270</v>
      </c>
      <c r="E325" s="1523">
        <v>1240</v>
      </c>
      <c r="F325" s="1537">
        <v>430</v>
      </c>
    </row>
    <row r="326" spans="1:6" s="1517" customFormat="1" ht="14.25" customHeight="1" thickBot="1">
      <c r="A326" s="1529" t="s">
        <v>1329</v>
      </c>
      <c r="B326" s="1523" t="s">
        <v>1298</v>
      </c>
      <c r="C326" s="1523">
        <v>1470</v>
      </c>
      <c r="D326" s="1523">
        <v>1430</v>
      </c>
      <c r="E326" s="1523">
        <v>1400</v>
      </c>
      <c r="F326" s="1541"/>
    </row>
    <row r="327" spans="1:6" s="1517" customFormat="1" ht="14.25" customHeight="1" thickBot="1">
      <c r="A327" s="1529" t="s">
        <v>1329</v>
      </c>
      <c r="B327" s="1523" t="s">
        <v>1308</v>
      </c>
      <c r="C327" s="1523">
        <v>1420</v>
      </c>
      <c r="D327" s="1523">
        <v>1380</v>
      </c>
      <c r="E327" s="1523">
        <v>1360</v>
      </c>
      <c r="F327" s="1537">
        <v>420</v>
      </c>
    </row>
    <row r="328" spans="1:6" s="1517" customFormat="1" ht="14.25" customHeight="1" thickBot="1">
      <c r="A328" s="1529" t="s">
        <v>1329</v>
      </c>
      <c r="B328" s="1523" t="s">
        <v>1318</v>
      </c>
      <c r="C328" s="1523">
        <v>1400</v>
      </c>
      <c r="D328" s="1523">
        <v>1360</v>
      </c>
      <c r="E328" s="1523">
        <v>1330</v>
      </c>
      <c r="F328" s="1537">
        <v>460</v>
      </c>
    </row>
    <row r="329" spans="1:6" s="1517" customFormat="1" ht="14.25" customHeight="1" thickBot="1">
      <c r="A329" s="1529" t="s">
        <v>1329</v>
      </c>
      <c r="B329" s="1523" t="s">
        <v>1328</v>
      </c>
      <c r="C329" s="1523">
        <v>1640</v>
      </c>
      <c r="D329" s="1523">
        <v>1610</v>
      </c>
      <c r="E329" s="1523">
        <v>1580</v>
      </c>
      <c r="F329" s="1537">
        <v>410</v>
      </c>
    </row>
    <row r="330" spans="1:6" s="1517" customFormat="1" ht="14.25" customHeight="1" thickBot="1">
      <c r="A330" s="1529" t="s">
        <v>1329</v>
      </c>
      <c r="B330" s="1523" t="s">
        <v>1339</v>
      </c>
      <c r="C330" s="1523">
        <v>1260</v>
      </c>
      <c r="D330" s="1523">
        <v>1220</v>
      </c>
      <c r="E330" s="1523">
        <v>1200</v>
      </c>
      <c r="F330" s="1541"/>
    </row>
    <row r="331" spans="1:6" s="1517" customFormat="1" ht="14.25" customHeight="1" thickBot="1">
      <c r="A331" s="1529" t="s">
        <v>1329</v>
      </c>
      <c r="B331" s="1523" t="s">
        <v>1350</v>
      </c>
      <c r="C331" s="1523">
        <v>1620</v>
      </c>
      <c r="D331" s="1523">
        <v>1560</v>
      </c>
      <c r="E331" s="1523">
        <v>1530</v>
      </c>
      <c r="F331" s="1537">
        <v>490</v>
      </c>
    </row>
    <row r="332" spans="1:6" s="1517" customFormat="1" ht="14.25" customHeight="1" thickBot="1">
      <c r="A332" s="1529" t="s">
        <v>1329</v>
      </c>
      <c r="B332" s="1523" t="s">
        <v>1360</v>
      </c>
      <c r="C332" s="1523">
        <v>1520</v>
      </c>
      <c r="D332" s="1523">
        <v>1470</v>
      </c>
      <c r="E332" s="1523">
        <v>1440</v>
      </c>
      <c r="F332" s="1537">
        <v>440</v>
      </c>
    </row>
    <row r="333" spans="1:6" s="1517" customFormat="1" ht="14.25" customHeight="1" thickBot="1">
      <c r="A333" s="1529" t="s">
        <v>1329</v>
      </c>
      <c r="B333" s="1523" t="s">
        <v>1370</v>
      </c>
      <c r="C333" s="1523">
        <v>1370</v>
      </c>
      <c r="D333" s="1523">
        <v>1320</v>
      </c>
      <c r="E333" s="1523">
        <v>1300</v>
      </c>
      <c r="F333" s="1537">
        <v>460</v>
      </c>
    </row>
    <row r="334" spans="1:6" s="1517" customFormat="1" ht="14.25" customHeight="1" thickBot="1">
      <c r="A334" s="1529" t="s">
        <v>1329</v>
      </c>
      <c r="B334" s="1523" t="s">
        <v>1380</v>
      </c>
      <c r="C334" s="1523">
        <v>1410</v>
      </c>
      <c r="D334" s="1523">
        <v>1340</v>
      </c>
      <c r="E334" s="1523">
        <v>1310</v>
      </c>
      <c r="F334" s="1537">
        <v>410</v>
      </c>
    </row>
    <row r="335" spans="1:6" s="1517" customFormat="1" ht="14.25" customHeight="1" thickBot="1">
      <c r="A335" s="1529" t="s">
        <v>1329</v>
      </c>
      <c r="B335" s="1523" t="s">
        <v>1390</v>
      </c>
      <c r="C335" s="1523">
        <v>1260</v>
      </c>
      <c r="D335" s="1523">
        <v>1220</v>
      </c>
      <c r="E335" s="1523">
        <v>1200</v>
      </c>
      <c r="F335" s="1541"/>
    </row>
    <row r="336" spans="1:6" s="1517" customFormat="1" ht="14.25" customHeight="1" thickBot="1">
      <c r="A336" s="1529" t="s">
        <v>1329</v>
      </c>
      <c r="B336" s="1523" t="s">
        <v>1399</v>
      </c>
      <c r="C336" s="1523">
        <v>1160</v>
      </c>
      <c r="D336" s="1523">
        <v>1140</v>
      </c>
      <c r="E336" s="1523">
        <v>1120</v>
      </c>
      <c r="F336" s="1537">
        <v>430</v>
      </c>
    </row>
    <row r="337" spans="1:6" s="1517" customFormat="1" ht="14.25" customHeight="1" thickBot="1">
      <c r="A337" s="1529" t="s">
        <v>1329</v>
      </c>
      <c r="B337" s="1535" t="s">
        <v>1408</v>
      </c>
      <c r="C337" s="1535"/>
      <c r="D337" s="1535"/>
      <c r="E337" s="1535"/>
      <c r="F337" s="1540">
        <v>380</v>
      </c>
    </row>
    <row r="338" spans="1:6" s="1517" customFormat="1" ht="14.25" customHeight="1" thickBot="1">
      <c r="A338" s="1529" t="s">
        <v>1340</v>
      </c>
      <c r="B338" s="1530" t="s">
        <v>1550</v>
      </c>
      <c r="C338" s="1530">
        <v>880</v>
      </c>
      <c r="D338" s="1530">
        <v>850</v>
      </c>
      <c r="E338" s="1530">
        <v>830</v>
      </c>
      <c r="F338" s="1543"/>
    </row>
    <row r="339" spans="1:6" s="1517" customFormat="1" ht="14.25" customHeight="1" thickBot="1">
      <c r="A339" s="1529" t="s">
        <v>1340</v>
      </c>
      <c r="B339" s="1523" t="s">
        <v>1551</v>
      </c>
      <c r="C339" s="1523">
        <v>830</v>
      </c>
      <c r="D339" s="1523">
        <v>800</v>
      </c>
      <c r="E339" s="1523">
        <v>780</v>
      </c>
      <c r="F339" s="1541"/>
    </row>
    <row r="340" spans="1:6" s="1517" customFormat="1" ht="14.25" customHeight="1" thickBot="1">
      <c r="A340" s="1529" t="s">
        <v>1340</v>
      </c>
      <c r="B340" s="1523" t="s">
        <v>1552</v>
      </c>
      <c r="C340" s="1523">
        <v>980</v>
      </c>
      <c r="D340" s="1523">
        <v>950</v>
      </c>
      <c r="E340" s="1523">
        <v>920</v>
      </c>
      <c r="F340" s="1541"/>
    </row>
    <row r="341" spans="1:6" s="1517" customFormat="1" ht="14.25" customHeight="1" thickBot="1">
      <c r="A341" s="1529" t="s">
        <v>1340</v>
      </c>
      <c r="B341" s="1523" t="s">
        <v>1553</v>
      </c>
      <c r="C341" s="1523">
        <v>760</v>
      </c>
      <c r="D341" s="1523">
        <v>720</v>
      </c>
      <c r="E341" s="1523">
        <v>690</v>
      </c>
      <c r="F341" s="1537">
        <v>350</v>
      </c>
    </row>
    <row r="342" spans="1:6" s="1517" customFormat="1" ht="14.25" customHeight="1" thickBot="1">
      <c r="A342" s="1529" t="s">
        <v>1340</v>
      </c>
      <c r="B342" s="1523" t="s">
        <v>1244</v>
      </c>
      <c r="C342" s="1523">
        <v>910</v>
      </c>
      <c r="D342" s="1523">
        <v>870</v>
      </c>
      <c r="E342" s="1523">
        <v>850</v>
      </c>
      <c r="F342" s="1537">
        <v>370</v>
      </c>
    </row>
    <row r="343" spans="1:6" s="1517" customFormat="1" ht="14.25" customHeight="1" thickBot="1">
      <c r="A343" s="1529" t="s">
        <v>1340</v>
      </c>
      <c r="B343" s="1523" t="s">
        <v>1255</v>
      </c>
      <c r="C343" s="1523">
        <v>800</v>
      </c>
      <c r="D343" s="1523">
        <v>760</v>
      </c>
      <c r="E343" s="1523">
        <v>730</v>
      </c>
      <c r="F343" s="1537">
        <v>340</v>
      </c>
    </row>
    <row r="344" spans="1:6" s="1517" customFormat="1" ht="14.25" customHeight="1" thickBot="1">
      <c r="A344" s="1529" t="s">
        <v>1340</v>
      </c>
      <c r="B344" s="1535" t="s">
        <v>1266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58" t="s">
        <v>2132</v>
      </c>
      <c r="B1" s="3758"/>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1220</v>
      </c>
      <c r="B6" s="1523" t="s">
        <v>2141</v>
      </c>
      <c r="C6" s="2118">
        <v>0.1</v>
      </c>
      <c r="D6" s="2118">
        <v>9.0999999999999998E-2</v>
      </c>
      <c r="E6" s="2118">
        <v>9.0999999999999998E-2</v>
      </c>
      <c r="F6" s="2119">
        <v>0.1</v>
      </c>
    </row>
    <row r="7" spans="1:6" ht="14.25" thickBot="1">
      <c r="A7" s="1529" t="s">
        <v>1220</v>
      </c>
      <c r="B7" s="1533" t="s">
        <v>1209</v>
      </c>
      <c r="C7" s="2118">
        <v>8.5999999999999993E-2</v>
      </c>
      <c r="D7" s="2118">
        <v>9.6000000000000002E-2</v>
      </c>
      <c r="E7" s="2118">
        <v>7.5999999999999998E-2</v>
      </c>
      <c r="F7" s="2119">
        <v>0.1</v>
      </c>
    </row>
    <row r="8" spans="1:6" ht="14.25" thickBot="1">
      <c r="A8" s="1529" t="s">
        <v>1220</v>
      </c>
      <c r="B8" s="1523" t="s">
        <v>1221</v>
      </c>
      <c r="C8" s="2118">
        <v>9.9000000000000005E-2</v>
      </c>
      <c r="D8" s="2118">
        <v>9.8000000000000004E-2</v>
      </c>
      <c r="E8" s="2118">
        <v>9.8000000000000004E-2</v>
      </c>
      <c r="F8" s="2119">
        <v>0.1</v>
      </c>
    </row>
    <row r="9" spans="1:6" ht="14.25" thickBot="1">
      <c r="A9" s="1539" t="s">
        <v>1220</v>
      </c>
      <c r="B9" s="1534" t="s">
        <v>1233</v>
      </c>
      <c r="C9" s="2120">
        <v>0.05</v>
      </c>
      <c r="D9" s="2128"/>
      <c r="E9" s="2128"/>
      <c r="F9" s="2129"/>
    </row>
    <row r="10" spans="1:6" ht="14.25" thickBot="1">
      <c r="A10" s="1529" t="s">
        <v>1277</v>
      </c>
      <c r="B10" s="1530" t="s">
        <v>2142</v>
      </c>
      <c r="C10" s="2116">
        <v>8.8999999999999996E-2</v>
      </c>
      <c r="D10" s="2116">
        <v>7.2999999999999995E-2</v>
      </c>
      <c r="E10" s="2116">
        <v>8.2000000000000003E-2</v>
      </c>
      <c r="F10" s="2117">
        <v>0.1</v>
      </c>
    </row>
    <row r="11" spans="1:6" ht="14.25" thickBot="1">
      <c r="A11" s="1529" t="s">
        <v>1277</v>
      </c>
      <c r="B11" s="1533" t="s">
        <v>1196</v>
      </c>
      <c r="C11" s="2118">
        <v>8.8999999999999996E-2</v>
      </c>
      <c r="D11" s="2118">
        <v>7.2999999999999995E-2</v>
      </c>
      <c r="E11" s="2118">
        <v>8.2000000000000003E-2</v>
      </c>
      <c r="F11" s="2119">
        <v>0.1</v>
      </c>
    </row>
    <row r="12" spans="1:6" ht="14.25" thickBot="1">
      <c r="A12" s="1529" t="s">
        <v>1277</v>
      </c>
      <c r="B12" s="1533" t="s">
        <v>1132</v>
      </c>
      <c r="C12" s="2118">
        <v>6.0999999999999999E-2</v>
      </c>
      <c r="D12" s="2118">
        <v>7.0999999999999994E-2</v>
      </c>
      <c r="E12" s="2118">
        <v>9.6000000000000002E-2</v>
      </c>
      <c r="F12" s="2119">
        <v>0.1</v>
      </c>
    </row>
    <row r="13" spans="1:6" ht="14.25" thickBot="1">
      <c r="A13" s="1529" t="s">
        <v>1277</v>
      </c>
      <c r="B13" s="1533" t="s">
        <v>1222</v>
      </c>
      <c r="C13" s="2118">
        <v>6.9000000000000006E-2</v>
      </c>
      <c r="D13" s="2118">
        <v>6.5000000000000002E-2</v>
      </c>
      <c r="E13" s="2118">
        <v>6.6000000000000003E-2</v>
      </c>
      <c r="F13" s="2119">
        <v>0.1</v>
      </c>
    </row>
    <row r="14" spans="1:6" ht="14.25" thickBot="1">
      <c r="A14" s="1529" t="s">
        <v>1277</v>
      </c>
      <c r="B14" s="1533" t="s">
        <v>1234</v>
      </c>
      <c r="C14" s="2118">
        <v>0.1</v>
      </c>
      <c r="D14" s="2118">
        <v>6.5000000000000002E-2</v>
      </c>
      <c r="E14" s="2118">
        <v>7.0000000000000007E-2</v>
      </c>
      <c r="F14" s="2119">
        <v>0.1</v>
      </c>
    </row>
    <row r="15" spans="1:6" ht="14.25" thickBot="1">
      <c r="A15" s="1529" t="s">
        <v>1277</v>
      </c>
      <c r="B15" s="1533" t="s">
        <v>1245</v>
      </c>
      <c r="C15" s="2118">
        <v>9.8000000000000004E-2</v>
      </c>
      <c r="D15" s="2118">
        <v>8.8999999999999996E-2</v>
      </c>
      <c r="E15" s="2118">
        <v>8.8999999999999996E-2</v>
      </c>
      <c r="F15" s="2119">
        <v>0.1</v>
      </c>
    </row>
    <row r="16" spans="1:6" ht="14.25" thickBot="1">
      <c r="A16" s="1529" t="s">
        <v>1277</v>
      </c>
      <c r="B16" s="1533" t="s">
        <v>1256</v>
      </c>
      <c r="C16" s="2118">
        <v>7.0000000000000007E-2</v>
      </c>
      <c r="D16" s="2118">
        <v>9.2999999999999999E-2</v>
      </c>
      <c r="E16" s="2118">
        <v>9.6000000000000002E-2</v>
      </c>
      <c r="F16" s="2119">
        <v>0.1</v>
      </c>
    </row>
    <row r="17" spans="1:6" ht="14.25" thickBot="1">
      <c r="A17" s="1529" t="s">
        <v>1277</v>
      </c>
      <c r="B17" s="1533" t="s">
        <v>1267</v>
      </c>
      <c r="C17" s="2118">
        <v>9.5000000000000001E-2</v>
      </c>
      <c r="D17" s="2118">
        <v>0.1</v>
      </c>
      <c r="E17" s="2118">
        <v>0.1</v>
      </c>
      <c r="F17" s="2130"/>
    </row>
    <row r="18" spans="1:6" ht="14.25" thickBot="1">
      <c r="A18" s="1529" t="s">
        <v>1277</v>
      </c>
      <c r="B18" s="1533" t="s">
        <v>1279</v>
      </c>
      <c r="C18" s="2118">
        <v>7.3999999999999996E-2</v>
      </c>
      <c r="D18" s="2118">
        <v>9.9000000000000005E-2</v>
      </c>
      <c r="E18" s="2118">
        <v>0.1</v>
      </c>
      <c r="F18" s="2130"/>
    </row>
    <row r="19" spans="1:6" ht="14.25" thickBot="1">
      <c r="A19" s="1529" t="s">
        <v>1277</v>
      </c>
      <c r="B19" s="1533" t="s">
        <v>1289</v>
      </c>
      <c r="C19" s="2118">
        <v>9.9000000000000005E-2</v>
      </c>
      <c r="D19" s="2118">
        <v>7.5999999999999998E-2</v>
      </c>
      <c r="E19" s="2118">
        <v>8.6999999999999994E-2</v>
      </c>
      <c r="F19" s="2130"/>
    </row>
    <row r="20" spans="1:6" ht="14.25" thickBot="1">
      <c r="A20" s="1529" t="s">
        <v>1277</v>
      </c>
      <c r="B20" s="1533" t="s">
        <v>1299</v>
      </c>
      <c r="C20" s="2118">
        <v>9.8000000000000004E-2</v>
      </c>
      <c r="D20" s="2118">
        <v>8.5000000000000006E-2</v>
      </c>
      <c r="E20" s="2118">
        <v>8.2000000000000003E-2</v>
      </c>
      <c r="F20" s="2130"/>
    </row>
    <row r="21" spans="1:6" ht="14.25" thickBot="1">
      <c r="A21" s="1529" t="s">
        <v>1277</v>
      </c>
      <c r="B21" s="1533" t="s">
        <v>1309</v>
      </c>
      <c r="C21" s="2118">
        <v>6.6000000000000003E-2</v>
      </c>
      <c r="D21" s="2118">
        <v>6.4000000000000001E-2</v>
      </c>
      <c r="E21" s="2118">
        <v>6.5000000000000002E-2</v>
      </c>
      <c r="F21" s="2130"/>
    </row>
    <row r="22" spans="1:6" ht="14.25" thickBot="1">
      <c r="A22" s="1529" t="s">
        <v>1277</v>
      </c>
      <c r="B22" s="1533" t="s">
        <v>2143</v>
      </c>
      <c r="C22" s="2118">
        <v>0.08</v>
      </c>
      <c r="D22" s="2118">
        <v>9.8000000000000004E-2</v>
      </c>
      <c r="E22" s="2118">
        <v>9.8000000000000004E-2</v>
      </c>
      <c r="F22" s="2130"/>
    </row>
    <row r="23" spans="1:6" ht="14.25" thickBot="1">
      <c r="A23" s="1529" t="s">
        <v>1277</v>
      </c>
      <c r="B23" s="1533" t="s">
        <v>1330</v>
      </c>
      <c r="C23" s="2118">
        <v>9.9000000000000005E-2</v>
      </c>
      <c r="D23" s="2118">
        <v>9.8000000000000004E-2</v>
      </c>
      <c r="E23" s="2118">
        <v>9.0999999999999998E-2</v>
      </c>
      <c r="F23" s="2130"/>
    </row>
    <row r="24" spans="1:6" ht="14.25" thickBot="1">
      <c r="A24" s="1529" t="s">
        <v>1277</v>
      </c>
      <c r="B24" s="1533" t="s">
        <v>1341</v>
      </c>
      <c r="C24" s="2118">
        <v>8.8999999999999996E-2</v>
      </c>
      <c r="D24" s="2118">
        <v>9.7000000000000003E-2</v>
      </c>
      <c r="E24" s="2118">
        <v>7.0000000000000007E-2</v>
      </c>
      <c r="F24" s="2130"/>
    </row>
    <row r="25" spans="1:6" ht="14.25" thickBot="1">
      <c r="A25" s="1529" t="s">
        <v>1277</v>
      </c>
      <c r="B25" s="1533" t="s">
        <v>1351</v>
      </c>
      <c r="C25" s="2118">
        <v>8.8999999999999996E-2</v>
      </c>
      <c r="D25" s="2118">
        <v>0.1</v>
      </c>
      <c r="E25" s="2118">
        <v>8.1000000000000003E-2</v>
      </c>
      <c r="F25" s="2130"/>
    </row>
    <row r="26" spans="1:6" ht="14.25" thickBot="1">
      <c r="A26" s="1529" t="s">
        <v>1277</v>
      </c>
      <c r="B26" s="1533" t="s">
        <v>1361</v>
      </c>
      <c r="C26" s="2131"/>
      <c r="D26" s="2118">
        <v>9.6000000000000002E-2</v>
      </c>
      <c r="E26" s="2118">
        <v>9.2999999999999999E-2</v>
      </c>
      <c r="F26" s="2130"/>
    </row>
    <row r="27" spans="1:6" ht="14.25" thickBot="1">
      <c r="A27" s="1529" t="s">
        <v>1277</v>
      </c>
      <c r="B27" s="1533" t="s">
        <v>1371</v>
      </c>
      <c r="C27" s="2131"/>
      <c r="D27" s="2118">
        <v>7.5999999999999998E-2</v>
      </c>
      <c r="E27" s="2118">
        <v>9.1999999999999998E-2</v>
      </c>
      <c r="F27" s="2130"/>
    </row>
    <row r="28" spans="1:6" ht="14.25" thickBot="1">
      <c r="A28" s="1539" t="s">
        <v>1277</v>
      </c>
      <c r="B28" s="1534" t="s">
        <v>1381</v>
      </c>
      <c r="C28" s="2128"/>
      <c r="D28" s="2120">
        <v>7.5999999999999998E-2</v>
      </c>
      <c r="E28" s="2120">
        <v>9.1999999999999998E-2</v>
      </c>
      <c r="F28" s="2129"/>
    </row>
    <row r="29" spans="1:6" ht="14.25" thickBot="1">
      <c r="A29" s="1529" t="s">
        <v>1450</v>
      </c>
      <c r="B29" s="1530" t="s">
        <v>2144</v>
      </c>
      <c r="C29" s="2116">
        <v>6.4000000000000001E-2</v>
      </c>
      <c r="D29" s="2116">
        <v>6.5000000000000002E-2</v>
      </c>
      <c r="E29" s="2116">
        <v>6.9000000000000006E-2</v>
      </c>
      <c r="F29" s="2117">
        <v>0.1</v>
      </c>
    </row>
    <row r="30" spans="1:6" ht="14.25" thickBot="1">
      <c r="A30" s="1529" t="s">
        <v>1450</v>
      </c>
      <c r="B30" s="1533" t="s">
        <v>1197</v>
      </c>
      <c r="C30" s="2118">
        <v>6.4000000000000001E-2</v>
      </c>
      <c r="D30" s="2118">
        <v>9.9000000000000005E-2</v>
      </c>
      <c r="E30" s="2118">
        <v>0.1</v>
      </c>
      <c r="F30" s="2119">
        <v>0.1</v>
      </c>
    </row>
    <row r="31" spans="1:6" ht="14.25" thickBot="1">
      <c r="A31" s="1529" t="s">
        <v>1450</v>
      </c>
      <c r="B31" s="1533" t="s">
        <v>1210</v>
      </c>
      <c r="C31" s="2118">
        <v>0.1</v>
      </c>
      <c r="D31" s="2118">
        <v>9.5000000000000001E-2</v>
      </c>
      <c r="E31" s="2118">
        <v>8.8999999999999996E-2</v>
      </c>
      <c r="F31" s="2119">
        <v>0.1</v>
      </c>
    </row>
    <row r="32" spans="1:6" ht="14.25" thickBot="1">
      <c r="A32" s="1529" t="s">
        <v>1450</v>
      </c>
      <c r="B32" s="1533" t="s">
        <v>1223</v>
      </c>
      <c r="C32" s="2118">
        <v>0.05</v>
      </c>
      <c r="D32" s="2118">
        <v>0.05</v>
      </c>
      <c r="E32" s="2118">
        <v>8.7999999999999995E-2</v>
      </c>
      <c r="F32" s="2119">
        <v>0.1</v>
      </c>
    </row>
    <row r="33" spans="1:6" ht="14.25" thickBot="1">
      <c r="A33" s="1529" t="s">
        <v>1450</v>
      </c>
      <c r="B33" s="1533" t="s">
        <v>1235</v>
      </c>
      <c r="C33" s="2118">
        <v>7.4999999999999997E-2</v>
      </c>
      <c r="D33" s="2118">
        <v>9.4E-2</v>
      </c>
      <c r="E33" s="2118">
        <v>9.7000000000000003E-2</v>
      </c>
      <c r="F33" s="2119">
        <v>0.1</v>
      </c>
    </row>
    <row r="34" spans="1:6" ht="14.25" thickBot="1">
      <c r="A34" s="1529" t="s">
        <v>1450</v>
      </c>
      <c r="B34" s="1533" t="s">
        <v>1246</v>
      </c>
      <c r="C34" s="2118">
        <v>9.8000000000000004E-2</v>
      </c>
      <c r="D34" s="2118">
        <v>8.5999999999999993E-2</v>
      </c>
      <c r="E34" s="2118">
        <v>9.7000000000000003E-2</v>
      </c>
      <c r="F34" s="2119">
        <v>0.1</v>
      </c>
    </row>
    <row r="35" spans="1:6" ht="14.25" thickBot="1">
      <c r="A35" s="1529" t="s">
        <v>1450</v>
      </c>
      <c r="B35" s="1533" t="s">
        <v>1257</v>
      </c>
      <c r="C35" s="2118">
        <v>5.8999999999999997E-2</v>
      </c>
      <c r="D35" s="2118">
        <v>6.5000000000000002E-2</v>
      </c>
      <c r="E35" s="2118">
        <v>7.0000000000000007E-2</v>
      </c>
      <c r="F35" s="2119">
        <v>0.1</v>
      </c>
    </row>
    <row r="36" spans="1:6" ht="14.25" thickBot="1">
      <c r="A36" s="1529" t="s">
        <v>1450</v>
      </c>
      <c r="B36" s="1533" t="s">
        <v>1268</v>
      </c>
      <c r="C36" s="2118">
        <v>6.3E-2</v>
      </c>
      <c r="D36" s="2118">
        <v>0.1</v>
      </c>
      <c r="E36" s="2118">
        <v>0.1</v>
      </c>
      <c r="F36" s="2119">
        <v>0.1</v>
      </c>
    </row>
    <row r="37" spans="1:6" ht="14.25" thickBot="1">
      <c r="A37" s="1529" t="s">
        <v>1450</v>
      </c>
      <c r="B37" s="1533" t="s">
        <v>1280</v>
      </c>
      <c r="C37" s="2118">
        <v>7.3999999999999996E-2</v>
      </c>
      <c r="D37" s="2118">
        <v>0.1</v>
      </c>
      <c r="E37" s="2118">
        <v>0.1</v>
      </c>
      <c r="F37" s="2119">
        <v>0.1</v>
      </c>
    </row>
    <row r="38" spans="1:6" ht="14.25" thickBot="1">
      <c r="A38" s="1529" t="s">
        <v>1450</v>
      </c>
      <c r="B38" s="1533" t="s">
        <v>1290</v>
      </c>
      <c r="C38" s="2118">
        <v>0.1</v>
      </c>
      <c r="D38" s="2118">
        <v>9.6000000000000002E-2</v>
      </c>
      <c r="E38" s="2118">
        <v>9.6000000000000002E-2</v>
      </c>
      <c r="F38" s="2130"/>
    </row>
    <row r="39" spans="1:6" ht="14.25" thickBot="1">
      <c r="A39" s="1529" t="s">
        <v>1450</v>
      </c>
      <c r="B39" s="1533" t="s">
        <v>1300</v>
      </c>
      <c r="C39" s="2118">
        <v>0.1</v>
      </c>
      <c r="D39" s="2118">
        <v>9.6000000000000002E-2</v>
      </c>
      <c r="E39" s="2118">
        <v>9.6000000000000002E-2</v>
      </c>
      <c r="F39" s="2130"/>
    </row>
    <row r="40" spans="1:6" ht="14.25" thickBot="1">
      <c r="A40" s="1529" t="s">
        <v>1450</v>
      </c>
      <c r="B40" s="1533" t="s">
        <v>1310</v>
      </c>
      <c r="C40" s="2118">
        <v>9.6000000000000002E-2</v>
      </c>
      <c r="D40" s="2118">
        <v>0.1</v>
      </c>
      <c r="E40" s="2118">
        <v>9.9000000000000005E-2</v>
      </c>
      <c r="F40" s="2130"/>
    </row>
    <row r="41" spans="1:6" ht="14.25" thickBot="1">
      <c r="A41" s="1529" t="s">
        <v>1450</v>
      </c>
      <c r="B41" s="1533" t="s">
        <v>1320</v>
      </c>
      <c r="C41" s="2118">
        <v>9.6000000000000002E-2</v>
      </c>
      <c r="D41" s="2118">
        <v>9.8000000000000004E-2</v>
      </c>
      <c r="E41" s="2118">
        <v>9.8000000000000004E-2</v>
      </c>
      <c r="F41" s="2130"/>
    </row>
    <row r="42" spans="1:6" ht="14.25" thickBot="1">
      <c r="A42" s="1529" t="s">
        <v>1450</v>
      </c>
      <c r="B42" s="1533" t="s">
        <v>1331</v>
      </c>
      <c r="C42" s="2118">
        <v>0.1</v>
      </c>
      <c r="D42" s="2118">
        <v>8.7999999999999995E-2</v>
      </c>
      <c r="E42" s="2118">
        <v>0.1</v>
      </c>
      <c r="F42" s="2130"/>
    </row>
    <row r="43" spans="1:6" ht="14.25" thickBot="1">
      <c r="A43" s="1529" t="s">
        <v>1450</v>
      </c>
      <c r="B43" s="1533" t="s">
        <v>1342</v>
      </c>
      <c r="C43" s="2118">
        <v>9.8000000000000004E-2</v>
      </c>
      <c r="D43" s="2118">
        <v>9.7000000000000003E-2</v>
      </c>
      <c r="E43" s="2118">
        <v>9.6000000000000002E-2</v>
      </c>
      <c r="F43" s="2130"/>
    </row>
    <row r="44" spans="1:6" ht="14.25" thickBot="1">
      <c r="A44" s="1529" t="s">
        <v>1450</v>
      </c>
      <c r="B44" s="1533" t="s">
        <v>1352</v>
      </c>
      <c r="C44" s="2118">
        <v>8.5999999999999993E-2</v>
      </c>
      <c r="D44" s="2118">
        <v>7.9000000000000001E-2</v>
      </c>
      <c r="E44" s="2118">
        <v>7.0999999999999994E-2</v>
      </c>
      <c r="F44" s="2130"/>
    </row>
    <row r="45" spans="1:6" ht="14.25" thickBot="1">
      <c r="A45" s="1529" t="s">
        <v>1450</v>
      </c>
      <c r="B45" s="1533" t="s">
        <v>1362</v>
      </c>
      <c r="C45" s="2118">
        <v>9.8000000000000004E-2</v>
      </c>
      <c r="D45" s="2118">
        <v>9.6000000000000002E-2</v>
      </c>
      <c r="E45" s="2118">
        <v>9.6000000000000002E-2</v>
      </c>
      <c r="F45" s="2130"/>
    </row>
    <row r="46" spans="1:6" ht="14.25" thickBot="1">
      <c r="A46" s="1529" t="s">
        <v>1450</v>
      </c>
      <c r="B46" s="1533" t="s">
        <v>1372</v>
      </c>
      <c r="C46" s="2118">
        <v>8.5999999999999993E-2</v>
      </c>
      <c r="D46" s="2118">
        <v>9.8000000000000004E-2</v>
      </c>
      <c r="E46" s="2118">
        <v>8.7999999999999995E-2</v>
      </c>
      <c r="F46" s="2130"/>
    </row>
    <row r="47" spans="1:6" ht="14.25" thickBot="1">
      <c r="A47" s="1529" t="s">
        <v>1450</v>
      </c>
      <c r="B47" s="1533" t="s">
        <v>1382</v>
      </c>
      <c r="C47" s="2118">
        <v>9.6000000000000002E-2</v>
      </c>
      <c r="D47" s="2131"/>
      <c r="E47" s="2118">
        <v>6.9000000000000006E-2</v>
      </c>
      <c r="F47" s="2130"/>
    </row>
    <row r="48" spans="1:6" ht="14.25" thickBot="1">
      <c r="A48" s="1539" t="s">
        <v>1450</v>
      </c>
      <c r="B48" s="1534" t="s">
        <v>1391</v>
      </c>
      <c r="C48" s="2120">
        <v>9.8000000000000004E-2</v>
      </c>
      <c r="D48" s="2128"/>
      <c r="E48" s="2120">
        <v>9.5000000000000001E-2</v>
      </c>
      <c r="F48" s="2129"/>
    </row>
    <row r="49" spans="1:6" ht="14.25" thickBot="1">
      <c r="A49" s="1529" t="s">
        <v>1131</v>
      </c>
      <c r="B49" s="1530" t="s">
        <v>2145</v>
      </c>
      <c r="C49" s="2116">
        <v>9.7000000000000003E-2</v>
      </c>
      <c r="D49" s="2116">
        <v>9.5000000000000001E-2</v>
      </c>
      <c r="E49" s="2116">
        <v>9.7000000000000003E-2</v>
      </c>
      <c r="F49" s="2117">
        <v>0.1</v>
      </c>
    </row>
    <row r="50" spans="1:6" ht="14.25" thickBot="1">
      <c r="A50" s="1529" t="s">
        <v>1131</v>
      </c>
      <c r="B50" s="1523" t="s">
        <v>1198</v>
      </c>
      <c r="C50" s="2118">
        <v>7.4999999999999997E-2</v>
      </c>
      <c r="D50" s="2118">
        <v>9.5000000000000001E-2</v>
      </c>
      <c r="E50" s="2118">
        <v>0.1</v>
      </c>
      <c r="F50" s="2119">
        <v>0.1</v>
      </c>
    </row>
    <row r="51" spans="1:6" ht="14.25" thickBot="1">
      <c r="A51" s="1529" t="s">
        <v>1131</v>
      </c>
      <c r="B51" s="1523" t="s">
        <v>1211</v>
      </c>
      <c r="C51" s="2118">
        <v>9.8000000000000004E-2</v>
      </c>
      <c r="D51" s="2118">
        <v>8.8999999999999996E-2</v>
      </c>
      <c r="E51" s="2118">
        <v>0.1</v>
      </c>
      <c r="F51" s="2119">
        <v>0.1</v>
      </c>
    </row>
    <row r="52" spans="1:6" ht="14.25" thickBot="1">
      <c r="A52" s="1529" t="s">
        <v>1131</v>
      </c>
      <c r="B52" s="1523" t="s">
        <v>1224</v>
      </c>
      <c r="C52" s="2118">
        <v>9.8000000000000004E-2</v>
      </c>
      <c r="D52" s="2118">
        <v>9.7000000000000003E-2</v>
      </c>
      <c r="E52" s="2118">
        <v>8.1000000000000003E-2</v>
      </c>
      <c r="F52" s="2119">
        <v>0.1</v>
      </c>
    </row>
    <row r="53" spans="1:6" ht="14.25" thickBot="1">
      <c r="A53" s="1529" t="s">
        <v>1131</v>
      </c>
      <c r="B53" s="1523" t="s">
        <v>1236</v>
      </c>
      <c r="C53" s="2118">
        <v>9.7000000000000003E-2</v>
      </c>
      <c r="D53" s="2118">
        <v>7.5999999999999998E-2</v>
      </c>
      <c r="E53" s="2118">
        <v>7.0999999999999994E-2</v>
      </c>
      <c r="F53" s="2119">
        <v>0.1</v>
      </c>
    </row>
    <row r="54" spans="1:6" ht="14.25" thickBot="1">
      <c r="A54" s="1529" t="s">
        <v>1131</v>
      </c>
      <c r="B54" s="1523" t="s">
        <v>1247</v>
      </c>
      <c r="C54" s="2118">
        <v>7.5999999999999998E-2</v>
      </c>
      <c r="D54" s="2118">
        <v>0.1</v>
      </c>
      <c r="E54" s="2118">
        <v>9.9000000000000005E-2</v>
      </c>
      <c r="F54" s="2119">
        <v>0.1</v>
      </c>
    </row>
    <row r="55" spans="1:6" ht="14.25" thickBot="1">
      <c r="A55" s="1529" t="s">
        <v>1131</v>
      </c>
      <c r="B55" s="1523" t="s">
        <v>1258</v>
      </c>
      <c r="C55" s="2118">
        <v>0.1</v>
      </c>
      <c r="D55" s="2118">
        <v>0.1</v>
      </c>
      <c r="E55" s="2118">
        <v>9.6000000000000002E-2</v>
      </c>
      <c r="F55" s="2119">
        <v>0.1</v>
      </c>
    </row>
    <row r="56" spans="1:6" ht="14.25" thickBot="1">
      <c r="A56" s="1529" t="s">
        <v>1131</v>
      </c>
      <c r="B56" s="1523" t="s">
        <v>1269</v>
      </c>
      <c r="C56" s="2118">
        <v>0.1</v>
      </c>
      <c r="D56" s="2118">
        <v>9.6000000000000002E-2</v>
      </c>
      <c r="E56" s="2118">
        <v>5.1999999999999998E-2</v>
      </c>
      <c r="F56" s="2119">
        <v>0.1</v>
      </c>
    </row>
    <row r="57" spans="1:6" ht="14.25" thickBot="1">
      <c r="A57" s="1529" t="s">
        <v>1131</v>
      </c>
      <c r="B57" s="1523" t="s">
        <v>1281</v>
      </c>
      <c r="C57" s="2118">
        <v>9.7000000000000003E-2</v>
      </c>
      <c r="D57" s="2118">
        <v>9.6000000000000002E-2</v>
      </c>
      <c r="E57" s="2118">
        <v>9.6000000000000002E-2</v>
      </c>
      <c r="F57" s="2119">
        <v>0.1</v>
      </c>
    </row>
    <row r="58" spans="1:6" ht="14.25" thickBot="1">
      <c r="A58" s="1529" t="s">
        <v>1131</v>
      </c>
      <c r="B58" s="1523" t="s">
        <v>1291</v>
      </c>
      <c r="C58" s="2118">
        <v>9.6000000000000002E-2</v>
      </c>
      <c r="D58" s="2118">
        <v>9.9000000000000005E-2</v>
      </c>
      <c r="E58" s="2118">
        <v>9.6000000000000002E-2</v>
      </c>
      <c r="F58" s="2119">
        <v>0.1</v>
      </c>
    </row>
    <row r="59" spans="1:6" ht="14.25" thickBot="1">
      <c r="A59" s="1529" t="s">
        <v>1131</v>
      </c>
      <c r="B59" s="1523" t="s">
        <v>1301</v>
      </c>
      <c r="C59" s="2118">
        <v>7.1999999999999995E-2</v>
      </c>
      <c r="D59" s="2118">
        <v>9.6000000000000002E-2</v>
      </c>
      <c r="E59" s="2118">
        <v>7.0999999999999994E-2</v>
      </c>
      <c r="F59" s="2119">
        <v>0.1</v>
      </c>
    </row>
    <row r="60" spans="1:6" ht="14.25" thickBot="1">
      <c r="A60" s="1529" t="s">
        <v>1131</v>
      </c>
      <c r="B60" s="1523" t="s">
        <v>1311</v>
      </c>
      <c r="C60" s="2118">
        <v>9.6000000000000002E-2</v>
      </c>
      <c r="D60" s="2118">
        <v>8.8999999999999996E-2</v>
      </c>
      <c r="E60" s="2118">
        <v>9.6000000000000002E-2</v>
      </c>
      <c r="F60" s="2119">
        <v>0.1</v>
      </c>
    </row>
    <row r="61" spans="1:6" ht="14.25" thickBot="1">
      <c r="A61" s="1529" t="s">
        <v>1131</v>
      </c>
      <c r="B61" s="1523" t="s">
        <v>1321</v>
      </c>
      <c r="C61" s="2118">
        <v>8.8999999999999996E-2</v>
      </c>
      <c r="D61" s="2118">
        <v>9.8000000000000004E-2</v>
      </c>
      <c r="E61" s="2118">
        <v>8.7999999999999995E-2</v>
      </c>
      <c r="F61" s="2130"/>
    </row>
    <row r="62" spans="1:6" ht="14.25" thickBot="1">
      <c r="A62" s="1529" t="s">
        <v>1131</v>
      </c>
      <c r="B62" s="1523" t="s">
        <v>1332</v>
      </c>
      <c r="C62" s="2118">
        <v>9.8000000000000004E-2</v>
      </c>
      <c r="D62" s="2118">
        <v>9.2999999999999999E-2</v>
      </c>
      <c r="E62" s="2118">
        <v>9.7000000000000003E-2</v>
      </c>
      <c r="F62" s="2130"/>
    </row>
    <row r="63" spans="1:6" ht="14.25" thickBot="1">
      <c r="A63" s="1529" t="s">
        <v>1131</v>
      </c>
      <c r="B63" s="1523" t="s">
        <v>1343</v>
      </c>
      <c r="C63" s="2118">
        <v>9.6000000000000002E-2</v>
      </c>
      <c r="D63" s="2118">
        <v>9.8000000000000004E-2</v>
      </c>
      <c r="E63" s="2118">
        <v>0.09</v>
      </c>
      <c r="F63" s="2130"/>
    </row>
    <row r="64" spans="1:6" ht="14.25" thickBot="1">
      <c r="A64" s="1529" t="s">
        <v>1131</v>
      </c>
      <c r="B64" s="1523" t="s">
        <v>1353</v>
      </c>
      <c r="C64" s="2118">
        <v>9.9000000000000005E-2</v>
      </c>
      <c r="D64" s="2118">
        <v>9.7000000000000003E-2</v>
      </c>
      <c r="E64" s="2118">
        <v>9.9000000000000005E-2</v>
      </c>
      <c r="F64" s="2130"/>
    </row>
    <row r="65" spans="1:6" ht="14.25" thickBot="1">
      <c r="A65" s="1529" t="s">
        <v>1131</v>
      </c>
      <c r="B65" s="1523" t="s">
        <v>1363</v>
      </c>
      <c r="C65" s="2118">
        <v>9.8000000000000004E-2</v>
      </c>
      <c r="D65" s="2118">
        <v>9.6000000000000002E-2</v>
      </c>
      <c r="E65" s="2118">
        <v>9.6000000000000002E-2</v>
      </c>
      <c r="F65" s="2130"/>
    </row>
    <row r="66" spans="1:6" ht="14.25" thickBot="1">
      <c r="A66" s="1529" t="s">
        <v>1131</v>
      </c>
      <c r="B66" s="1523" t="s">
        <v>1373</v>
      </c>
      <c r="C66" s="2118">
        <v>9.6000000000000002E-2</v>
      </c>
      <c r="D66" s="2118">
        <v>9.1999999999999998E-2</v>
      </c>
      <c r="E66" s="2118">
        <v>9.6000000000000002E-2</v>
      </c>
      <c r="F66" s="2130"/>
    </row>
    <row r="67" spans="1:6" ht="14.25" thickBot="1">
      <c r="A67" s="1529" t="s">
        <v>1131</v>
      </c>
      <c r="B67" s="1523" t="s">
        <v>1383</v>
      </c>
      <c r="C67" s="2118">
        <v>9.4E-2</v>
      </c>
      <c r="D67" s="2118">
        <v>0.1</v>
      </c>
      <c r="E67" s="2118">
        <v>8.7999999999999995E-2</v>
      </c>
      <c r="F67" s="2130"/>
    </row>
    <row r="68" spans="1:6" ht="14.25" thickBot="1">
      <c r="A68" s="1529" t="s">
        <v>1131</v>
      </c>
      <c r="B68" s="1523" t="s">
        <v>1392</v>
      </c>
      <c r="C68" s="2118">
        <v>0.1</v>
      </c>
      <c r="D68" s="2118">
        <v>8.7999999999999995E-2</v>
      </c>
      <c r="E68" s="2118">
        <v>9.7000000000000003E-2</v>
      </c>
      <c r="F68" s="2130"/>
    </row>
    <row r="69" spans="1:6" ht="14.25" thickBot="1">
      <c r="A69" s="1529" t="s">
        <v>1131</v>
      </c>
      <c r="B69" s="1523" t="s">
        <v>1401</v>
      </c>
      <c r="C69" s="2118">
        <v>6.4000000000000001E-2</v>
      </c>
      <c r="D69" s="2118">
        <v>0.1</v>
      </c>
      <c r="E69" s="2118">
        <v>0.1</v>
      </c>
      <c r="F69" s="2130"/>
    </row>
    <row r="70" spans="1:6" ht="14.25" thickBot="1">
      <c r="A70" s="1529" t="s">
        <v>1131</v>
      </c>
      <c r="B70" s="1523" t="s">
        <v>1409</v>
      </c>
      <c r="C70" s="2118">
        <v>9.0999999999999998E-2</v>
      </c>
      <c r="D70" s="2131"/>
      <c r="E70" s="2131"/>
      <c r="F70" s="2130"/>
    </row>
    <row r="71" spans="1:6" ht="14.25" thickBot="1">
      <c r="A71" s="1529" t="s">
        <v>1131</v>
      </c>
      <c r="B71" s="1523" t="s">
        <v>1416</v>
      </c>
      <c r="C71" s="2118">
        <v>0.1</v>
      </c>
      <c r="D71" s="2131"/>
      <c r="E71" s="2131"/>
      <c r="F71" s="2130"/>
    </row>
    <row r="72" spans="1:6" ht="14.25" thickBot="1">
      <c r="A72" s="1529" t="s">
        <v>1131</v>
      </c>
      <c r="B72" s="1523" t="s">
        <v>2146</v>
      </c>
      <c r="C72" s="2131"/>
      <c r="D72" s="2131"/>
      <c r="E72" s="2131"/>
      <c r="F72" s="2119">
        <v>0.05</v>
      </c>
    </row>
    <row r="73" spans="1:6" ht="14.25" thickBot="1">
      <c r="A73" s="1529" t="s">
        <v>1131</v>
      </c>
      <c r="B73" s="1523" t="s">
        <v>2147</v>
      </c>
      <c r="C73" s="2131"/>
      <c r="D73" s="2131"/>
      <c r="E73" s="2131"/>
      <c r="F73" s="2119">
        <v>0.05</v>
      </c>
    </row>
    <row r="74" spans="1:6" ht="14.25" thickBot="1">
      <c r="A74" s="1529" t="s">
        <v>1131</v>
      </c>
      <c r="B74" s="1523" t="s">
        <v>2148</v>
      </c>
      <c r="C74" s="2131"/>
      <c r="D74" s="2131"/>
      <c r="E74" s="2131"/>
      <c r="F74" s="2119">
        <v>0.05</v>
      </c>
    </row>
    <row r="75" spans="1:6" ht="14.25" thickBot="1">
      <c r="A75" s="1539" t="s">
        <v>1131</v>
      </c>
      <c r="B75" s="1535" t="s">
        <v>2149</v>
      </c>
      <c r="C75" s="2128"/>
      <c r="D75" s="2128"/>
      <c r="E75" s="2128"/>
      <c r="F75" s="2121">
        <v>0.05</v>
      </c>
    </row>
    <row r="76" spans="1:6" ht="14.25" thickBot="1">
      <c r="A76" s="1529" t="s">
        <v>1531</v>
      </c>
      <c r="B76" s="1530" t="s">
        <v>2150</v>
      </c>
      <c r="C76" s="2116">
        <v>0.1</v>
      </c>
      <c r="D76" s="2116">
        <v>0.1</v>
      </c>
      <c r="E76" s="2116">
        <v>0.1</v>
      </c>
      <c r="F76" s="2117">
        <v>0.1</v>
      </c>
    </row>
    <row r="77" spans="1:6" ht="14.25" thickBot="1">
      <c r="A77" s="1529" t="s">
        <v>1531</v>
      </c>
      <c r="B77" s="1523" t="s">
        <v>1199</v>
      </c>
      <c r="C77" s="2118">
        <v>8.7999999999999995E-2</v>
      </c>
      <c r="D77" s="2118">
        <v>8.6999999999999994E-2</v>
      </c>
      <c r="E77" s="2118">
        <v>7.9000000000000001E-2</v>
      </c>
      <c r="F77" s="2119">
        <v>0.1</v>
      </c>
    </row>
    <row r="78" spans="1:6" ht="14.25" thickBot="1">
      <c r="A78" s="1529" t="s">
        <v>1531</v>
      </c>
      <c r="B78" s="1523" t="s">
        <v>1212</v>
      </c>
      <c r="C78" s="2118">
        <v>8.6999999999999994E-2</v>
      </c>
      <c r="D78" s="2118">
        <v>8.4000000000000005E-2</v>
      </c>
      <c r="E78" s="2118">
        <v>9.6000000000000002E-2</v>
      </c>
      <c r="F78" s="2119">
        <v>0.1</v>
      </c>
    </row>
    <row r="79" spans="1:6" ht="14.25" thickBot="1">
      <c r="A79" s="1529" t="s">
        <v>1531</v>
      </c>
      <c r="B79" s="1523" t="s">
        <v>1225</v>
      </c>
      <c r="C79" s="2118">
        <v>9.8000000000000004E-2</v>
      </c>
      <c r="D79" s="2118">
        <v>9.8000000000000004E-2</v>
      </c>
      <c r="E79" s="2118">
        <v>9.0999999999999998E-2</v>
      </c>
      <c r="F79" s="2119">
        <v>0.1</v>
      </c>
    </row>
    <row r="80" spans="1:6" ht="14.25" thickBot="1">
      <c r="A80" s="1529" t="s">
        <v>1531</v>
      </c>
      <c r="B80" s="1523" t="s">
        <v>1237</v>
      </c>
      <c r="C80" s="2118">
        <v>9.6000000000000002E-2</v>
      </c>
      <c r="D80" s="2118">
        <v>9.6000000000000002E-2</v>
      </c>
      <c r="E80" s="2118">
        <v>0.1</v>
      </c>
      <c r="F80" s="2119">
        <v>0.1</v>
      </c>
    </row>
    <row r="81" spans="1:6" ht="14.25" thickBot="1">
      <c r="A81" s="1529" t="s">
        <v>1531</v>
      </c>
      <c r="B81" s="1523" t="s">
        <v>1248</v>
      </c>
      <c r="C81" s="2118">
        <v>9.9000000000000005E-2</v>
      </c>
      <c r="D81" s="2118">
        <v>9.9000000000000005E-2</v>
      </c>
      <c r="E81" s="2118">
        <v>9.8000000000000004E-2</v>
      </c>
      <c r="F81" s="2119">
        <v>0.1</v>
      </c>
    </row>
    <row r="82" spans="1:6" ht="14.25" thickBot="1">
      <c r="A82" s="1529" t="s">
        <v>1531</v>
      </c>
      <c r="B82" s="1523" t="s">
        <v>1259</v>
      </c>
      <c r="C82" s="2118">
        <v>9.9000000000000005E-2</v>
      </c>
      <c r="D82" s="2118">
        <v>9.9000000000000005E-2</v>
      </c>
      <c r="E82" s="2118">
        <v>9.7000000000000003E-2</v>
      </c>
      <c r="F82" s="2119">
        <v>0.1</v>
      </c>
    </row>
    <row r="83" spans="1:6" ht="14.25" thickBot="1">
      <c r="A83" s="1529" t="s">
        <v>1531</v>
      </c>
      <c r="B83" s="1523" t="s">
        <v>1270</v>
      </c>
      <c r="C83" s="2118">
        <v>9.8000000000000004E-2</v>
      </c>
      <c r="D83" s="2118">
        <v>9.8000000000000004E-2</v>
      </c>
      <c r="E83" s="2118">
        <v>9.8000000000000004E-2</v>
      </c>
      <c r="F83" s="2119">
        <v>0.1</v>
      </c>
    </row>
    <row r="84" spans="1:6" ht="14.25" thickBot="1">
      <c r="A84" s="1529" t="s">
        <v>1531</v>
      </c>
      <c r="B84" s="1523" t="s">
        <v>1282</v>
      </c>
      <c r="C84" s="2118">
        <v>9.9000000000000005E-2</v>
      </c>
      <c r="D84" s="2118">
        <v>9.9000000000000005E-2</v>
      </c>
      <c r="E84" s="2118">
        <v>9.9000000000000005E-2</v>
      </c>
      <c r="F84" s="2119">
        <v>0.1</v>
      </c>
    </row>
    <row r="85" spans="1:6" ht="14.25" thickBot="1">
      <c r="A85" s="1529" t="s">
        <v>1531</v>
      </c>
      <c r="B85" s="1523" t="s">
        <v>1292</v>
      </c>
      <c r="C85" s="2118">
        <v>9.9000000000000005E-2</v>
      </c>
      <c r="D85" s="2118">
        <v>9.9000000000000005E-2</v>
      </c>
      <c r="E85" s="2118">
        <v>9.9000000000000005E-2</v>
      </c>
      <c r="F85" s="2119">
        <v>0.1</v>
      </c>
    </row>
    <row r="86" spans="1:6" ht="14.25" thickBot="1">
      <c r="A86" s="1529" t="s">
        <v>1531</v>
      </c>
      <c r="B86" s="1523" t="s">
        <v>1302</v>
      </c>
      <c r="C86" s="2118">
        <v>0.1</v>
      </c>
      <c r="D86" s="2118">
        <v>0.1</v>
      </c>
      <c r="E86" s="2118">
        <v>7.6999999999999999E-2</v>
      </c>
      <c r="F86" s="2119">
        <v>0.1</v>
      </c>
    </row>
    <row r="87" spans="1:6" ht="14.25" thickBot="1">
      <c r="A87" s="1529" t="s">
        <v>1531</v>
      </c>
      <c r="B87" s="1523" t="s">
        <v>1312</v>
      </c>
      <c r="C87" s="2118">
        <v>0.1</v>
      </c>
      <c r="D87" s="2118">
        <v>0.1</v>
      </c>
      <c r="E87" s="2118">
        <v>9.8000000000000004E-2</v>
      </c>
      <c r="F87" s="2130"/>
    </row>
    <row r="88" spans="1:6" ht="14.25" thickBot="1">
      <c r="A88" s="1529" t="s">
        <v>1531</v>
      </c>
      <c r="B88" s="1523" t="s">
        <v>1322</v>
      </c>
      <c r="C88" s="2118">
        <v>9.1999999999999998E-2</v>
      </c>
      <c r="D88" s="2118">
        <v>8.5000000000000006E-2</v>
      </c>
      <c r="E88" s="2118">
        <v>9.6000000000000002E-2</v>
      </c>
      <c r="F88" s="2130"/>
    </row>
    <row r="89" spans="1:6" ht="14.25" thickBot="1">
      <c r="A89" s="1529" t="s">
        <v>1531</v>
      </c>
      <c r="B89" s="1523" t="s">
        <v>1333</v>
      </c>
      <c r="C89" s="2118">
        <v>0.1</v>
      </c>
      <c r="D89" s="2118">
        <v>0.1</v>
      </c>
      <c r="E89" s="2118">
        <v>9.7000000000000003E-2</v>
      </c>
      <c r="F89" s="2130"/>
    </row>
    <row r="90" spans="1:6" ht="14.25" thickBot="1">
      <c r="A90" s="1529" t="s">
        <v>1531</v>
      </c>
      <c r="B90" s="1523" t="s">
        <v>1344</v>
      </c>
      <c r="C90" s="2118">
        <v>9.8000000000000004E-2</v>
      </c>
      <c r="D90" s="2118">
        <v>9.8000000000000004E-2</v>
      </c>
      <c r="E90" s="2118">
        <v>8.7999999999999995E-2</v>
      </c>
      <c r="F90" s="2130"/>
    </row>
    <row r="91" spans="1:6" ht="14.25" thickBot="1">
      <c r="A91" s="1529" t="s">
        <v>1531</v>
      </c>
      <c r="B91" s="1523" t="s">
        <v>1354</v>
      </c>
      <c r="C91" s="2118">
        <v>9.9000000000000005E-2</v>
      </c>
      <c r="D91" s="2118">
        <v>9.9000000000000005E-2</v>
      </c>
      <c r="E91" s="2118">
        <v>9.0999999999999998E-2</v>
      </c>
      <c r="F91" s="2130"/>
    </row>
    <row r="92" spans="1:6" ht="14.25" thickBot="1">
      <c r="A92" s="1529" t="s">
        <v>1531</v>
      </c>
      <c r="B92" s="1523" t="s">
        <v>1364</v>
      </c>
      <c r="C92" s="2118">
        <v>9.6000000000000002E-2</v>
      </c>
      <c r="D92" s="2118">
        <v>9.6000000000000002E-2</v>
      </c>
      <c r="E92" s="2118">
        <v>7.2999999999999995E-2</v>
      </c>
      <c r="F92" s="2130"/>
    </row>
    <row r="93" spans="1:6" ht="14.25" thickBot="1">
      <c r="A93" s="1529" t="s">
        <v>1531</v>
      </c>
      <c r="B93" s="1523" t="s">
        <v>1374</v>
      </c>
      <c r="C93" s="2118">
        <v>9.6000000000000002E-2</v>
      </c>
      <c r="D93" s="2118">
        <v>9.6000000000000002E-2</v>
      </c>
      <c r="E93" s="2118">
        <v>9.9000000000000005E-2</v>
      </c>
      <c r="F93" s="2130"/>
    </row>
    <row r="94" spans="1:6" ht="14.25" thickBot="1">
      <c r="A94" s="1529" t="s">
        <v>1531</v>
      </c>
      <c r="B94" s="1523" t="s">
        <v>1384</v>
      </c>
      <c r="C94" s="2118">
        <v>7.5999999999999998E-2</v>
      </c>
      <c r="D94" s="2118">
        <v>7.3999999999999996E-2</v>
      </c>
      <c r="E94" s="2118">
        <v>9.7000000000000003E-2</v>
      </c>
      <c r="F94" s="2130"/>
    </row>
    <row r="95" spans="1:6" ht="14.25" thickBot="1">
      <c r="A95" s="1529" t="s">
        <v>1531</v>
      </c>
      <c r="B95" s="1523" t="s">
        <v>1393</v>
      </c>
      <c r="C95" s="2118">
        <v>9.9000000000000005E-2</v>
      </c>
      <c r="D95" s="2118">
        <v>9.4E-2</v>
      </c>
      <c r="E95" s="2118">
        <v>9.6000000000000002E-2</v>
      </c>
      <c r="F95" s="2130"/>
    </row>
    <row r="96" spans="1:6" ht="14.25" thickBot="1">
      <c r="A96" s="1529" t="s">
        <v>1531</v>
      </c>
      <c r="B96" s="1523" t="s">
        <v>1402</v>
      </c>
      <c r="C96" s="2118">
        <v>9.9000000000000005E-2</v>
      </c>
      <c r="D96" s="2118">
        <v>9.9000000000000005E-2</v>
      </c>
      <c r="E96" s="2118">
        <v>9.9000000000000005E-2</v>
      </c>
      <c r="F96" s="2130"/>
    </row>
    <row r="97" spans="1:6" ht="14.25" thickBot="1">
      <c r="A97" s="1529" t="s">
        <v>1531</v>
      </c>
      <c r="B97" s="1523" t="s">
        <v>1410</v>
      </c>
      <c r="C97" s="2118">
        <v>9.8000000000000004E-2</v>
      </c>
      <c r="D97" s="2118">
        <v>9.8000000000000004E-2</v>
      </c>
      <c r="E97" s="2118">
        <v>9.7000000000000003E-2</v>
      </c>
      <c r="F97" s="2130"/>
    </row>
    <row r="98" spans="1:6" ht="14.25" thickBot="1">
      <c r="A98" s="1529" t="s">
        <v>1531</v>
      </c>
      <c r="B98" s="1523" t="s">
        <v>1417</v>
      </c>
      <c r="C98" s="2118">
        <v>0.1</v>
      </c>
      <c r="D98" s="2118">
        <v>0.1</v>
      </c>
      <c r="E98" s="2118">
        <v>9.7000000000000003E-2</v>
      </c>
      <c r="F98" s="2130"/>
    </row>
    <row r="99" spans="1:6" ht="14.25" thickBot="1">
      <c r="A99" s="1529" t="s">
        <v>1531</v>
      </c>
      <c r="B99" s="1523" t="s">
        <v>1424</v>
      </c>
      <c r="C99" s="2118">
        <v>0.1</v>
      </c>
      <c r="D99" s="2118">
        <v>0.1</v>
      </c>
      <c r="E99" s="2131"/>
      <c r="F99" s="2130"/>
    </row>
    <row r="100" spans="1:6" ht="14.25" thickBot="1">
      <c r="A100" s="1529" t="s">
        <v>1531</v>
      </c>
      <c r="B100" s="1523" t="s">
        <v>1431</v>
      </c>
      <c r="C100" s="2118">
        <v>0.09</v>
      </c>
      <c r="D100" s="2118">
        <v>8.8999999999999996E-2</v>
      </c>
      <c r="E100" s="2131"/>
      <c r="F100" s="2130"/>
    </row>
    <row r="101" spans="1:6" ht="14.25" thickBot="1">
      <c r="A101" s="1529" t="s">
        <v>1531</v>
      </c>
      <c r="B101" s="1523" t="s">
        <v>1438</v>
      </c>
      <c r="C101" s="2118">
        <v>9.8000000000000004E-2</v>
      </c>
      <c r="D101" s="2118">
        <v>9.7000000000000003E-2</v>
      </c>
      <c r="E101" s="2131"/>
      <c r="F101" s="2130"/>
    </row>
    <row r="102" spans="1:6" ht="14.25" thickBot="1">
      <c r="A102" s="1529" t="s">
        <v>1531</v>
      </c>
      <c r="B102" s="1523" t="s">
        <v>2151</v>
      </c>
      <c r="C102" s="2131"/>
      <c r="D102" s="2131"/>
      <c r="E102" s="2131"/>
      <c r="F102" s="2119">
        <v>0.05</v>
      </c>
    </row>
    <row r="103" spans="1:6" ht="24.75" thickBot="1">
      <c r="A103" s="1529" t="s">
        <v>1531</v>
      </c>
      <c r="B103" s="1523" t="s">
        <v>2152</v>
      </c>
      <c r="C103" s="2131"/>
      <c r="D103" s="2131"/>
      <c r="E103" s="2131"/>
      <c r="F103" s="2119">
        <v>0.05</v>
      </c>
    </row>
    <row r="104" spans="1:6" ht="14.25" thickBot="1">
      <c r="A104" s="1529" t="s">
        <v>1531</v>
      </c>
      <c r="B104" s="1523" t="s">
        <v>2153</v>
      </c>
      <c r="C104" s="2131"/>
      <c r="D104" s="2131"/>
      <c r="E104" s="2131"/>
      <c r="F104" s="2119">
        <v>0.05</v>
      </c>
    </row>
    <row r="105" spans="1:6" ht="14.25" thickBot="1">
      <c r="A105" s="1529" t="s">
        <v>1531</v>
      </c>
      <c r="B105" s="1523" t="s">
        <v>2154</v>
      </c>
      <c r="C105" s="2131"/>
      <c r="D105" s="2131"/>
      <c r="E105" s="2131"/>
      <c r="F105" s="2119">
        <v>0.05</v>
      </c>
    </row>
    <row r="106" spans="1:6" ht="14.25" thickBot="1">
      <c r="A106" s="1529" t="s">
        <v>1531</v>
      </c>
      <c r="B106" s="1523" t="s">
        <v>2155</v>
      </c>
      <c r="C106" s="2131"/>
      <c r="D106" s="2131"/>
      <c r="E106" s="2131"/>
      <c r="F106" s="2119">
        <v>0.05</v>
      </c>
    </row>
    <row r="107" spans="1:6" ht="24.75" thickBot="1">
      <c r="A107" s="1529" t="s">
        <v>1531</v>
      </c>
      <c r="B107" s="1523" t="s">
        <v>2156</v>
      </c>
      <c r="C107" s="2131"/>
      <c r="D107" s="2131"/>
      <c r="E107" s="2131"/>
      <c r="F107" s="2119">
        <v>0.05</v>
      </c>
    </row>
    <row r="108" spans="1:6" ht="24.75" thickBot="1">
      <c r="A108" s="1529" t="s">
        <v>1531</v>
      </c>
      <c r="B108" s="1523" t="s">
        <v>2157</v>
      </c>
      <c r="C108" s="2131"/>
      <c r="D108" s="2131"/>
      <c r="E108" s="2131"/>
      <c r="F108" s="2119">
        <v>0.05</v>
      </c>
    </row>
    <row r="109" spans="1:6" ht="24.75" thickBot="1">
      <c r="A109" s="1539" t="s">
        <v>1531</v>
      </c>
      <c r="B109" s="1535" t="s">
        <v>2158</v>
      </c>
      <c r="C109" s="2128"/>
      <c r="D109" s="2128"/>
      <c r="E109" s="2128"/>
      <c r="F109" s="2121">
        <v>0.05</v>
      </c>
    </row>
    <row r="110" spans="1:6" ht="14.25" thickBot="1">
      <c r="A110" s="1529" t="s">
        <v>200</v>
      </c>
      <c r="B110" s="1530" t="s">
        <v>2159</v>
      </c>
      <c r="C110" s="2116">
        <v>0.129</v>
      </c>
      <c r="D110" s="2116">
        <v>0.129</v>
      </c>
      <c r="E110" s="2116">
        <v>0.126</v>
      </c>
      <c r="F110" s="2117">
        <v>0.13</v>
      </c>
    </row>
    <row r="111" spans="1:6" ht="14.25" thickBot="1">
      <c r="A111" s="1529" t="s">
        <v>200</v>
      </c>
      <c r="B111" s="1523" t="s">
        <v>1200</v>
      </c>
      <c r="C111" s="2118">
        <v>0.11</v>
      </c>
      <c r="D111" s="2118">
        <v>0.11</v>
      </c>
      <c r="E111" s="2118">
        <v>9.9000000000000005E-2</v>
      </c>
      <c r="F111" s="2119">
        <v>0.128</v>
      </c>
    </row>
    <row r="112" spans="1:6" ht="14.25" thickBot="1">
      <c r="A112" s="1529" t="s">
        <v>200</v>
      </c>
      <c r="B112" s="1523" t="s">
        <v>1213</v>
      </c>
      <c r="C112" s="2118">
        <v>0.125</v>
      </c>
      <c r="D112" s="2118">
        <v>0.125</v>
      </c>
      <c r="E112" s="2118">
        <v>0.12</v>
      </c>
      <c r="F112" s="2119">
        <v>0.125</v>
      </c>
    </row>
    <row r="113" spans="1:6" ht="14.25" thickBot="1">
      <c r="A113" s="1529" t="s">
        <v>200</v>
      </c>
      <c r="B113" s="1523" t="s">
        <v>1226</v>
      </c>
      <c r="C113" s="2118">
        <v>0.13</v>
      </c>
      <c r="D113" s="2118">
        <v>0.13</v>
      </c>
      <c r="E113" s="2118">
        <v>0.13</v>
      </c>
      <c r="F113" s="2119">
        <v>0.13</v>
      </c>
    </row>
    <row r="114" spans="1:6" ht="14.25" thickBot="1">
      <c r="A114" s="1529" t="s">
        <v>200</v>
      </c>
      <c r="B114" s="1523" t="s">
        <v>1238</v>
      </c>
      <c r="C114" s="2118">
        <v>0.123</v>
      </c>
      <c r="D114" s="2118">
        <v>0.123</v>
      </c>
      <c r="E114" s="2118">
        <v>0.12</v>
      </c>
      <c r="F114" s="2119">
        <v>0.13</v>
      </c>
    </row>
    <row r="115" spans="1:6" ht="14.25" thickBot="1">
      <c r="A115" s="1529" t="s">
        <v>200</v>
      </c>
      <c r="B115" s="1523" t="s">
        <v>1249</v>
      </c>
      <c r="C115" s="2118">
        <v>0.125</v>
      </c>
      <c r="D115" s="2118">
        <v>0.125</v>
      </c>
      <c r="E115" s="2118">
        <v>0.11700000000000001</v>
      </c>
      <c r="F115" s="2119">
        <v>0.13</v>
      </c>
    </row>
    <row r="116" spans="1:6" ht="14.25" thickBot="1">
      <c r="A116" s="1529" t="s">
        <v>200</v>
      </c>
      <c r="B116" s="1523" t="s">
        <v>1260</v>
      </c>
      <c r="C116" s="2118">
        <v>0.11700000000000001</v>
      </c>
      <c r="D116" s="2118">
        <v>0.11700000000000001</v>
      </c>
      <c r="E116" s="2118">
        <v>8.7999999999999995E-2</v>
      </c>
      <c r="F116" s="2119">
        <v>0.13</v>
      </c>
    </row>
    <row r="117" spans="1:6" ht="14.25" thickBot="1">
      <c r="A117" s="1529" t="s">
        <v>200</v>
      </c>
      <c r="B117" s="1523" t="s">
        <v>1271</v>
      </c>
      <c r="C117" s="2118">
        <v>0.13</v>
      </c>
      <c r="D117" s="2118">
        <v>0.13</v>
      </c>
      <c r="E117" s="2118">
        <v>0.129</v>
      </c>
      <c r="F117" s="2119">
        <v>0.13</v>
      </c>
    </row>
    <row r="118" spans="1:6" ht="14.25" thickBot="1">
      <c r="A118" s="1529" t="s">
        <v>200</v>
      </c>
      <c r="B118" s="1523" t="s">
        <v>1283</v>
      </c>
      <c r="C118" s="2118">
        <v>0.123</v>
      </c>
      <c r="D118" s="2118">
        <v>0.123</v>
      </c>
      <c r="E118" s="2118">
        <v>0.11600000000000001</v>
      </c>
      <c r="F118" s="2119">
        <v>0.13</v>
      </c>
    </row>
    <row r="119" spans="1:6" ht="14.25" thickBot="1">
      <c r="A119" s="1529" t="s">
        <v>200</v>
      </c>
      <c r="B119" s="1523" t="s">
        <v>1293</v>
      </c>
      <c r="C119" s="2118">
        <v>0.127</v>
      </c>
      <c r="D119" s="2118">
        <v>0.127</v>
      </c>
      <c r="E119" s="2118">
        <v>0.124</v>
      </c>
      <c r="F119" s="2119">
        <v>0.13</v>
      </c>
    </row>
    <row r="120" spans="1:6" ht="14.25" thickBot="1">
      <c r="A120" s="1529" t="s">
        <v>200</v>
      </c>
      <c r="B120" s="1523" t="s">
        <v>1303</v>
      </c>
      <c r="C120" s="2118">
        <v>0.125</v>
      </c>
      <c r="D120" s="2118">
        <v>0.125</v>
      </c>
      <c r="E120" s="2118">
        <v>0.122</v>
      </c>
      <c r="F120" s="2119">
        <v>0.13</v>
      </c>
    </row>
    <row r="121" spans="1:6" ht="14.25" thickBot="1">
      <c r="A121" s="1529" t="s">
        <v>200</v>
      </c>
      <c r="B121" s="1523" t="s">
        <v>1313</v>
      </c>
      <c r="C121" s="2118">
        <v>0.13</v>
      </c>
      <c r="D121" s="2118">
        <v>0.13</v>
      </c>
      <c r="E121" s="2118">
        <v>0.13</v>
      </c>
      <c r="F121" s="2119">
        <v>0.13</v>
      </c>
    </row>
    <row r="122" spans="1:6" ht="14.25" thickBot="1">
      <c r="A122" s="1529" t="s">
        <v>200</v>
      </c>
      <c r="B122" s="1523" t="s">
        <v>1323</v>
      </c>
      <c r="C122" s="2118">
        <v>0.13</v>
      </c>
      <c r="D122" s="2118">
        <v>0.13</v>
      </c>
      <c r="E122" s="2118">
        <v>0.125</v>
      </c>
      <c r="F122" s="2119">
        <v>0.13</v>
      </c>
    </row>
    <row r="123" spans="1:6" ht="14.25" thickBot="1">
      <c r="A123" s="1529" t="s">
        <v>200</v>
      </c>
      <c r="B123" s="1523" t="s">
        <v>1334</v>
      </c>
      <c r="C123" s="2118">
        <v>0.129</v>
      </c>
      <c r="D123" s="2118">
        <v>0.129</v>
      </c>
      <c r="E123" s="2118">
        <v>0.123</v>
      </c>
      <c r="F123" s="2119">
        <v>0.13</v>
      </c>
    </row>
    <row r="124" spans="1:6" ht="14.25" thickBot="1">
      <c r="A124" s="1529" t="s">
        <v>200</v>
      </c>
      <c r="B124" s="1523" t="s">
        <v>1345</v>
      </c>
      <c r="C124" s="2118">
        <v>0.10199999999999999</v>
      </c>
      <c r="D124" s="2118">
        <v>0.10100000000000001</v>
      </c>
      <c r="E124" s="2118">
        <v>0.08</v>
      </c>
      <c r="F124" s="2130"/>
    </row>
    <row r="125" spans="1:6" ht="14.25" thickBot="1">
      <c r="A125" s="1529" t="s">
        <v>200</v>
      </c>
      <c r="B125" s="1523" t="s">
        <v>1355</v>
      </c>
      <c r="C125" s="2118">
        <v>0.13</v>
      </c>
      <c r="D125" s="2118">
        <v>0.13</v>
      </c>
      <c r="E125" s="2118">
        <v>0.129</v>
      </c>
      <c r="F125" s="2130"/>
    </row>
    <row r="126" spans="1:6" ht="14.25" thickBot="1">
      <c r="A126" s="1529" t="s">
        <v>200</v>
      </c>
      <c r="B126" s="1523" t="s">
        <v>1365</v>
      </c>
      <c r="C126" s="2118">
        <v>0.13</v>
      </c>
      <c r="D126" s="2118">
        <v>0.13</v>
      </c>
      <c r="E126" s="2118">
        <v>0.126</v>
      </c>
      <c r="F126" s="2130"/>
    </row>
    <row r="127" spans="1:6" ht="14.25" thickBot="1">
      <c r="A127" s="1529" t="s">
        <v>200</v>
      </c>
      <c r="B127" s="1523" t="s">
        <v>1375</v>
      </c>
      <c r="C127" s="2118">
        <v>0.125</v>
      </c>
      <c r="D127" s="2118">
        <v>0.125</v>
      </c>
      <c r="E127" s="2118">
        <v>0.121</v>
      </c>
      <c r="F127" s="2130"/>
    </row>
    <row r="128" spans="1:6" ht="14.25" thickBot="1">
      <c r="A128" s="1529" t="s">
        <v>200</v>
      </c>
      <c r="B128" s="1523" t="s">
        <v>1385</v>
      </c>
      <c r="C128" s="2118">
        <v>0.12</v>
      </c>
      <c r="D128" s="2118">
        <v>0.12</v>
      </c>
      <c r="E128" s="2118">
        <v>0.105</v>
      </c>
      <c r="F128" s="2130"/>
    </row>
    <row r="129" spans="1:6" ht="14.25" thickBot="1">
      <c r="A129" s="1529" t="s">
        <v>200</v>
      </c>
      <c r="B129" s="1523" t="s">
        <v>1394</v>
      </c>
      <c r="C129" s="2118">
        <v>0.13</v>
      </c>
      <c r="D129" s="2118">
        <v>0.13</v>
      </c>
      <c r="E129" s="2118">
        <v>0.126</v>
      </c>
      <c r="F129" s="2130"/>
    </row>
    <row r="130" spans="1:6" ht="14.25" thickBot="1">
      <c r="A130" s="1529" t="s">
        <v>200</v>
      </c>
      <c r="B130" s="1523" t="s">
        <v>1403</v>
      </c>
      <c r="C130" s="2118">
        <v>0.125</v>
      </c>
      <c r="D130" s="2118">
        <v>0.125</v>
      </c>
      <c r="E130" s="2118">
        <v>0.122</v>
      </c>
      <c r="F130" s="2130"/>
    </row>
    <row r="131" spans="1:6" ht="14.25" thickBot="1">
      <c r="A131" s="1529" t="s">
        <v>200</v>
      </c>
      <c r="B131" s="1523" t="s">
        <v>1411</v>
      </c>
      <c r="C131" s="2118">
        <v>0.127</v>
      </c>
      <c r="D131" s="2118">
        <v>0.126</v>
      </c>
      <c r="E131" s="2118">
        <v>0.123</v>
      </c>
      <c r="F131" s="2130"/>
    </row>
    <row r="132" spans="1:6" ht="14.25" thickBot="1">
      <c r="A132" s="1529" t="s">
        <v>200</v>
      </c>
      <c r="B132" s="1523" t="s">
        <v>1418</v>
      </c>
      <c r="C132" s="2118">
        <v>9.0999999999999998E-2</v>
      </c>
      <c r="D132" s="2118">
        <v>0.121</v>
      </c>
      <c r="E132" s="2118">
        <v>9.9000000000000005E-2</v>
      </c>
      <c r="F132" s="2130"/>
    </row>
    <row r="133" spans="1:6" ht="14.25" thickBot="1">
      <c r="A133" s="1529" t="s">
        <v>200</v>
      </c>
      <c r="B133" s="1523" t="s">
        <v>1425</v>
      </c>
      <c r="C133" s="2118">
        <v>0.13</v>
      </c>
      <c r="D133" s="2118">
        <v>0.13</v>
      </c>
      <c r="E133" s="2118">
        <v>0.129</v>
      </c>
      <c r="F133" s="2130"/>
    </row>
    <row r="134" spans="1:6" ht="14.25" thickBot="1">
      <c r="A134" s="1529" t="s">
        <v>200</v>
      </c>
      <c r="B134" s="1523" t="s">
        <v>2160</v>
      </c>
      <c r="C134" s="2118">
        <v>6.8000000000000005E-2</v>
      </c>
      <c r="D134" s="2118">
        <v>6.5000000000000002E-2</v>
      </c>
      <c r="E134" s="2118">
        <v>6.5000000000000002E-2</v>
      </c>
      <c r="F134" s="2119">
        <v>0.13</v>
      </c>
    </row>
    <row r="135" spans="1:6" ht="14.25" thickBot="1">
      <c r="A135" s="1529" t="s">
        <v>200</v>
      </c>
      <c r="B135" s="1523" t="s">
        <v>1439</v>
      </c>
      <c r="C135" s="2118">
        <v>0.123</v>
      </c>
      <c r="D135" s="2118">
        <v>0.123</v>
      </c>
      <c r="E135" s="2118">
        <v>0.11</v>
      </c>
      <c r="F135" s="2130"/>
    </row>
    <row r="136" spans="1:6" ht="14.25" thickBot="1">
      <c r="A136" s="1529" t="s">
        <v>200</v>
      </c>
      <c r="B136" s="1523" t="s">
        <v>1446</v>
      </c>
      <c r="C136" s="2118">
        <v>0.13</v>
      </c>
      <c r="D136" s="2118">
        <v>0.13</v>
      </c>
      <c r="E136" s="2118">
        <v>0.125</v>
      </c>
      <c r="F136" s="2130"/>
    </row>
    <row r="137" spans="1:6" ht="14.25" thickBot="1">
      <c r="A137" s="1529" t="s">
        <v>200</v>
      </c>
      <c r="B137" s="1523" t="s">
        <v>1453</v>
      </c>
      <c r="C137" s="2118">
        <v>0.121</v>
      </c>
      <c r="D137" s="2118">
        <v>0.122</v>
      </c>
      <c r="E137" s="2118">
        <v>0.115</v>
      </c>
      <c r="F137" s="2130"/>
    </row>
    <row r="138" spans="1:6" ht="14.25" thickBot="1">
      <c r="A138" s="1529" t="s">
        <v>200</v>
      </c>
      <c r="B138" s="1523" t="s">
        <v>2161</v>
      </c>
      <c r="C138" s="2118">
        <v>0.105</v>
      </c>
      <c r="D138" s="2118">
        <v>0.125</v>
      </c>
      <c r="E138" s="2118">
        <v>0.112</v>
      </c>
      <c r="F138" s="2130"/>
    </row>
    <row r="139" spans="1:6" ht="14.25" thickBot="1">
      <c r="A139" s="1529" t="s">
        <v>200</v>
      </c>
      <c r="B139" s="1523" t="s">
        <v>2162</v>
      </c>
      <c r="C139" s="2118">
        <v>0.127</v>
      </c>
      <c r="D139" s="2118">
        <v>0.127</v>
      </c>
      <c r="E139" s="2118">
        <v>0.122</v>
      </c>
      <c r="F139" s="2119">
        <v>0.13</v>
      </c>
    </row>
    <row r="140" spans="1:6" ht="14.25" thickBot="1">
      <c r="A140" s="1529" t="s">
        <v>200</v>
      </c>
      <c r="B140" s="1523" t="s">
        <v>2163</v>
      </c>
      <c r="C140" s="2118">
        <v>0.125</v>
      </c>
      <c r="D140" s="2118">
        <v>0.125</v>
      </c>
      <c r="E140" s="2118">
        <v>0.11899999999999999</v>
      </c>
      <c r="F140" s="2119">
        <v>0.13</v>
      </c>
    </row>
    <row r="141" spans="1:6" ht="14.25" thickBot="1">
      <c r="A141" s="1529" t="s">
        <v>200</v>
      </c>
      <c r="B141" s="1523" t="s">
        <v>1472</v>
      </c>
      <c r="C141" s="2118">
        <v>0.125</v>
      </c>
      <c r="D141" s="2118">
        <v>0.125</v>
      </c>
      <c r="E141" s="2118">
        <v>0.11700000000000001</v>
      </c>
      <c r="F141" s="2130"/>
    </row>
    <row r="142" spans="1:6" ht="14.25" thickBot="1">
      <c r="A142" s="1529" t="s">
        <v>200</v>
      </c>
      <c r="B142" s="1523" t="s">
        <v>1477</v>
      </c>
      <c r="C142" s="2118">
        <v>0.125</v>
      </c>
      <c r="D142" s="2118">
        <v>0.125</v>
      </c>
      <c r="E142" s="2118">
        <v>0.115</v>
      </c>
      <c r="F142" s="2130"/>
    </row>
    <row r="143" spans="1:6" ht="14.25" thickBot="1">
      <c r="A143" s="1529" t="s">
        <v>200</v>
      </c>
      <c r="B143" s="1523" t="s">
        <v>1482</v>
      </c>
      <c r="C143" s="2118">
        <v>0.121</v>
      </c>
      <c r="D143" s="2118">
        <v>0.121</v>
      </c>
      <c r="E143" s="2118">
        <v>0.108</v>
      </c>
      <c r="F143" s="2130"/>
    </row>
    <row r="144" spans="1:6" ht="14.25" thickBot="1">
      <c r="A144" s="1529" t="s">
        <v>200</v>
      </c>
      <c r="B144" s="2122" t="s">
        <v>2164</v>
      </c>
      <c r="C144" s="2123">
        <v>0.126</v>
      </c>
      <c r="D144" s="2123">
        <v>0.126</v>
      </c>
      <c r="E144" s="2123">
        <v>0.121</v>
      </c>
      <c r="F144" s="2130"/>
    </row>
    <row r="145" spans="1:6" ht="14.25" thickBot="1">
      <c r="A145" s="1539" t="s">
        <v>200</v>
      </c>
      <c r="B145" s="2124" t="s">
        <v>2165</v>
      </c>
      <c r="C145" s="2132"/>
      <c r="D145" s="2132"/>
      <c r="E145" s="2132"/>
      <c r="F145" s="2125">
        <v>0.05</v>
      </c>
    </row>
    <row r="146" spans="1:6" ht="24.75" thickBot="1">
      <c r="A146" s="2126" t="s">
        <v>200</v>
      </c>
      <c r="B146" s="1533" t="s">
        <v>2166</v>
      </c>
      <c r="C146" s="2131"/>
      <c r="D146" s="2131"/>
      <c r="E146" s="2131"/>
      <c r="F146" s="2127">
        <v>0.05</v>
      </c>
    </row>
    <row r="147" spans="1:6" ht="24.75" thickBot="1">
      <c r="A147" s="1529" t="s">
        <v>200</v>
      </c>
      <c r="B147" s="1523" t="s">
        <v>2167</v>
      </c>
      <c r="C147" s="2131"/>
      <c r="D147" s="2131"/>
      <c r="E147" s="2131"/>
      <c r="F147" s="2119">
        <v>0.05</v>
      </c>
    </row>
    <row r="148" spans="1:6" ht="24.75" thickBot="1">
      <c r="A148" s="1529" t="s">
        <v>200</v>
      </c>
      <c r="B148" s="1523" t="s">
        <v>2168</v>
      </c>
      <c r="C148" s="2131"/>
      <c r="D148" s="2131"/>
      <c r="E148" s="2131"/>
      <c r="F148" s="2119">
        <v>0.05</v>
      </c>
    </row>
    <row r="149" spans="1:6" ht="24.75" thickBot="1">
      <c r="A149" s="1529" t="s">
        <v>200</v>
      </c>
      <c r="B149" s="1523" t="s">
        <v>2169</v>
      </c>
      <c r="C149" s="2131"/>
      <c r="D149" s="2131"/>
      <c r="E149" s="2131"/>
      <c r="F149" s="2119">
        <v>0.05</v>
      </c>
    </row>
    <row r="150" spans="1:6" ht="24.75" thickBot="1">
      <c r="A150" s="1529" t="s">
        <v>200</v>
      </c>
      <c r="B150" s="1523" t="s">
        <v>2170</v>
      </c>
      <c r="C150" s="2131"/>
      <c r="D150" s="2131"/>
      <c r="E150" s="2131"/>
      <c r="F150" s="2119">
        <v>0.05</v>
      </c>
    </row>
    <row r="151" spans="1:6" ht="24.75" thickBot="1">
      <c r="A151" s="1529" t="s">
        <v>200</v>
      </c>
      <c r="B151" s="1523" t="s">
        <v>2171</v>
      </c>
      <c r="C151" s="2131"/>
      <c r="D151" s="2131"/>
      <c r="E151" s="2131"/>
      <c r="F151" s="2119">
        <v>0.05</v>
      </c>
    </row>
    <row r="152" spans="1:6" ht="24.75" thickBot="1">
      <c r="A152" s="1529" t="s">
        <v>200</v>
      </c>
      <c r="B152" s="1523" t="s">
        <v>1515</v>
      </c>
      <c r="C152" s="2131"/>
      <c r="D152" s="2131"/>
      <c r="E152" s="2131"/>
      <c r="F152" s="2119">
        <v>0.05</v>
      </c>
    </row>
    <row r="153" spans="1:6" ht="14.25" thickBot="1">
      <c r="A153" s="1529" t="s">
        <v>200</v>
      </c>
      <c r="B153" s="1523" t="s">
        <v>2172</v>
      </c>
      <c r="C153" s="2131"/>
      <c r="D153" s="2131"/>
      <c r="E153" s="2131"/>
      <c r="F153" s="2119">
        <v>0.05</v>
      </c>
    </row>
    <row r="154" spans="1:6" ht="14.25" thickBot="1">
      <c r="A154" s="1529" t="s">
        <v>200</v>
      </c>
      <c r="B154" s="1523" t="s">
        <v>2173</v>
      </c>
      <c r="C154" s="2131"/>
      <c r="D154" s="2131"/>
      <c r="E154" s="2131"/>
      <c r="F154" s="2119">
        <v>0.05</v>
      </c>
    </row>
    <row r="155" spans="1:6" ht="24.75" thickBot="1">
      <c r="A155" s="1529" t="s">
        <v>200</v>
      </c>
      <c r="B155" s="1523" t="s">
        <v>2174</v>
      </c>
      <c r="C155" s="2131"/>
      <c r="D155" s="2131"/>
      <c r="E155" s="2131"/>
      <c r="F155" s="2119">
        <v>0.05</v>
      </c>
    </row>
    <row r="156" spans="1:6" ht="24.75" thickBot="1">
      <c r="A156" s="1529" t="s">
        <v>200</v>
      </c>
      <c r="B156" s="1523" t="s">
        <v>2175</v>
      </c>
      <c r="C156" s="2131"/>
      <c r="D156" s="2131"/>
      <c r="E156" s="2131"/>
      <c r="F156" s="2119">
        <v>0.05</v>
      </c>
    </row>
    <row r="157" spans="1:6" ht="14.25" thickBot="1">
      <c r="A157" s="1539" t="s">
        <v>200</v>
      </c>
      <c r="B157" s="1535" t="s">
        <v>2176</v>
      </c>
      <c r="C157" s="2128"/>
      <c r="D157" s="2128"/>
      <c r="E157" s="2128"/>
      <c r="F157" s="2121">
        <v>0.05</v>
      </c>
    </row>
    <row r="158" spans="1:6" ht="14.25" thickBot="1">
      <c r="A158" s="1529" t="s">
        <v>1534</v>
      </c>
      <c r="B158" s="1530" t="s">
        <v>2177</v>
      </c>
      <c r="C158" s="2116">
        <v>0.13</v>
      </c>
      <c r="D158" s="2116">
        <v>0.13</v>
      </c>
      <c r="E158" s="2116">
        <v>0.13</v>
      </c>
      <c r="F158" s="2117">
        <v>0.13</v>
      </c>
    </row>
    <row r="159" spans="1:6" ht="14.25" thickBot="1">
      <c r="A159" s="1529" t="s">
        <v>1534</v>
      </c>
      <c r="B159" s="1523" t="s">
        <v>1201</v>
      </c>
      <c r="C159" s="2118">
        <v>0.13</v>
      </c>
      <c r="D159" s="2118">
        <v>0.13</v>
      </c>
      <c r="E159" s="2118">
        <v>0.13</v>
      </c>
      <c r="F159" s="2119">
        <v>0.13</v>
      </c>
    </row>
    <row r="160" spans="1:6" ht="14.25" thickBot="1">
      <c r="A160" s="1529" t="s">
        <v>1534</v>
      </c>
      <c r="B160" s="1523" t="s">
        <v>1214</v>
      </c>
      <c r="C160" s="2118">
        <v>0.13</v>
      </c>
      <c r="D160" s="2118">
        <v>0.13</v>
      </c>
      <c r="E160" s="2118">
        <v>0.129</v>
      </c>
      <c r="F160" s="2119">
        <v>0.13</v>
      </c>
    </row>
    <row r="161" spans="1:6" ht="14.25" thickBot="1">
      <c r="A161" s="1529" t="s">
        <v>1534</v>
      </c>
      <c r="B161" s="1523" t="s">
        <v>1227</v>
      </c>
      <c r="C161" s="2118">
        <v>0.128</v>
      </c>
      <c r="D161" s="2118">
        <v>0.128</v>
      </c>
      <c r="E161" s="2118">
        <v>0.125</v>
      </c>
      <c r="F161" s="2119">
        <v>0.13</v>
      </c>
    </row>
    <row r="162" spans="1:6" ht="14.25" thickBot="1">
      <c r="A162" s="1529" t="s">
        <v>1534</v>
      </c>
      <c r="B162" s="1523" t="s">
        <v>1239</v>
      </c>
      <c r="C162" s="2118">
        <v>0.122</v>
      </c>
      <c r="D162" s="2118">
        <v>0.122</v>
      </c>
      <c r="E162" s="2118">
        <v>0.126</v>
      </c>
      <c r="F162" s="2119">
        <v>0.122</v>
      </c>
    </row>
    <row r="163" spans="1:6" ht="14.25" thickBot="1">
      <c r="A163" s="1529" t="s">
        <v>1534</v>
      </c>
      <c r="B163" s="1523" t="s">
        <v>1250</v>
      </c>
      <c r="C163" s="2118">
        <v>0.13</v>
      </c>
      <c r="D163" s="2118">
        <v>0.13</v>
      </c>
      <c r="E163" s="2118">
        <v>0.125</v>
      </c>
      <c r="F163" s="2119">
        <v>0.13</v>
      </c>
    </row>
    <row r="164" spans="1:6" ht="14.25" thickBot="1">
      <c r="A164" s="1529" t="s">
        <v>1534</v>
      </c>
      <c r="B164" s="1523" t="s">
        <v>1261</v>
      </c>
      <c r="C164" s="2118">
        <v>0.13</v>
      </c>
      <c r="D164" s="2118">
        <v>0.13</v>
      </c>
      <c r="E164" s="2118">
        <v>0.13</v>
      </c>
      <c r="F164" s="2119">
        <v>0.13</v>
      </c>
    </row>
    <row r="165" spans="1:6" ht="14.25" thickBot="1">
      <c r="A165" s="1529" t="s">
        <v>1534</v>
      </c>
      <c r="B165" s="1523" t="s">
        <v>1272</v>
      </c>
      <c r="C165" s="2118">
        <v>0.13</v>
      </c>
      <c r="D165" s="2118">
        <v>0.13</v>
      </c>
      <c r="E165" s="2118">
        <v>0.124</v>
      </c>
      <c r="F165" s="2119">
        <v>0.13</v>
      </c>
    </row>
    <row r="166" spans="1:6" ht="14.25" thickBot="1">
      <c r="A166" s="1529" t="s">
        <v>1534</v>
      </c>
      <c r="B166" s="1523" t="s">
        <v>1284</v>
      </c>
      <c r="C166" s="2118">
        <v>0.13</v>
      </c>
      <c r="D166" s="2118">
        <v>0.13</v>
      </c>
      <c r="E166" s="2118">
        <v>0.13</v>
      </c>
      <c r="F166" s="2119">
        <v>0.13</v>
      </c>
    </row>
    <row r="167" spans="1:6" ht="14.25" thickBot="1">
      <c r="A167" s="1529" t="s">
        <v>1534</v>
      </c>
      <c r="B167" s="1523" t="s">
        <v>1294</v>
      </c>
      <c r="C167" s="2118">
        <v>0.125</v>
      </c>
      <c r="D167" s="2118">
        <v>0.125</v>
      </c>
      <c r="E167" s="2118">
        <v>0.121</v>
      </c>
      <c r="F167" s="2130"/>
    </row>
    <row r="168" spans="1:6" ht="14.25" thickBot="1">
      <c r="A168" s="1529" t="s">
        <v>1534</v>
      </c>
      <c r="B168" s="1523" t="s">
        <v>1304</v>
      </c>
      <c r="C168" s="2118">
        <v>0.13</v>
      </c>
      <c r="D168" s="2118">
        <v>0.13</v>
      </c>
      <c r="E168" s="2118">
        <v>0.126</v>
      </c>
      <c r="F168" s="2130"/>
    </row>
    <row r="169" spans="1:6" ht="14.25" thickBot="1">
      <c r="A169" s="1529" t="s">
        <v>1534</v>
      </c>
      <c r="B169" s="1523" t="s">
        <v>1314</v>
      </c>
      <c r="C169" s="2118">
        <v>0.128</v>
      </c>
      <c r="D169" s="2118">
        <v>0.129</v>
      </c>
      <c r="E169" s="2118">
        <v>0.13</v>
      </c>
      <c r="F169" s="2130"/>
    </row>
    <row r="170" spans="1:6" ht="14.25" thickBot="1">
      <c r="A170" s="1529" t="s">
        <v>1534</v>
      </c>
      <c r="B170" s="1523" t="s">
        <v>1324</v>
      </c>
      <c r="C170" s="2118">
        <v>0.14099999999999999</v>
      </c>
      <c r="D170" s="2118">
        <v>0.13</v>
      </c>
      <c r="E170" s="2118">
        <v>0.125</v>
      </c>
      <c r="F170" s="2130"/>
    </row>
    <row r="171" spans="1:6" ht="14.25" thickBot="1">
      <c r="A171" s="1529" t="s">
        <v>1534</v>
      </c>
      <c r="B171" s="1523" t="s">
        <v>2178</v>
      </c>
      <c r="C171" s="2118">
        <v>0.127</v>
      </c>
      <c r="D171" s="2118">
        <v>0.126</v>
      </c>
      <c r="E171" s="2118">
        <v>0.126</v>
      </c>
      <c r="F171" s="2119">
        <v>0.11799999999999999</v>
      </c>
    </row>
    <row r="172" spans="1:6" ht="14.25" thickBot="1">
      <c r="A172" s="1529" t="s">
        <v>1534</v>
      </c>
      <c r="B172" s="1523" t="s">
        <v>2179</v>
      </c>
      <c r="C172" s="2118">
        <v>0.13</v>
      </c>
      <c r="D172" s="2118">
        <v>0.13</v>
      </c>
      <c r="E172" s="2118">
        <v>0.13</v>
      </c>
      <c r="F172" s="2130"/>
    </row>
    <row r="173" spans="1:6" ht="14.25" thickBot="1">
      <c r="A173" s="1529" t="s">
        <v>1534</v>
      </c>
      <c r="B173" s="1523" t="s">
        <v>1356</v>
      </c>
      <c r="C173" s="2118">
        <v>0.13</v>
      </c>
      <c r="D173" s="2118">
        <v>0.13</v>
      </c>
      <c r="E173" s="2118">
        <v>0.13</v>
      </c>
      <c r="F173" s="2130"/>
    </row>
    <row r="174" spans="1:6" ht="14.25" thickBot="1">
      <c r="A174" s="1529" t="s">
        <v>1534</v>
      </c>
      <c r="B174" s="1523" t="s">
        <v>2180</v>
      </c>
      <c r="C174" s="2118">
        <v>0.13</v>
      </c>
      <c r="D174" s="2118">
        <v>0.13</v>
      </c>
      <c r="E174" s="2118">
        <v>0.13</v>
      </c>
      <c r="F174" s="2119">
        <v>0.13</v>
      </c>
    </row>
    <row r="175" spans="1:6" ht="14.25" thickBot="1">
      <c r="A175" s="1529" t="s">
        <v>1534</v>
      </c>
      <c r="B175" s="1523" t="s">
        <v>2181</v>
      </c>
      <c r="C175" s="2118">
        <v>0.13</v>
      </c>
      <c r="D175" s="2118">
        <v>0.13</v>
      </c>
      <c r="E175" s="2118">
        <v>0.13</v>
      </c>
      <c r="F175" s="2119">
        <v>0.13</v>
      </c>
    </row>
    <row r="176" spans="1:6" ht="14.25" thickBot="1">
      <c r="A176" s="1529" t="s">
        <v>1534</v>
      </c>
      <c r="B176" s="1523" t="s">
        <v>1386</v>
      </c>
      <c r="C176" s="2118">
        <v>0.13</v>
      </c>
      <c r="D176" s="2118">
        <v>0.13</v>
      </c>
      <c r="E176" s="2118">
        <v>0.13</v>
      </c>
      <c r="F176" s="2119">
        <v>0.13</v>
      </c>
    </row>
    <row r="177" spans="1:6" ht="14.25" thickBot="1">
      <c r="A177" s="1529" t="s">
        <v>1534</v>
      </c>
      <c r="B177" s="1523" t="s">
        <v>2182</v>
      </c>
      <c r="C177" s="2118">
        <v>0.13</v>
      </c>
      <c r="D177" s="2118">
        <v>0.13</v>
      </c>
      <c r="E177" s="2118">
        <v>0.13</v>
      </c>
      <c r="F177" s="2119">
        <v>0.13</v>
      </c>
    </row>
    <row r="178" spans="1:6" ht="14.25" thickBot="1">
      <c r="A178" s="1529" t="s">
        <v>1534</v>
      </c>
      <c r="B178" s="1523" t="s">
        <v>1404</v>
      </c>
      <c r="C178" s="2118">
        <v>0.13</v>
      </c>
      <c r="D178" s="2118">
        <v>0.13</v>
      </c>
      <c r="E178" s="2118">
        <v>0.13</v>
      </c>
      <c r="F178" s="2119">
        <v>0.127</v>
      </c>
    </row>
    <row r="179" spans="1:6" ht="14.25" thickBot="1">
      <c r="A179" s="1529" t="s">
        <v>1534</v>
      </c>
      <c r="B179" s="1523" t="s">
        <v>1412</v>
      </c>
      <c r="C179" s="2118">
        <v>0.13</v>
      </c>
      <c r="D179" s="2118">
        <v>0.13</v>
      </c>
      <c r="E179" s="2118">
        <v>0.13</v>
      </c>
      <c r="F179" s="2130"/>
    </row>
    <row r="180" spans="1:6" ht="14.25" thickBot="1">
      <c r="A180" s="1529" t="s">
        <v>1534</v>
      </c>
      <c r="B180" s="1523" t="s">
        <v>2183</v>
      </c>
      <c r="C180" s="2118">
        <v>0.13</v>
      </c>
      <c r="D180" s="2118">
        <v>0.13</v>
      </c>
      <c r="E180" s="2118">
        <v>0.125</v>
      </c>
      <c r="F180" s="2119">
        <v>0.13</v>
      </c>
    </row>
    <row r="181" spans="1:6" ht="14.25" thickBot="1">
      <c r="A181" s="1529" t="s">
        <v>1534</v>
      </c>
      <c r="B181" s="1523" t="s">
        <v>1426</v>
      </c>
      <c r="C181" s="2118">
        <v>0.122</v>
      </c>
      <c r="D181" s="2118">
        <v>0.123</v>
      </c>
      <c r="E181" s="2118">
        <v>0.126</v>
      </c>
      <c r="F181" s="2119">
        <v>0.121</v>
      </c>
    </row>
    <row r="182" spans="1:6" ht="14.25" thickBot="1">
      <c r="A182" s="1529" t="s">
        <v>1534</v>
      </c>
      <c r="B182" s="1523" t="s">
        <v>1433</v>
      </c>
      <c r="C182" s="2118">
        <v>0.125</v>
      </c>
      <c r="D182" s="2118">
        <v>0.125</v>
      </c>
      <c r="E182" s="2118">
        <v>0.11700000000000001</v>
      </c>
      <c r="F182" s="2119">
        <v>0.13</v>
      </c>
    </row>
    <row r="183" spans="1:6" ht="14.25" thickBot="1">
      <c r="A183" s="1529" t="s">
        <v>1534</v>
      </c>
      <c r="B183" s="1523" t="s">
        <v>1440</v>
      </c>
      <c r="C183" s="2118">
        <v>0.127</v>
      </c>
      <c r="D183" s="2118">
        <v>0.127</v>
      </c>
      <c r="E183" s="2118">
        <v>0.128</v>
      </c>
      <c r="F183" s="2130"/>
    </row>
    <row r="184" spans="1:6" ht="14.25" thickBot="1">
      <c r="A184" s="1529" t="s">
        <v>1534</v>
      </c>
      <c r="B184" s="1523" t="s">
        <v>1447</v>
      </c>
      <c r="C184" s="2118">
        <v>0.125</v>
      </c>
      <c r="D184" s="2118">
        <v>0.125</v>
      </c>
      <c r="E184" s="2118">
        <v>0.127</v>
      </c>
      <c r="F184" s="2130"/>
    </row>
    <row r="185" spans="1:6" ht="14.25" thickBot="1">
      <c r="A185" s="1529" t="s">
        <v>1534</v>
      </c>
      <c r="B185" s="1523" t="s">
        <v>2184</v>
      </c>
      <c r="C185" s="2118">
        <v>0.127</v>
      </c>
      <c r="D185" s="2118">
        <v>0.127</v>
      </c>
      <c r="E185" s="2118">
        <v>0.128</v>
      </c>
      <c r="F185" s="2119">
        <v>0.13</v>
      </c>
    </row>
    <row r="186" spans="1:6" ht="24.75" thickBot="1">
      <c r="A186" s="1529" t="s">
        <v>1534</v>
      </c>
      <c r="B186" s="1523" t="s">
        <v>2185</v>
      </c>
      <c r="C186" s="2131"/>
      <c r="D186" s="2131"/>
      <c r="E186" s="2131"/>
      <c r="F186" s="2119">
        <v>0.05</v>
      </c>
    </row>
    <row r="187" spans="1:6" ht="14.25" thickBot="1">
      <c r="A187" s="1529" t="s">
        <v>1534</v>
      </c>
      <c r="B187" s="1523" t="s">
        <v>2186</v>
      </c>
      <c r="C187" s="2131"/>
      <c r="D187" s="2131"/>
      <c r="E187" s="2131"/>
      <c r="F187" s="2119">
        <v>0.05</v>
      </c>
    </row>
    <row r="188" spans="1:6" ht="14.25" thickBot="1">
      <c r="A188" s="1529" t="s">
        <v>1534</v>
      </c>
      <c r="B188" s="1523" t="s">
        <v>2187</v>
      </c>
      <c r="C188" s="2131"/>
      <c r="D188" s="2131"/>
      <c r="E188" s="2131"/>
      <c r="F188" s="2119">
        <v>0.05</v>
      </c>
    </row>
    <row r="189" spans="1:6" ht="24.75" thickBot="1">
      <c r="A189" s="1529" t="s">
        <v>1534</v>
      </c>
      <c r="B189" s="1523" t="s">
        <v>2188</v>
      </c>
      <c r="C189" s="2131"/>
      <c r="D189" s="2131"/>
      <c r="E189" s="2131"/>
      <c r="F189" s="2119">
        <v>0.05</v>
      </c>
    </row>
    <row r="190" spans="1:6" ht="24.75" thickBot="1">
      <c r="A190" s="1529" t="s">
        <v>1534</v>
      </c>
      <c r="B190" s="1523" t="s">
        <v>2189</v>
      </c>
      <c r="C190" s="2131"/>
      <c r="D190" s="2131"/>
      <c r="E190" s="2131"/>
      <c r="F190" s="2119">
        <v>0.05</v>
      </c>
    </row>
    <row r="191" spans="1:6" ht="24.75" thickBot="1">
      <c r="A191" s="1529" t="s">
        <v>1534</v>
      </c>
      <c r="B191" s="1523" t="s">
        <v>2190</v>
      </c>
      <c r="C191" s="2131"/>
      <c r="D191" s="2131"/>
      <c r="E191" s="2131"/>
      <c r="F191" s="2119">
        <v>0.05</v>
      </c>
    </row>
    <row r="192" spans="1:6" ht="24.75" thickBot="1">
      <c r="A192" s="1529" t="s">
        <v>1534</v>
      </c>
      <c r="B192" s="1523" t="s">
        <v>2191</v>
      </c>
      <c r="C192" s="2131"/>
      <c r="D192" s="2131"/>
      <c r="E192" s="2131"/>
      <c r="F192" s="2119">
        <v>0.05</v>
      </c>
    </row>
    <row r="193" spans="1:6" ht="24.75" thickBot="1">
      <c r="A193" s="1529" t="s">
        <v>1534</v>
      </c>
      <c r="B193" s="1523" t="s">
        <v>2192</v>
      </c>
      <c r="C193" s="2131"/>
      <c r="D193" s="2131"/>
      <c r="E193" s="2131"/>
      <c r="F193" s="2119">
        <v>0.05</v>
      </c>
    </row>
    <row r="194" spans="1:6" ht="24.75" thickBot="1">
      <c r="A194" s="1529" t="s">
        <v>1534</v>
      </c>
      <c r="B194" s="1523" t="s">
        <v>2193</v>
      </c>
      <c r="C194" s="2131"/>
      <c r="D194" s="2131"/>
      <c r="E194" s="2131"/>
      <c r="F194" s="2119">
        <v>0.05</v>
      </c>
    </row>
    <row r="195" spans="1:6" ht="14.25" thickBot="1">
      <c r="A195" s="1529" t="s">
        <v>1534</v>
      </c>
      <c r="B195" s="1523" t="s">
        <v>2194</v>
      </c>
      <c r="C195" s="2131"/>
      <c r="D195" s="2131"/>
      <c r="E195" s="2131"/>
      <c r="F195" s="2119">
        <v>0.05</v>
      </c>
    </row>
    <row r="196" spans="1:6" ht="24.75" thickBot="1">
      <c r="A196" s="1529" t="s">
        <v>1534</v>
      </c>
      <c r="B196" s="1523" t="s">
        <v>2195</v>
      </c>
      <c r="C196" s="2131"/>
      <c r="D196" s="2131"/>
      <c r="E196" s="2131"/>
      <c r="F196" s="2119">
        <v>0.05</v>
      </c>
    </row>
    <row r="197" spans="1:6" ht="24.75" thickBot="1">
      <c r="A197" s="1529" t="s">
        <v>1534</v>
      </c>
      <c r="B197" s="1523" t="s">
        <v>2196</v>
      </c>
      <c r="C197" s="2131"/>
      <c r="D197" s="2131"/>
      <c r="E197" s="2131"/>
      <c r="F197" s="2119">
        <v>0.05</v>
      </c>
    </row>
    <row r="198" spans="1:6" ht="24.75" thickBot="1">
      <c r="A198" s="1529" t="s">
        <v>1534</v>
      </c>
      <c r="B198" s="1523" t="s">
        <v>2197</v>
      </c>
      <c r="C198" s="2131"/>
      <c r="D198" s="2131"/>
      <c r="E198" s="2131"/>
      <c r="F198" s="2119">
        <v>0.05</v>
      </c>
    </row>
    <row r="199" spans="1:6" ht="24.75" thickBot="1">
      <c r="A199" s="1529" t="s">
        <v>1534</v>
      </c>
      <c r="B199" s="1523" t="s">
        <v>2198</v>
      </c>
      <c r="C199" s="2131"/>
      <c r="D199" s="2131"/>
      <c r="E199" s="2131"/>
      <c r="F199" s="2119">
        <v>0.05</v>
      </c>
    </row>
    <row r="200" spans="1:6" ht="24.75" thickBot="1">
      <c r="A200" s="1529" t="s">
        <v>1534</v>
      </c>
      <c r="B200" s="1523" t="s">
        <v>2199</v>
      </c>
      <c r="C200" s="2131"/>
      <c r="D200" s="2131"/>
      <c r="E200" s="2131"/>
      <c r="F200" s="2119">
        <v>0.05</v>
      </c>
    </row>
    <row r="201" spans="1:6" ht="24.75" thickBot="1">
      <c r="A201" s="1529" t="s">
        <v>1534</v>
      </c>
      <c r="B201" s="1523" t="s">
        <v>2200</v>
      </c>
      <c r="C201" s="2131"/>
      <c r="D201" s="2131"/>
      <c r="E201" s="2131"/>
      <c r="F201" s="2119">
        <v>0.05</v>
      </c>
    </row>
    <row r="202" spans="1:6" ht="24.75" thickBot="1">
      <c r="A202" s="1529" t="s">
        <v>1534</v>
      </c>
      <c r="B202" s="1523" t="s">
        <v>2201</v>
      </c>
      <c r="C202" s="2131"/>
      <c r="D202" s="2131"/>
      <c r="E202" s="2131"/>
      <c r="F202" s="2119">
        <v>0.05</v>
      </c>
    </row>
    <row r="203" spans="1:6" ht="24.75" thickBot="1">
      <c r="A203" s="1529" t="s">
        <v>1534</v>
      </c>
      <c r="B203" s="1523" t="s">
        <v>2202</v>
      </c>
      <c r="C203" s="2131"/>
      <c r="D203" s="2131"/>
      <c r="E203" s="2131"/>
      <c r="F203" s="2119">
        <v>0.05</v>
      </c>
    </row>
    <row r="204" spans="1:6" ht="14.25" thickBot="1">
      <c r="A204" s="1529" t="s">
        <v>1534</v>
      </c>
      <c r="B204" s="1523" t="s">
        <v>2203</v>
      </c>
      <c r="C204" s="2131"/>
      <c r="D204" s="2131"/>
      <c r="E204" s="2131"/>
      <c r="F204" s="2119">
        <v>0.05</v>
      </c>
    </row>
    <row r="205" spans="1:6" ht="14.25" thickBot="1">
      <c r="A205" s="1539" t="s">
        <v>1534</v>
      </c>
      <c r="B205" s="1535" t="s">
        <v>2204</v>
      </c>
      <c r="C205" s="2128"/>
      <c r="D205" s="2128"/>
      <c r="E205" s="2128"/>
      <c r="F205" s="2121">
        <v>0.05</v>
      </c>
    </row>
    <row r="206" spans="1:6" ht="14.25" thickBot="1">
      <c r="A206" s="1529" t="s">
        <v>1536</v>
      </c>
      <c r="B206" s="1530" t="s">
        <v>2205</v>
      </c>
      <c r="C206" s="2116">
        <v>0.15</v>
      </c>
      <c r="D206" s="2116">
        <v>0.15</v>
      </c>
      <c r="E206" s="2116">
        <v>0.15</v>
      </c>
      <c r="F206" s="2117">
        <v>0.15</v>
      </c>
    </row>
    <row r="207" spans="1:6" ht="14.25" thickBot="1">
      <c r="A207" s="1529" t="s">
        <v>1536</v>
      </c>
      <c r="B207" s="1523" t="s">
        <v>1202</v>
      </c>
      <c r="C207" s="2118">
        <v>0.15</v>
      </c>
      <c r="D207" s="2118">
        <v>0.15</v>
      </c>
      <c r="E207" s="2118">
        <v>0.15</v>
      </c>
      <c r="F207" s="2119">
        <v>0.14399999999999999</v>
      </c>
    </row>
    <row r="208" spans="1:6" ht="14.25" thickBot="1">
      <c r="A208" s="1529" t="s">
        <v>1536</v>
      </c>
      <c r="B208" s="1523" t="s">
        <v>1215</v>
      </c>
      <c r="C208" s="2118">
        <v>0.15</v>
      </c>
      <c r="D208" s="2118">
        <v>0.15</v>
      </c>
      <c r="E208" s="2118">
        <v>0.15</v>
      </c>
      <c r="F208" s="2119">
        <v>0.15</v>
      </c>
    </row>
    <row r="209" spans="1:6" ht="14.25" thickBot="1">
      <c r="A209" s="1529" t="s">
        <v>1536</v>
      </c>
      <c r="B209" s="1523" t="s">
        <v>1228</v>
      </c>
      <c r="C209" s="2118">
        <v>0.13700000000000001</v>
      </c>
      <c r="D209" s="2118">
        <v>0.13700000000000001</v>
      </c>
      <c r="E209" s="2118">
        <v>0.14000000000000001</v>
      </c>
      <c r="F209" s="2119">
        <v>0.11700000000000001</v>
      </c>
    </row>
    <row r="210" spans="1:6" ht="14.25" thickBot="1">
      <c r="A210" s="1529" t="s">
        <v>1536</v>
      </c>
      <c r="B210" s="1523" t="s">
        <v>2206</v>
      </c>
      <c r="C210" s="2118">
        <v>0.15</v>
      </c>
      <c r="D210" s="2118">
        <v>0.15</v>
      </c>
      <c r="E210" s="2118">
        <v>0.15</v>
      </c>
      <c r="F210" s="2119">
        <v>0.13800000000000001</v>
      </c>
    </row>
    <row r="211" spans="1:6" ht="14.25" thickBot="1">
      <c r="A211" s="1529" t="s">
        <v>1536</v>
      </c>
      <c r="B211" s="1523" t="s">
        <v>2207</v>
      </c>
      <c r="C211" s="2118">
        <v>0.13700000000000001</v>
      </c>
      <c r="D211" s="2118">
        <v>0.13500000000000001</v>
      </c>
      <c r="E211" s="2118">
        <v>0.13600000000000001</v>
      </c>
      <c r="F211" s="2119">
        <v>0.1</v>
      </c>
    </row>
    <row r="212" spans="1:6" ht="14.25" thickBot="1">
      <c r="A212" s="1529" t="s">
        <v>1536</v>
      </c>
      <c r="B212" s="1523" t="s">
        <v>2208</v>
      </c>
      <c r="C212" s="2118">
        <v>0.15</v>
      </c>
      <c r="D212" s="2118">
        <v>0.15</v>
      </c>
      <c r="E212" s="2118">
        <v>0.14799999999999999</v>
      </c>
      <c r="F212" s="2119">
        <v>0.13600000000000001</v>
      </c>
    </row>
    <row r="213" spans="1:6" ht="14.25" thickBot="1">
      <c r="A213" s="1529" t="s">
        <v>1536</v>
      </c>
      <c r="B213" s="1523" t="s">
        <v>1273</v>
      </c>
      <c r="C213" s="2118">
        <v>0.15</v>
      </c>
      <c r="D213" s="2118">
        <v>0.15</v>
      </c>
      <c r="E213" s="2118">
        <v>0.15</v>
      </c>
      <c r="F213" s="2119">
        <v>0.13800000000000001</v>
      </c>
    </row>
    <row r="214" spans="1:6" ht="14.25" thickBot="1">
      <c r="A214" s="1529" t="s">
        <v>1536</v>
      </c>
      <c r="B214" s="1523" t="s">
        <v>1285</v>
      </c>
      <c r="C214" s="2118">
        <v>9.0999999999999998E-2</v>
      </c>
      <c r="D214" s="2118">
        <v>0.09</v>
      </c>
      <c r="E214" s="2118">
        <v>9.1999999999999998E-2</v>
      </c>
      <c r="F214" s="2130"/>
    </row>
    <row r="215" spans="1:6" ht="14.25" thickBot="1">
      <c r="A215" s="1529" t="s">
        <v>1536</v>
      </c>
      <c r="B215" s="1523" t="s">
        <v>2209</v>
      </c>
      <c r="C215" s="2118">
        <v>0.15</v>
      </c>
      <c r="D215" s="2118">
        <v>0.15</v>
      </c>
      <c r="E215" s="2118">
        <v>0.15</v>
      </c>
      <c r="F215" s="2119">
        <v>0.15</v>
      </c>
    </row>
    <row r="216" spans="1:6" ht="14.25" thickBot="1">
      <c r="A216" s="1529" t="s">
        <v>1536</v>
      </c>
      <c r="B216" s="1523" t="s">
        <v>1305</v>
      </c>
      <c r="C216" s="2118">
        <v>0.14699999999999999</v>
      </c>
      <c r="D216" s="2118">
        <v>0.14699999999999999</v>
      </c>
      <c r="E216" s="2118">
        <v>0.15</v>
      </c>
      <c r="F216" s="2119">
        <v>0.14000000000000001</v>
      </c>
    </row>
    <row r="217" spans="1:6" ht="14.25" thickBot="1">
      <c r="A217" s="1529" t="s">
        <v>1536</v>
      </c>
      <c r="B217" s="1523" t="s">
        <v>1315</v>
      </c>
      <c r="C217" s="2118">
        <v>0.15</v>
      </c>
      <c r="D217" s="2118">
        <v>0.15</v>
      </c>
      <c r="E217" s="2118">
        <v>0.15</v>
      </c>
      <c r="F217" s="2119">
        <v>0.15</v>
      </c>
    </row>
    <row r="218" spans="1:6" ht="14.25" thickBot="1">
      <c r="A218" s="1529" t="s">
        <v>1536</v>
      </c>
      <c r="B218" s="1523" t="s">
        <v>2210</v>
      </c>
      <c r="C218" s="2118">
        <v>0.15</v>
      </c>
      <c r="D218" s="2118">
        <v>0.15</v>
      </c>
      <c r="E218" s="2118">
        <v>0.15</v>
      </c>
      <c r="F218" s="2119">
        <v>0.15</v>
      </c>
    </row>
    <row r="219" spans="1:6" ht="14.25" thickBot="1">
      <c r="A219" s="1529" t="s">
        <v>1536</v>
      </c>
      <c r="B219" s="1523" t="s">
        <v>1336</v>
      </c>
      <c r="C219" s="2118">
        <v>0.15</v>
      </c>
      <c r="D219" s="2118">
        <v>0.15</v>
      </c>
      <c r="E219" s="2118">
        <v>0.15</v>
      </c>
      <c r="F219" s="2119">
        <v>0.14799999999999999</v>
      </c>
    </row>
    <row r="220" spans="1:6" ht="14.25" thickBot="1">
      <c r="A220" s="1529" t="s">
        <v>1536</v>
      </c>
      <c r="B220" s="1523" t="s">
        <v>2211</v>
      </c>
      <c r="C220" s="2118">
        <v>0.15</v>
      </c>
      <c r="D220" s="2118">
        <v>0.15</v>
      </c>
      <c r="E220" s="2118">
        <v>0.15</v>
      </c>
      <c r="F220" s="2119">
        <v>0.15</v>
      </c>
    </row>
    <row r="221" spans="1:6" ht="14.25" thickBot="1">
      <c r="A221" s="1529" t="s">
        <v>1536</v>
      </c>
      <c r="B221" s="1523" t="s">
        <v>1357</v>
      </c>
      <c r="C221" s="2118"/>
      <c r="D221" s="2131"/>
      <c r="E221" s="2131"/>
      <c r="F221" s="2119">
        <v>0.14799999999999999</v>
      </c>
    </row>
    <row r="222" spans="1:6" ht="14.25" thickBot="1">
      <c r="A222" s="1529" t="s">
        <v>1536</v>
      </c>
      <c r="B222" s="1523" t="s">
        <v>1367</v>
      </c>
      <c r="C222" s="2118"/>
      <c r="D222" s="2131"/>
      <c r="E222" s="2131"/>
      <c r="F222" s="2119">
        <v>0.1</v>
      </c>
    </row>
    <row r="223" spans="1:6" ht="14.25" thickBot="1">
      <c r="A223" s="1529" t="s">
        <v>1536</v>
      </c>
      <c r="B223" s="1523" t="s">
        <v>1377</v>
      </c>
      <c r="C223" s="2118"/>
      <c r="D223" s="2131"/>
      <c r="E223" s="2131"/>
      <c r="F223" s="2119">
        <v>0.15</v>
      </c>
    </row>
    <row r="224" spans="1:6" ht="14.25" thickBot="1">
      <c r="A224" s="1529" t="s">
        <v>1536</v>
      </c>
      <c r="B224" s="1523" t="s">
        <v>1387</v>
      </c>
      <c r="C224" s="2118"/>
      <c r="D224" s="2131"/>
      <c r="E224" s="2131"/>
      <c r="F224" s="2119">
        <v>0.15</v>
      </c>
    </row>
    <row r="225" spans="1:6" ht="14.25" thickBot="1">
      <c r="A225" s="1529" t="s">
        <v>1536</v>
      </c>
      <c r="B225" s="1523" t="s">
        <v>2212</v>
      </c>
      <c r="C225" s="2118">
        <v>0.15</v>
      </c>
      <c r="D225" s="2118">
        <v>0.15</v>
      </c>
      <c r="E225" s="2118">
        <v>0.15</v>
      </c>
      <c r="F225" s="2119">
        <v>0.15</v>
      </c>
    </row>
    <row r="226" spans="1:6" ht="14.25" thickBot="1">
      <c r="A226" s="1529" t="s">
        <v>1536</v>
      </c>
      <c r="B226" s="1523" t="s">
        <v>1405</v>
      </c>
      <c r="C226" s="2118">
        <v>0.15</v>
      </c>
      <c r="D226" s="2118">
        <v>0.15</v>
      </c>
      <c r="E226" s="2118">
        <v>0.15</v>
      </c>
      <c r="F226" s="2119">
        <v>0.14799999999999999</v>
      </c>
    </row>
    <row r="227" spans="1:6" ht="14.25" thickBot="1">
      <c r="A227" s="1529" t="s">
        <v>1536</v>
      </c>
      <c r="B227" s="1523" t="s">
        <v>2213</v>
      </c>
      <c r="C227" s="2118">
        <v>0.15</v>
      </c>
      <c r="D227" s="2118">
        <v>0.15</v>
      </c>
      <c r="E227" s="2118">
        <v>0.15</v>
      </c>
      <c r="F227" s="2119">
        <v>0.15</v>
      </c>
    </row>
    <row r="228" spans="1:6" ht="14.25" thickBot="1">
      <c r="A228" s="1529" t="s">
        <v>1536</v>
      </c>
      <c r="B228" s="1523" t="s">
        <v>1420</v>
      </c>
      <c r="C228" s="2118">
        <v>0.15</v>
      </c>
      <c r="D228" s="2118">
        <v>0.15</v>
      </c>
      <c r="E228" s="2118">
        <v>0.15</v>
      </c>
      <c r="F228" s="2119">
        <v>0.15</v>
      </c>
    </row>
    <row r="229" spans="1:6" ht="14.25" thickBot="1">
      <c r="A229" s="1529" t="s">
        <v>1536</v>
      </c>
      <c r="B229" s="1523" t="s">
        <v>1427</v>
      </c>
      <c r="C229" s="2118">
        <v>0.15</v>
      </c>
      <c r="D229" s="2118">
        <v>0.15</v>
      </c>
      <c r="E229" s="2118">
        <v>0.15</v>
      </c>
      <c r="F229" s="2130"/>
    </row>
    <row r="230" spans="1:6" ht="14.25" thickBot="1">
      <c r="A230" s="1529" t="s">
        <v>1536</v>
      </c>
      <c r="B230" s="1523" t="s">
        <v>1434</v>
      </c>
      <c r="C230" s="2118">
        <v>0.14499999999999999</v>
      </c>
      <c r="D230" s="2118">
        <v>0.14499999999999999</v>
      </c>
      <c r="E230" s="2118">
        <v>0.14399999999999999</v>
      </c>
      <c r="F230" s="2130"/>
    </row>
    <row r="231" spans="1:6" ht="14.25" thickBot="1">
      <c r="A231" s="1529" t="s">
        <v>1536</v>
      </c>
      <c r="B231" s="1523" t="s">
        <v>2214</v>
      </c>
      <c r="C231" s="2118">
        <v>0.128</v>
      </c>
      <c r="D231" s="2118">
        <v>0.125</v>
      </c>
      <c r="E231" s="2118">
        <v>0.13200000000000001</v>
      </c>
      <c r="F231" s="2130"/>
    </row>
    <row r="232" spans="1:6" ht="14.25" thickBot="1">
      <c r="A232" s="1529" t="s">
        <v>1536</v>
      </c>
      <c r="B232" s="1523" t="s">
        <v>2215</v>
      </c>
      <c r="C232" s="2118">
        <v>0.14499999999999999</v>
      </c>
      <c r="D232" s="2118">
        <v>0.14399999999999999</v>
      </c>
      <c r="E232" s="2118">
        <v>0.14599999999999999</v>
      </c>
      <c r="F232" s="2119">
        <v>0.13800000000000001</v>
      </c>
    </row>
    <row r="233" spans="1:6" ht="14.25" thickBot="1">
      <c r="A233" s="1529" t="s">
        <v>1536</v>
      </c>
      <c r="B233" s="1523" t="s">
        <v>2216</v>
      </c>
      <c r="C233" s="2118">
        <v>0.14499999999999999</v>
      </c>
      <c r="D233" s="2118">
        <v>0.14299999999999999</v>
      </c>
      <c r="E233" s="2118">
        <v>0.14199999999999999</v>
      </c>
      <c r="F233" s="2130"/>
    </row>
    <row r="234" spans="1:6" ht="14.25" thickBot="1">
      <c r="A234" s="1529" t="s">
        <v>1536</v>
      </c>
      <c r="B234" s="1523" t="s">
        <v>2217</v>
      </c>
      <c r="C234" s="2118">
        <v>0.14000000000000001</v>
      </c>
      <c r="D234" s="2118">
        <v>0.14000000000000001</v>
      </c>
      <c r="E234" s="2118">
        <v>0.14399999999999999</v>
      </c>
      <c r="F234" s="2130"/>
    </row>
    <row r="235" spans="1:6" ht="14.25" thickBot="1">
      <c r="A235" s="1529" t="s">
        <v>1536</v>
      </c>
      <c r="B235" s="1523" t="s">
        <v>2218</v>
      </c>
      <c r="C235" s="2118">
        <v>0.14099999999999999</v>
      </c>
      <c r="D235" s="2118">
        <v>0.14199999999999999</v>
      </c>
      <c r="E235" s="2118">
        <v>0.14499999999999999</v>
      </c>
      <c r="F235" s="2119">
        <v>0.15</v>
      </c>
    </row>
    <row r="236" spans="1:6" ht="14.25" thickBot="1">
      <c r="A236" s="1529" t="s">
        <v>1536</v>
      </c>
      <c r="B236" s="1523" t="s">
        <v>1469</v>
      </c>
      <c r="C236" s="2131"/>
      <c r="D236" s="2131"/>
      <c r="E236" s="2131"/>
      <c r="F236" s="2119">
        <v>0.14299999999999999</v>
      </c>
    </row>
    <row r="237" spans="1:6" ht="24.75" thickBot="1">
      <c r="A237" s="1529" t="s">
        <v>1536</v>
      </c>
      <c r="B237" s="1523" t="s">
        <v>2219</v>
      </c>
      <c r="C237" s="2131"/>
      <c r="D237" s="2131"/>
      <c r="E237" s="2131"/>
      <c r="F237" s="2119">
        <v>0.05</v>
      </c>
    </row>
    <row r="238" spans="1:6" ht="24.75" thickBot="1">
      <c r="A238" s="1529" t="s">
        <v>1536</v>
      </c>
      <c r="B238" s="1523" t="s">
        <v>2220</v>
      </c>
      <c r="C238" s="2131"/>
      <c r="D238" s="2131"/>
      <c r="E238" s="2131"/>
      <c r="F238" s="2119">
        <v>0.05</v>
      </c>
    </row>
    <row r="239" spans="1:6" ht="24.75" thickBot="1">
      <c r="A239" s="1529" t="s">
        <v>1536</v>
      </c>
      <c r="B239" s="1523" t="s">
        <v>2221</v>
      </c>
      <c r="C239" s="2131"/>
      <c r="D239" s="2131"/>
      <c r="E239" s="2131"/>
      <c r="F239" s="2119">
        <v>0.05</v>
      </c>
    </row>
    <row r="240" spans="1:6" ht="24.75" thickBot="1">
      <c r="A240" s="1529" t="s">
        <v>1536</v>
      </c>
      <c r="B240" s="1523" t="s">
        <v>2222</v>
      </c>
      <c r="C240" s="2131"/>
      <c r="D240" s="2131"/>
      <c r="E240" s="2131"/>
      <c r="F240" s="2119">
        <v>0.05</v>
      </c>
    </row>
    <row r="241" spans="1:6" ht="24.75" thickBot="1">
      <c r="A241" s="1529" t="s">
        <v>1536</v>
      </c>
      <c r="B241" s="1523" t="s">
        <v>2223</v>
      </c>
      <c r="C241" s="2131"/>
      <c r="D241" s="2131"/>
      <c r="E241" s="2131"/>
      <c r="F241" s="2119">
        <v>0.05</v>
      </c>
    </row>
    <row r="242" spans="1:6" ht="24.75" thickBot="1">
      <c r="A242" s="1529" t="s">
        <v>1536</v>
      </c>
      <c r="B242" s="1523" t="s">
        <v>2224</v>
      </c>
      <c r="C242" s="2131"/>
      <c r="D242" s="2131"/>
      <c r="E242" s="2131"/>
      <c r="F242" s="2119">
        <v>0.05</v>
      </c>
    </row>
    <row r="243" spans="1:6" ht="24.75" thickBot="1">
      <c r="A243" s="1529" t="s">
        <v>1536</v>
      </c>
      <c r="B243" s="1523" t="s">
        <v>2225</v>
      </c>
      <c r="C243" s="2131"/>
      <c r="D243" s="2131"/>
      <c r="E243" s="2131"/>
      <c r="F243" s="2119">
        <v>0.05</v>
      </c>
    </row>
    <row r="244" spans="1:6" ht="24.75" thickBot="1">
      <c r="A244" s="1539" t="s">
        <v>1536</v>
      </c>
      <c r="B244" s="1535" t="s">
        <v>2226</v>
      </c>
      <c r="C244" s="2128"/>
      <c r="D244" s="2128"/>
      <c r="E244" s="2128"/>
      <c r="F244" s="2121">
        <v>0.05</v>
      </c>
    </row>
    <row r="245" spans="1:6" ht="14.25" thickBot="1">
      <c r="A245" s="1529" t="s">
        <v>1538</v>
      </c>
      <c r="B245" s="1530" t="s">
        <v>2227</v>
      </c>
      <c r="C245" s="2116">
        <v>0.15</v>
      </c>
      <c r="D245" s="2116">
        <v>0.15</v>
      </c>
      <c r="E245" s="2116">
        <v>0.15</v>
      </c>
      <c r="F245" s="2117">
        <v>0.14299999999999999</v>
      </c>
    </row>
    <row r="246" spans="1:6" ht="14.25" thickBot="1">
      <c r="A246" s="1529" t="s">
        <v>1538</v>
      </c>
      <c r="B246" s="1523" t="s">
        <v>1203</v>
      </c>
      <c r="C246" s="2118">
        <v>0.15</v>
      </c>
      <c r="D246" s="2118">
        <v>0.15</v>
      </c>
      <c r="E246" s="2118">
        <v>0.15</v>
      </c>
      <c r="F246" s="2119">
        <v>0.114</v>
      </c>
    </row>
    <row r="247" spans="1:6" ht="14.25" thickBot="1">
      <c r="A247" s="1529" t="s">
        <v>1538</v>
      </c>
      <c r="B247" s="1523" t="s">
        <v>2228</v>
      </c>
      <c r="C247" s="2118">
        <v>0.15</v>
      </c>
      <c r="D247" s="2118">
        <v>0.15</v>
      </c>
      <c r="E247" s="2118">
        <v>0.15</v>
      </c>
      <c r="F247" s="2119">
        <v>0.15</v>
      </c>
    </row>
    <row r="248" spans="1:6" ht="14.25" thickBot="1">
      <c r="A248" s="1529" t="s">
        <v>1538</v>
      </c>
      <c r="B248" s="1523" t="s">
        <v>2229</v>
      </c>
      <c r="C248" s="2118">
        <v>0.15</v>
      </c>
      <c r="D248" s="2118">
        <v>0.15</v>
      </c>
      <c r="E248" s="2118">
        <v>0.15</v>
      </c>
      <c r="F248" s="2119">
        <v>0.14000000000000001</v>
      </c>
    </row>
    <row r="249" spans="1:6" ht="14.25" thickBot="1">
      <c r="A249" s="1529" t="s">
        <v>1538</v>
      </c>
      <c r="B249" s="1523" t="s">
        <v>2230</v>
      </c>
      <c r="C249" s="2118">
        <v>0.15</v>
      </c>
      <c r="D249" s="2118">
        <v>0.14899999999999999</v>
      </c>
      <c r="E249" s="2118">
        <v>0.15</v>
      </c>
      <c r="F249" s="2119">
        <v>0.1</v>
      </c>
    </row>
    <row r="250" spans="1:6" ht="14.25" thickBot="1">
      <c r="A250" s="1529" t="s">
        <v>1538</v>
      </c>
      <c r="B250" s="1523" t="s">
        <v>2231</v>
      </c>
      <c r="C250" s="2118">
        <v>0.15</v>
      </c>
      <c r="D250" s="2118">
        <v>0.15</v>
      </c>
      <c r="E250" s="2118">
        <v>0.15</v>
      </c>
      <c r="F250" s="2119">
        <v>0.14399999999999999</v>
      </c>
    </row>
    <row r="251" spans="1:6" ht="14.25" thickBot="1">
      <c r="A251" s="1529" t="s">
        <v>1538</v>
      </c>
      <c r="B251" s="1523" t="s">
        <v>1263</v>
      </c>
      <c r="C251" s="2118">
        <v>0.15</v>
      </c>
      <c r="D251" s="2118">
        <v>0.15</v>
      </c>
      <c r="E251" s="2118">
        <v>0.15</v>
      </c>
      <c r="F251" s="2119">
        <v>0.14299999999999999</v>
      </c>
    </row>
    <row r="252" spans="1:6" ht="14.25" thickBot="1">
      <c r="A252" s="1529" t="s">
        <v>1538</v>
      </c>
      <c r="B252" s="1523" t="s">
        <v>1274</v>
      </c>
      <c r="C252" s="2118">
        <v>0.15</v>
      </c>
      <c r="D252" s="2118">
        <v>0.15</v>
      </c>
      <c r="E252" s="2118">
        <v>0.15</v>
      </c>
      <c r="F252" s="2119">
        <v>0.1</v>
      </c>
    </row>
    <row r="253" spans="1:6" ht="14.25" thickBot="1">
      <c r="A253" s="1529" t="s">
        <v>1538</v>
      </c>
      <c r="B253" s="1523" t="s">
        <v>1286</v>
      </c>
      <c r="C253" s="2118">
        <v>0.15</v>
      </c>
      <c r="D253" s="2118">
        <v>0.15</v>
      </c>
      <c r="E253" s="2118">
        <v>0.15</v>
      </c>
      <c r="F253" s="2119">
        <v>0.1</v>
      </c>
    </row>
    <row r="254" spans="1:6" ht="14.25" thickBot="1">
      <c r="A254" s="1529" t="s">
        <v>1538</v>
      </c>
      <c r="B254" s="1523" t="s">
        <v>1296</v>
      </c>
      <c r="C254" s="2131"/>
      <c r="D254" s="2131"/>
      <c r="E254" s="2131"/>
      <c r="F254" s="2119">
        <v>0.15</v>
      </c>
    </row>
    <row r="255" spans="1:6" ht="14.25" thickBot="1">
      <c r="A255" s="1529" t="s">
        <v>1538</v>
      </c>
      <c r="B255" s="1523" t="s">
        <v>1306</v>
      </c>
      <c r="C255" s="2131"/>
      <c r="D255" s="2131"/>
      <c r="E255" s="2131"/>
      <c r="F255" s="2119">
        <v>0.14299999999999999</v>
      </c>
    </row>
    <row r="256" spans="1:6" ht="14.25" thickBot="1">
      <c r="A256" s="1529" t="s">
        <v>1538</v>
      </c>
      <c r="B256" s="1523" t="s">
        <v>2232</v>
      </c>
      <c r="C256" s="2118">
        <v>0.14599999999999999</v>
      </c>
      <c r="D256" s="2118">
        <v>0.14699999999999999</v>
      </c>
      <c r="E256" s="2118">
        <v>0.15</v>
      </c>
      <c r="F256" s="2119">
        <v>0.13200000000000001</v>
      </c>
    </row>
    <row r="257" spans="1:6" ht="14.25" thickBot="1">
      <c r="A257" s="1529" t="s">
        <v>1538</v>
      </c>
      <c r="B257" s="1523" t="s">
        <v>1326</v>
      </c>
      <c r="C257" s="2118">
        <v>0.15</v>
      </c>
      <c r="D257" s="2118">
        <v>0.15</v>
      </c>
      <c r="E257" s="2118">
        <v>0.15</v>
      </c>
      <c r="F257" s="2119">
        <v>0.13900000000000001</v>
      </c>
    </row>
    <row r="258" spans="1:6" ht="14.25" thickBot="1">
      <c r="A258" s="1529" t="s">
        <v>1538</v>
      </c>
      <c r="B258" s="1523" t="s">
        <v>1337</v>
      </c>
      <c r="C258" s="2118">
        <v>0.15</v>
      </c>
      <c r="D258" s="2118">
        <v>0.15</v>
      </c>
      <c r="E258" s="2118">
        <v>0.15</v>
      </c>
      <c r="F258" s="2119">
        <v>0.13</v>
      </c>
    </row>
    <row r="259" spans="1:6" ht="14.25" thickBot="1">
      <c r="A259" s="1529" t="s">
        <v>1538</v>
      </c>
      <c r="B259" s="1523" t="s">
        <v>2233</v>
      </c>
      <c r="C259" s="2118">
        <v>0.14799999999999999</v>
      </c>
      <c r="D259" s="2118">
        <v>0.14899999999999999</v>
      </c>
      <c r="E259" s="2118">
        <v>0.15</v>
      </c>
      <c r="F259" s="2119">
        <v>0.13700000000000001</v>
      </c>
    </row>
    <row r="260" spans="1:6" ht="14.25" thickBot="1">
      <c r="A260" s="1529" t="s">
        <v>1538</v>
      </c>
      <c r="B260" s="1523" t="s">
        <v>1358</v>
      </c>
      <c r="C260" s="2118">
        <v>0.15</v>
      </c>
      <c r="D260" s="2118">
        <v>0.15</v>
      </c>
      <c r="E260" s="2118">
        <v>0.15</v>
      </c>
      <c r="F260" s="2119">
        <v>0.14199999999999999</v>
      </c>
    </row>
    <row r="261" spans="1:6" ht="14.25" thickBot="1">
      <c r="A261" s="1529" t="s">
        <v>1538</v>
      </c>
      <c r="B261" s="1523" t="s">
        <v>1368</v>
      </c>
      <c r="C261" s="2118">
        <v>0.15</v>
      </c>
      <c r="D261" s="2118">
        <v>0.15</v>
      </c>
      <c r="E261" s="2118">
        <v>0.14899999999999999</v>
      </c>
      <c r="F261" s="2119">
        <v>0.14799999999999999</v>
      </c>
    </row>
    <row r="262" spans="1:6" ht="14.25" thickBot="1">
      <c r="A262" s="1529" t="s">
        <v>1538</v>
      </c>
      <c r="B262" s="1523" t="s">
        <v>1378</v>
      </c>
      <c r="C262" s="2118">
        <v>0.15</v>
      </c>
      <c r="D262" s="2118">
        <v>0.15</v>
      </c>
      <c r="E262" s="2118">
        <v>0.15</v>
      </c>
      <c r="F262" s="2130"/>
    </row>
    <row r="263" spans="1:6" ht="14.25" thickBot="1">
      <c r="A263" s="1529" t="s">
        <v>1538</v>
      </c>
      <c r="B263" s="1523" t="s">
        <v>2234</v>
      </c>
      <c r="C263" s="2118">
        <v>0.14899999999999999</v>
      </c>
      <c r="D263" s="2118">
        <v>0.14899999999999999</v>
      </c>
      <c r="E263" s="2118">
        <v>0.15</v>
      </c>
      <c r="F263" s="2119">
        <v>0.13</v>
      </c>
    </row>
    <row r="264" spans="1:6" ht="14.25" thickBot="1">
      <c r="A264" s="1529" t="s">
        <v>1538</v>
      </c>
      <c r="B264" s="1523" t="s">
        <v>1397</v>
      </c>
      <c r="C264" s="2118">
        <v>0.14799999999999999</v>
      </c>
      <c r="D264" s="2118">
        <v>0.14699999999999999</v>
      </c>
      <c r="E264" s="2118">
        <v>0.15</v>
      </c>
      <c r="F264" s="2119">
        <v>7.8E-2</v>
      </c>
    </row>
    <row r="265" spans="1:6" ht="14.25" thickBot="1">
      <c r="A265" s="1529" t="s">
        <v>1538</v>
      </c>
      <c r="B265" s="1523" t="s">
        <v>1406</v>
      </c>
      <c r="C265" s="2118">
        <v>0.15</v>
      </c>
      <c r="D265" s="2118">
        <v>0.15</v>
      </c>
      <c r="E265" s="2118">
        <v>0.15</v>
      </c>
      <c r="F265" s="2119">
        <v>7.3999999999999996E-2</v>
      </c>
    </row>
    <row r="266" spans="1:6" ht="14.25" thickBot="1">
      <c r="A266" s="1529" t="s">
        <v>1538</v>
      </c>
      <c r="B266" s="1523" t="s">
        <v>1414</v>
      </c>
      <c r="C266" s="2118">
        <v>0.14699999999999999</v>
      </c>
      <c r="D266" s="2118">
        <v>0.14699999999999999</v>
      </c>
      <c r="E266" s="2118">
        <v>0.15</v>
      </c>
      <c r="F266" s="2119">
        <v>0.14299999999999999</v>
      </c>
    </row>
    <row r="267" spans="1:6" ht="14.25" thickBot="1">
      <c r="A267" s="1529" t="s">
        <v>1538</v>
      </c>
      <c r="B267" s="1523" t="s">
        <v>1421</v>
      </c>
      <c r="C267" s="2118">
        <v>0.14199999999999999</v>
      </c>
      <c r="D267" s="2118">
        <v>0.14299999999999999</v>
      </c>
      <c r="E267" s="2118">
        <v>0.15</v>
      </c>
      <c r="F267" s="2130"/>
    </row>
    <row r="268" spans="1:6" ht="14.25" thickBot="1">
      <c r="A268" s="1529" t="s">
        <v>1538</v>
      </c>
      <c r="B268" s="1523" t="s">
        <v>2235</v>
      </c>
      <c r="C268" s="2118">
        <v>0.15</v>
      </c>
      <c r="D268" s="2118">
        <v>0.15</v>
      </c>
      <c r="E268" s="2118">
        <v>0.15</v>
      </c>
      <c r="F268" s="2119">
        <v>0.13</v>
      </c>
    </row>
    <row r="269" spans="1:6" ht="14.25" thickBot="1">
      <c r="A269" s="1529" t="s">
        <v>1538</v>
      </c>
      <c r="B269" s="1523" t="s">
        <v>1435</v>
      </c>
      <c r="C269" s="2118">
        <v>0.15</v>
      </c>
      <c r="D269" s="2118">
        <v>0.15</v>
      </c>
      <c r="E269" s="2118">
        <v>0.15</v>
      </c>
      <c r="F269" s="2119">
        <v>0.14299999999999999</v>
      </c>
    </row>
    <row r="270" spans="1:6" ht="14.25" thickBot="1">
      <c r="A270" s="1529" t="s">
        <v>1538</v>
      </c>
      <c r="B270" s="1523" t="s">
        <v>1442</v>
      </c>
      <c r="C270" s="2118">
        <v>0.14499999999999999</v>
      </c>
      <c r="D270" s="2118">
        <v>0.14499999999999999</v>
      </c>
      <c r="E270" s="2118">
        <v>0.15</v>
      </c>
      <c r="F270" s="2119">
        <v>0.14699999999999999</v>
      </c>
    </row>
    <row r="271" spans="1:6" ht="14.25" thickBot="1">
      <c r="A271" s="1529" t="s">
        <v>1538</v>
      </c>
      <c r="B271" s="1523" t="s">
        <v>1449</v>
      </c>
      <c r="C271" s="2118">
        <v>0.15</v>
      </c>
      <c r="D271" s="2118">
        <v>0.15</v>
      </c>
      <c r="E271" s="2118">
        <v>0.15</v>
      </c>
      <c r="F271" s="2119">
        <v>0.13800000000000001</v>
      </c>
    </row>
    <row r="272" spans="1:6" ht="14.25" thickBot="1">
      <c r="A272" s="1529" t="s">
        <v>1538</v>
      </c>
      <c r="B272" s="1523" t="s">
        <v>1456</v>
      </c>
      <c r="C272" s="2131"/>
      <c r="D272" s="2131"/>
      <c r="E272" s="2131"/>
      <c r="F272" s="2119">
        <v>0.14000000000000001</v>
      </c>
    </row>
    <row r="273" spans="1:6" ht="14.25" thickBot="1">
      <c r="A273" s="1529" t="s">
        <v>1538</v>
      </c>
      <c r="B273" s="1523" t="s">
        <v>2236</v>
      </c>
      <c r="C273" s="2118">
        <v>0.14199999999999999</v>
      </c>
      <c r="D273" s="2118">
        <v>0.14299999999999999</v>
      </c>
      <c r="E273" s="2118">
        <v>0.15</v>
      </c>
      <c r="F273" s="2119">
        <v>0.1</v>
      </c>
    </row>
    <row r="274" spans="1:6" ht="14.25" thickBot="1">
      <c r="A274" s="1529" t="s">
        <v>1538</v>
      </c>
      <c r="B274" s="1523" t="s">
        <v>2237</v>
      </c>
      <c r="C274" s="2118">
        <v>0.14799999999999999</v>
      </c>
      <c r="D274" s="2118">
        <v>0.14799999999999999</v>
      </c>
      <c r="E274" s="2118">
        <v>0.15</v>
      </c>
      <c r="F274" s="2119">
        <v>6.7000000000000004E-2</v>
      </c>
    </row>
    <row r="275" spans="1:6" ht="14.25" thickBot="1">
      <c r="A275" s="1529" t="s">
        <v>1538</v>
      </c>
      <c r="B275" s="1523" t="s">
        <v>2238</v>
      </c>
      <c r="C275" s="2118">
        <v>0.15</v>
      </c>
      <c r="D275" s="2118">
        <v>0.15</v>
      </c>
      <c r="E275" s="2118">
        <v>0.15</v>
      </c>
      <c r="F275" s="2119">
        <v>0.15</v>
      </c>
    </row>
    <row r="276" spans="1:6" ht="14.25" thickBot="1">
      <c r="A276" s="1529" t="s">
        <v>1538</v>
      </c>
      <c r="B276" s="1523" t="s">
        <v>2239</v>
      </c>
      <c r="C276" s="2118">
        <v>0.14499999999999999</v>
      </c>
      <c r="D276" s="2118">
        <v>0.14299999999999999</v>
      </c>
      <c r="E276" s="2118">
        <v>0.15</v>
      </c>
      <c r="F276" s="2119">
        <v>5.8999999999999997E-2</v>
      </c>
    </row>
    <row r="277" spans="1:6" ht="14.25" thickBot="1">
      <c r="A277" s="1529" t="s">
        <v>1538</v>
      </c>
      <c r="B277" s="1523" t="s">
        <v>2240</v>
      </c>
      <c r="C277" s="2118">
        <v>0.15</v>
      </c>
      <c r="D277" s="2118">
        <v>0.15</v>
      </c>
      <c r="E277" s="2118">
        <v>0.15</v>
      </c>
      <c r="F277" s="2119">
        <v>0.121</v>
      </c>
    </row>
    <row r="278" spans="1:6" ht="14.25" thickBot="1">
      <c r="A278" s="1529" t="s">
        <v>1538</v>
      </c>
      <c r="B278" s="1523" t="s">
        <v>2241</v>
      </c>
      <c r="C278" s="2118">
        <v>0.15</v>
      </c>
      <c r="D278" s="2118">
        <v>0.15</v>
      </c>
      <c r="E278" s="2118">
        <v>0.15</v>
      </c>
      <c r="F278" s="2119">
        <v>0.13800000000000001</v>
      </c>
    </row>
    <row r="279" spans="1:6" ht="24.75" thickBot="1">
      <c r="A279" s="1529" t="s">
        <v>1538</v>
      </c>
      <c r="B279" s="1523" t="s">
        <v>2242</v>
      </c>
      <c r="C279" s="2131"/>
      <c r="D279" s="2131"/>
      <c r="E279" s="2131"/>
      <c r="F279" s="2119">
        <v>0.05</v>
      </c>
    </row>
    <row r="280" spans="1:6" ht="24.75" thickBot="1">
      <c r="A280" s="1529" t="s">
        <v>1538</v>
      </c>
      <c r="B280" s="1523" t="s">
        <v>2243</v>
      </c>
      <c r="C280" s="2131"/>
      <c r="D280" s="2131"/>
      <c r="E280" s="2131"/>
      <c r="F280" s="2119">
        <v>0.05</v>
      </c>
    </row>
    <row r="281" spans="1:6" ht="24.75" thickBot="1">
      <c r="A281" s="1529" t="s">
        <v>1538</v>
      </c>
      <c r="B281" s="1523" t="s">
        <v>2244</v>
      </c>
      <c r="C281" s="2131"/>
      <c r="D281" s="2131"/>
      <c r="E281" s="2131"/>
      <c r="F281" s="2119">
        <v>0.05</v>
      </c>
    </row>
    <row r="282" spans="1:6" ht="24.75" thickBot="1">
      <c r="A282" s="1529" t="s">
        <v>1538</v>
      </c>
      <c r="B282" s="1523" t="s">
        <v>2245</v>
      </c>
      <c r="C282" s="2131"/>
      <c r="D282" s="2131"/>
      <c r="E282" s="2131"/>
      <c r="F282" s="2119">
        <v>0.05</v>
      </c>
    </row>
    <row r="283" spans="1:6" ht="24.75" thickBot="1">
      <c r="A283" s="1529" t="s">
        <v>1538</v>
      </c>
      <c r="B283" s="1523" t="s">
        <v>2246</v>
      </c>
      <c r="C283" s="2131"/>
      <c r="D283" s="2131"/>
      <c r="E283" s="2131"/>
      <c r="F283" s="2119">
        <v>0.05</v>
      </c>
    </row>
    <row r="284" spans="1:6" ht="24.75" thickBot="1">
      <c r="A284" s="1529" t="s">
        <v>1538</v>
      </c>
      <c r="B284" s="1523" t="s">
        <v>2247</v>
      </c>
      <c r="C284" s="2131"/>
      <c r="D284" s="2131"/>
      <c r="E284" s="2131"/>
      <c r="F284" s="2119">
        <v>0.05</v>
      </c>
    </row>
    <row r="285" spans="1:6" ht="24.75" thickBot="1">
      <c r="A285" s="1529" t="s">
        <v>1538</v>
      </c>
      <c r="B285" s="1523" t="s">
        <v>2248</v>
      </c>
      <c r="C285" s="2131"/>
      <c r="D285" s="2131"/>
      <c r="E285" s="2131"/>
      <c r="F285" s="2119">
        <v>0.05</v>
      </c>
    </row>
    <row r="286" spans="1:6" ht="24.75" thickBot="1">
      <c r="A286" s="1529" t="s">
        <v>1538</v>
      </c>
      <c r="B286" s="1523" t="s">
        <v>2249</v>
      </c>
      <c r="C286" s="2131"/>
      <c r="D286" s="2131"/>
      <c r="E286" s="2131"/>
      <c r="F286" s="2119">
        <v>0.05</v>
      </c>
    </row>
    <row r="287" spans="1:6" ht="24.75" thickBot="1">
      <c r="A287" s="1529" t="s">
        <v>1538</v>
      </c>
      <c r="B287" s="1523" t="s">
        <v>2250</v>
      </c>
      <c r="C287" s="2131"/>
      <c r="D287" s="2131"/>
      <c r="E287" s="2131"/>
      <c r="F287" s="2119">
        <v>0.05</v>
      </c>
    </row>
    <row r="288" spans="1:6" ht="24.75" thickBot="1">
      <c r="A288" s="1529" t="s">
        <v>1538</v>
      </c>
      <c r="B288" s="1523" t="s">
        <v>2251</v>
      </c>
      <c r="C288" s="2131"/>
      <c r="D288" s="2131"/>
      <c r="E288" s="2131"/>
      <c r="F288" s="2119">
        <v>0.05</v>
      </c>
    </row>
    <row r="289" spans="1:6" ht="24.75" thickBot="1">
      <c r="A289" s="1539" t="s">
        <v>1538</v>
      </c>
      <c r="B289" s="1535" t="s">
        <v>2252</v>
      </c>
      <c r="C289" s="2128"/>
      <c r="D289" s="2128"/>
      <c r="E289" s="2128"/>
      <c r="F289" s="2121">
        <v>0.05</v>
      </c>
    </row>
    <row r="290" spans="1:6" ht="14.25" thickBot="1">
      <c r="A290" s="1529" t="s">
        <v>1542</v>
      </c>
      <c r="B290" s="1530" t="s">
        <v>2253</v>
      </c>
      <c r="C290" s="2116">
        <v>0.15</v>
      </c>
      <c r="D290" s="2116">
        <v>0.15</v>
      </c>
      <c r="E290" s="2116">
        <v>0.15</v>
      </c>
      <c r="F290" s="2133"/>
    </row>
    <row r="291" spans="1:6" ht="14.25" thickBot="1">
      <c r="A291" s="1529" t="s">
        <v>1542</v>
      </c>
      <c r="B291" s="1523" t="s">
        <v>1204</v>
      </c>
      <c r="C291" s="2118">
        <v>0.15</v>
      </c>
      <c r="D291" s="2118">
        <v>0.15</v>
      </c>
      <c r="E291" s="2118">
        <v>0.15</v>
      </c>
      <c r="F291" s="2130"/>
    </row>
    <row r="292" spans="1:6" ht="14.25" thickBot="1">
      <c r="A292" s="1529" t="s">
        <v>1542</v>
      </c>
      <c r="B292" s="1523" t="s">
        <v>2254</v>
      </c>
      <c r="C292" s="2118">
        <v>0.15</v>
      </c>
      <c r="D292" s="2118">
        <v>0.15</v>
      </c>
      <c r="E292" s="2118">
        <v>0.15</v>
      </c>
      <c r="F292" s="2119">
        <v>0.14699999999999999</v>
      </c>
    </row>
    <row r="293" spans="1:6" ht="14.25" thickBot="1">
      <c r="A293" s="1529" t="s">
        <v>1542</v>
      </c>
      <c r="B293" s="1523" t="s">
        <v>2255</v>
      </c>
      <c r="C293" s="2131"/>
      <c r="D293" s="2131"/>
      <c r="E293" s="2131"/>
      <c r="F293" s="2119">
        <v>0.1</v>
      </c>
    </row>
    <row r="294" spans="1:6" ht="14.25" thickBot="1">
      <c r="A294" s="1529" t="s">
        <v>1542</v>
      </c>
      <c r="B294" s="1523" t="s">
        <v>2256</v>
      </c>
      <c r="C294" s="2118">
        <v>0.15</v>
      </c>
      <c r="D294" s="2118">
        <v>0.15</v>
      </c>
      <c r="E294" s="2118">
        <v>0.15</v>
      </c>
      <c r="F294" s="2119">
        <v>0.15</v>
      </c>
    </row>
    <row r="295" spans="1:6" ht="14.25" thickBot="1">
      <c r="A295" s="1529" t="s">
        <v>1542</v>
      </c>
      <c r="B295" s="1523" t="s">
        <v>1242</v>
      </c>
      <c r="C295" s="2118">
        <v>0.15</v>
      </c>
      <c r="D295" s="2118">
        <v>0.15</v>
      </c>
      <c r="E295" s="2118">
        <v>0.15</v>
      </c>
      <c r="F295" s="2119">
        <v>0.15</v>
      </c>
    </row>
    <row r="296" spans="1:6" ht="14.25" thickBot="1">
      <c r="A296" s="1529" t="s">
        <v>1542</v>
      </c>
      <c r="B296" s="1523" t="s">
        <v>2257</v>
      </c>
      <c r="C296" s="2118">
        <v>0.15</v>
      </c>
      <c r="D296" s="2118">
        <v>0.15</v>
      </c>
      <c r="E296" s="2118">
        <v>0.15</v>
      </c>
      <c r="F296" s="2119">
        <v>0.15</v>
      </c>
    </row>
    <row r="297" spans="1:6" ht="14.25" thickBot="1">
      <c r="A297" s="1529" t="s">
        <v>1542</v>
      </c>
      <c r="B297" s="1523" t="s">
        <v>2258</v>
      </c>
      <c r="C297" s="2118">
        <v>0.14799999999999999</v>
      </c>
      <c r="D297" s="2118">
        <v>0.14899999999999999</v>
      </c>
      <c r="E297" s="2118">
        <v>0.15</v>
      </c>
      <c r="F297" s="2119">
        <v>0.13700000000000001</v>
      </c>
    </row>
    <row r="298" spans="1:6" ht="14.25" thickBot="1">
      <c r="A298" s="1529" t="s">
        <v>1542</v>
      </c>
      <c r="B298" s="1523" t="s">
        <v>1275</v>
      </c>
      <c r="C298" s="2118">
        <v>0.13400000000000001</v>
      </c>
      <c r="D298" s="2118">
        <v>0.13400000000000001</v>
      </c>
      <c r="E298" s="2118">
        <v>0.14499999999999999</v>
      </c>
      <c r="F298" s="2119">
        <v>0.14799999999999999</v>
      </c>
    </row>
    <row r="299" spans="1:6" ht="14.25" thickBot="1">
      <c r="A299" s="1529" t="s">
        <v>1542</v>
      </c>
      <c r="B299" s="1523" t="s">
        <v>1287</v>
      </c>
      <c r="C299" s="2118">
        <v>0.15</v>
      </c>
      <c r="D299" s="2118">
        <v>0.15</v>
      </c>
      <c r="E299" s="2118">
        <v>0.15</v>
      </c>
      <c r="F299" s="2130"/>
    </row>
    <row r="300" spans="1:6" ht="14.25" thickBot="1">
      <c r="A300" s="1529" t="s">
        <v>1542</v>
      </c>
      <c r="B300" s="1523" t="s">
        <v>2259</v>
      </c>
      <c r="C300" s="2118">
        <v>0.15</v>
      </c>
      <c r="D300" s="2118">
        <v>0.15</v>
      </c>
      <c r="E300" s="2118">
        <v>0.15</v>
      </c>
      <c r="F300" s="2119">
        <v>0.15</v>
      </c>
    </row>
    <row r="301" spans="1:6" ht="14.25" thickBot="1">
      <c r="A301" s="1529" t="s">
        <v>1542</v>
      </c>
      <c r="B301" s="1523" t="s">
        <v>1307</v>
      </c>
      <c r="C301" s="2118">
        <v>0.15</v>
      </c>
      <c r="D301" s="2118">
        <v>0.15</v>
      </c>
      <c r="E301" s="2118">
        <v>0.15</v>
      </c>
      <c r="F301" s="2130"/>
    </row>
    <row r="302" spans="1:6" ht="14.25" thickBot="1">
      <c r="A302" s="1529" t="s">
        <v>1542</v>
      </c>
      <c r="B302" s="1523" t="s">
        <v>2260</v>
      </c>
      <c r="C302" s="2118">
        <v>0.15</v>
      </c>
      <c r="D302" s="2118">
        <v>0.15</v>
      </c>
      <c r="E302" s="2118">
        <v>0.15</v>
      </c>
      <c r="F302" s="2119">
        <v>0.15</v>
      </c>
    </row>
    <row r="303" spans="1:6" ht="14.25" thickBot="1">
      <c r="A303" s="1529" t="s">
        <v>1542</v>
      </c>
      <c r="B303" s="1523" t="s">
        <v>1327</v>
      </c>
      <c r="C303" s="2118">
        <v>0.15</v>
      </c>
      <c r="D303" s="2118">
        <v>0.15</v>
      </c>
      <c r="E303" s="2118">
        <v>0.15</v>
      </c>
      <c r="F303" s="2119">
        <v>0.15</v>
      </c>
    </row>
    <row r="304" spans="1:6" ht="14.25" thickBot="1">
      <c r="A304" s="1529" t="s">
        <v>1542</v>
      </c>
      <c r="B304" s="1523" t="s">
        <v>1338</v>
      </c>
      <c r="C304" s="2118">
        <v>0.15</v>
      </c>
      <c r="D304" s="2118">
        <v>0.15</v>
      </c>
      <c r="E304" s="2118">
        <v>0.15</v>
      </c>
      <c r="F304" s="2130"/>
    </row>
    <row r="305" spans="1:6" ht="14.25" thickBot="1">
      <c r="A305" s="1529" t="s">
        <v>1542</v>
      </c>
      <c r="B305" s="1523" t="s">
        <v>2261</v>
      </c>
      <c r="C305" s="2118">
        <v>0.15</v>
      </c>
      <c r="D305" s="2118">
        <v>0.15</v>
      </c>
      <c r="E305" s="2118">
        <v>0.15</v>
      </c>
      <c r="F305" s="2119">
        <v>0.14000000000000001</v>
      </c>
    </row>
    <row r="306" spans="1:6" ht="14.25" thickBot="1">
      <c r="A306" s="1529" t="s">
        <v>1542</v>
      </c>
      <c r="B306" s="1523" t="s">
        <v>1359</v>
      </c>
      <c r="C306" s="2118">
        <v>0.15</v>
      </c>
      <c r="D306" s="2118">
        <v>0.15</v>
      </c>
      <c r="E306" s="2118">
        <v>0.15</v>
      </c>
      <c r="F306" s="2130"/>
    </row>
    <row r="307" spans="1:6" ht="14.25" thickBot="1">
      <c r="A307" s="1529" t="s">
        <v>1542</v>
      </c>
      <c r="B307" s="1523" t="s">
        <v>2262</v>
      </c>
      <c r="C307" s="2118">
        <v>0.15</v>
      </c>
      <c r="D307" s="2118">
        <v>0.15</v>
      </c>
      <c r="E307" s="2118">
        <v>0.15</v>
      </c>
      <c r="F307" s="2119">
        <v>0.14299999999999999</v>
      </c>
    </row>
    <row r="308" spans="1:6" ht="14.25" thickBot="1">
      <c r="A308" s="1529" t="s">
        <v>1542</v>
      </c>
      <c r="B308" s="1523" t="s">
        <v>1379</v>
      </c>
      <c r="C308" s="2118">
        <v>0.15</v>
      </c>
      <c r="D308" s="2118">
        <v>0.15</v>
      </c>
      <c r="E308" s="2118">
        <v>0.15</v>
      </c>
      <c r="F308" s="2119">
        <v>0.15</v>
      </c>
    </row>
    <row r="309" spans="1:6" ht="14.25" thickBot="1">
      <c r="A309" s="1529" t="s">
        <v>1542</v>
      </c>
      <c r="B309" s="1523" t="s">
        <v>1389</v>
      </c>
      <c r="C309" s="2118">
        <v>0.15</v>
      </c>
      <c r="D309" s="2118">
        <v>0.15</v>
      </c>
      <c r="E309" s="2118">
        <v>0.15</v>
      </c>
      <c r="F309" s="2130"/>
    </row>
    <row r="310" spans="1:6" ht="14.25" thickBot="1">
      <c r="A310" s="1529" t="s">
        <v>1542</v>
      </c>
      <c r="B310" s="1523" t="s">
        <v>2263</v>
      </c>
      <c r="C310" s="2118">
        <v>0.15</v>
      </c>
      <c r="D310" s="2118">
        <v>0.15</v>
      </c>
      <c r="E310" s="2118">
        <v>0.15</v>
      </c>
      <c r="F310" s="2119">
        <v>0.13700000000000001</v>
      </c>
    </row>
    <row r="311" spans="1:6" ht="14.25" thickBot="1">
      <c r="A311" s="1529" t="s">
        <v>1542</v>
      </c>
      <c r="B311" s="1523" t="s">
        <v>2264</v>
      </c>
      <c r="C311" s="2118">
        <v>0.15</v>
      </c>
      <c r="D311" s="2118">
        <v>0.15</v>
      </c>
      <c r="E311" s="2118">
        <v>0.15</v>
      </c>
      <c r="F311" s="2119">
        <v>0.15</v>
      </c>
    </row>
    <row r="312" spans="1:6" ht="14.25" thickBot="1">
      <c r="A312" s="1529" t="s">
        <v>1542</v>
      </c>
      <c r="B312" s="1523" t="s">
        <v>1415</v>
      </c>
      <c r="C312" s="2118">
        <v>0.15</v>
      </c>
      <c r="D312" s="2118">
        <v>0.15</v>
      </c>
      <c r="E312" s="2118">
        <v>0.15</v>
      </c>
      <c r="F312" s="2119">
        <v>0.1</v>
      </c>
    </row>
    <row r="313" spans="1:6" ht="14.25" thickBot="1">
      <c r="A313" s="1529" t="s">
        <v>1542</v>
      </c>
      <c r="B313" s="1523" t="s">
        <v>2265</v>
      </c>
      <c r="C313" s="2118">
        <v>0.15</v>
      </c>
      <c r="D313" s="2118">
        <v>0.15</v>
      </c>
      <c r="E313" s="2118">
        <v>0.15</v>
      </c>
      <c r="F313" s="2119">
        <v>0.15</v>
      </c>
    </row>
    <row r="314" spans="1:6" ht="24.75" thickBot="1">
      <c r="A314" s="1529" t="s">
        <v>1542</v>
      </c>
      <c r="B314" s="1523" t="s">
        <v>2266</v>
      </c>
      <c r="C314" s="2131"/>
      <c r="D314" s="2131"/>
      <c r="E314" s="2131"/>
      <c r="F314" s="2119">
        <v>0.05</v>
      </c>
    </row>
    <row r="315" spans="1:6" ht="24.75" thickBot="1">
      <c r="A315" s="1529" t="s">
        <v>1542</v>
      </c>
      <c r="B315" s="1523" t="s">
        <v>2267</v>
      </c>
      <c r="C315" s="2131"/>
      <c r="D315" s="2131"/>
      <c r="E315" s="2131"/>
      <c r="F315" s="2119">
        <v>0.05</v>
      </c>
    </row>
    <row r="316" spans="1:6" ht="24.75" thickBot="1">
      <c r="A316" s="1539" t="s">
        <v>1542</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1231</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1298</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1318</v>
      </c>
      <c r="C328" s="2118">
        <v>0.15</v>
      </c>
      <c r="D328" s="2118">
        <v>0.15</v>
      </c>
      <c r="E328" s="2118">
        <v>0.15</v>
      </c>
      <c r="F328" s="2119">
        <v>0.14099999999999999</v>
      </c>
    </row>
    <row r="329" spans="1:6" ht="14.25" thickBot="1">
      <c r="A329" s="1529" t="s">
        <v>2269</v>
      </c>
      <c r="B329" s="1523" t="s">
        <v>1328</v>
      </c>
      <c r="C329" s="2118">
        <v>0.15</v>
      </c>
      <c r="D329" s="2118">
        <v>0.15</v>
      </c>
      <c r="E329" s="2118">
        <v>0.15</v>
      </c>
      <c r="F329" s="2119">
        <v>0.15</v>
      </c>
    </row>
    <row r="330" spans="1:6" ht="14.25" thickBot="1">
      <c r="A330" s="1529" t="s">
        <v>2269</v>
      </c>
      <c r="B330" s="1523" t="s">
        <v>1339</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1360</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1380</v>
      </c>
      <c r="C334" s="2118">
        <v>0.15</v>
      </c>
      <c r="D334" s="2118">
        <v>0.15</v>
      </c>
      <c r="E334" s="2118">
        <v>0.15</v>
      </c>
      <c r="F334" s="2119">
        <v>0.15</v>
      </c>
    </row>
    <row r="335" spans="1:6" ht="14.25" thickBot="1">
      <c r="A335" s="1529" t="s">
        <v>2269</v>
      </c>
      <c r="B335" s="1523" t="s">
        <v>1390</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1408</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2906</v>
      </c>
      <c r="C1" s="3199">
        <f>项目基本情况!D3</f>
        <v>43003</v>
      </c>
      <c r="D1" s="3205" t="s">
        <v>2907</v>
      </c>
      <c r="E1" s="3200">
        <f>'数据-取费表'!B22</f>
        <v>3</v>
      </c>
      <c r="F1" s="3205" t="s">
        <v>2908</v>
      </c>
      <c r="G1" s="3201">
        <f ca="1">INDIRECT("d"&amp;$K$1)/100</f>
        <v>4.7500000000000001E-2</v>
      </c>
      <c r="H1" s="3205" t="s">
        <v>2938</v>
      </c>
      <c r="I1" s="3201">
        <f ca="1">F4/100</f>
        <v>1.4999999999999999E-2</v>
      </c>
      <c r="J1" s="3206">
        <f>IF(C1&gt;C13,0,MATCH(C1,C$13:C$100,-1))+IF(SUMIF(C13:C100,C1,D13:D100)=0,13,12)</f>
        <v>13</v>
      </c>
      <c r="K1" s="3206">
        <f ca="1">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2909</v>
      </c>
      <c r="E2" s="3141"/>
      <c r="F2" s="3141" t="s">
        <v>2910</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2911</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2912</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2913</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2914</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2915</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2916</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2917</v>
      </c>
      <c r="C10" s="3169"/>
      <c r="D10" s="3169"/>
      <c r="E10" s="3169"/>
      <c r="F10" s="3169"/>
      <c r="G10" s="3169"/>
      <c r="H10" s="3169"/>
      <c r="I10" s="3143"/>
      <c r="J10" s="3143"/>
      <c r="K10" s="3169"/>
      <c r="L10" s="3170" t="s">
        <v>2918</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2919</v>
      </c>
      <c r="C11" s="3174" t="s">
        <v>2920</v>
      </c>
      <c r="D11" s="3175" t="s">
        <v>2921</v>
      </c>
      <c r="E11" s="3176"/>
      <c r="F11" s="3175" t="s">
        <v>2922</v>
      </c>
      <c r="G11" s="3177"/>
      <c r="H11" s="3176"/>
      <c r="I11" s="3175" t="s">
        <v>2923</v>
      </c>
      <c r="J11" s="3176"/>
      <c r="K11" s="3172"/>
      <c r="L11" s="3173" t="s">
        <v>2919</v>
      </c>
      <c r="M11" s="3174" t="s">
        <v>2920</v>
      </c>
      <c r="N11" s="3173" t="s">
        <v>2924</v>
      </c>
      <c r="O11" s="3175" t="s">
        <v>2925</v>
      </c>
      <c r="P11" s="3177"/>
      <c r="Q11" s="3177"/>
      <c r="R11" s="3177"/>
      <c r="S11" s="3177"/>
      <c r="T11" s="3176"/>
      <c r="U11" s="3175" t="s">
        <v>2926</v>
      </c>
      <c r="V11" s="3177"/>
      <c r="W11" s="3176"/>
      <c r="X11" s="3173" t="s">
        <v>2927</v>
      </c>
      <c r="Y11" s="3173" t="s">
        <v>2928</v>
      </c>
      <c r="Z11" s="3173" t="s">
        <v>2929</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2930</v>
      </c>
      <c r="E12" s="3182" t="s">
        <v>2931</v>
      </c>
      <c r="F12" s="3182" t="s">
        <v>2932</v>
      </c>
      <c r="G12" s="3182" t="s">
        <v>2933</v>
      </c>
      <c r="H12" s="3182" t="s">
        <v>2915</v>
      </c>
      <c r="I12" s="3183" t="s">
        <v>2934</v>
      </c>
      <c r="J12" s="3183" t="s">
        <v>2934</v>
      </c>
      <c r="K12" s="3179"/>
      <c r="L12" s="3180"/>
      <c r="M12" s="3181"/>
      <c r="N12" s="3180"/>
      <c r="O12" s="3183" t="s">
        <v>2935</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2936</v>
      </c>
      <c r="C13" s="3187">
        <v>42301</v>
      </c>
      <c r="D13" s="3188">
        <v>4.3499999999999996</v>
      </c>
      <c r="E13" s="3188">
        <v>4.3499999999999996</v>
      </c>
      <c r="F13" s="3188">
        <v>4.75</v>
      </c>
      <c r="G13" s="3188">
        <v>4.75</v>
      </c>
      <c r="H13" s="3188">
        <v>4.9000000000000004</v>
      </c>
      <c r="I13" s="3188">
        <v>2.75</v>
      </c>
      <c r="J13" s="3188">
        <v>3.25</v>
      </c>
      <c r="K13" s="3185"/>
      <c r="L13" s="3186" t="s">
        <v>2936</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2937</v>
      </c>
      <c r="Y42" s="3192" t="s">
        <v>2937</v>
      </c>
      <c r="Z42" s="3192" t="s">
        <v>2937</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2937</v>
      </c>
      <c r="Y43" s="3192" t="s">
        <v>2937</v>
      </c>
      <c r="Z43" s="3192" t="s">
        <v>2937</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2937</v>
      </c>
      <c r="Y44" s="3192" t="s">
        <v>2937</v>
      </c>
      <c r="Z44" s="3192" t="s">
        <v>2937</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2937</v>
      </c>
      <c r="Y45" s="3192" t="s">
        <v>2937</v>
      </c>
      <c r="Z45" s="3192" t="s">
        <v>2937</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2937</v>
      </c>
      <c r="Y46" s="3192" t="s">
        <v>2937</v>
      </c>
      <c r="Z46" s="3192" t="s">
        <v>2937</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2937</v>
      </c>
      <c r="Y47" s="3192" t="s">
        <v>2937</v>
      </c>
      <c r="Z47" s="3192" t="s">
        <v>2937</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2937</v>
      </c>
      <c r="Y48" s="3192" t="s">
        <v>2937</v>
      </c>
      <c r="Z48" s="3192" t="s">
        <v>2937</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2937</v>
      </c>
      <c r="Y49" s="3192" t="s">
        <v>2937</v>
      </c>
      <c r="Z49" s="3192" t="s">
        <v>2937</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2937</v>
      </c>
      <c r="Y50" s="3192" t="s">
        <v>2937</v>
      </c>
      <c r="Z50" s="3192" t="s">
        <v>2937</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2937</v>
      </c>
      <c r="V51" s="3192" t="s">
        <v>2937</v>
      </c>
      <c r="W51" s="3192" t="s">
        <v>2937</v>
      </c>
      <c r="X51" s="3192" t="s">
        <v>2937</v>
      </c>
      <c r="Y51" s="3192" t="s">
        <v>2937</v>
      </c>
      <c r="Z51" s="3192" t="s">
        <v>2937</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2937</v>
      </c>
      <c r="J55" s="3192" t="s">
        <v>2937</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4" t="s">
        <v>3038</v>
      </c>
      <c r="E1" s="3328" t="s">
        <v>3042</v>
      </c>
      <c r="F1" s="3329" t="s">
        <v>3046</v>
      </c>
    </row>
    <row r="2" spans="1:13" ht="20.25">
      <c r="A2" s="3335" t="s">
        <v>3039</v>
      </c>
    </row>
    <row r="3" spans="1:13" ht="16.5">
      <c r="A3" s="3336" t="s">
        <v>3040</v>
      </c>
    </row>
    <row r="4" spans="1:13" ht="14.25">
      <c r="A4" s="3326" t="s">
        <v>3041</v>
      </c>
      <c r="B4" s="3331" t="s">
        <v>3043</v>
      </c>
      <c r="C4" s="3332"/>
      <c r="D4" s="3333"/>
      <c r="E4" s="3331" t="s">
        <v>138</v>
      </c>
      <c r="F4" s="3332"/>
      <c r="G4" s="3333"/>
      <c r="H4" s="3331" t="s">
        <v>3044</v>
      </c>
      <c r="I4" s="3332"/>
      <c r="J4" s="3333"/>
      <c r="K4" s="3331" t="s">
        <v>39</v>
      </c>
      <c r="L4" s="3332"/>
      <c r="M4" s="3333"/>
    </row>
    <row r="5" spans="1:13" ht="14.25">
      <c r="A5" s="3327" t="s">
        <v>3045</v>
      </c>
      <c r="B5" s="3326" t="s">
        <v>3047</v>
      </c>
      <c r="C5" s="3326" t="s">
        <v>3048</v>
      </c>
      <c r="D5" s="3326" t="s">
        <v>3049</v>
      </c>
      <c r="E5" s="3326" t="s">
        <v>3047</v>
      </c>
      <c r="F5" s="3326" t="s">
        <v>3048</v>
      </c>
      <c r="G5" s="3326" t="s">
        <v>3049</v>
      </c>
      <c r="H5" s="3326" t="s">
        <v>3047</v>
      </c>
      <c r="I5" s="3326" t="s">
        <v>3048</v>
      </c>
      <c r="J5" s="3326" t="s">
        <v>3049</v>
      </c>
      <c r="K5" s="3326" t="s">
        <v>3047</v>
      </c>
      <c r="L5" s="3326" t="s">
        <v>3048</v>
      </c>
      <c r="M5" s="3326" t="s">
        <v>3049</v>
      </c>
    </row>
    <row r="6" spans="1:13" ht="14.25">
      <c r="A6" s="3330" t="s">
        <v>1220</v>
      </c>
      <c r="B6" s="3337">
        <v>26980</v>
      </c>
      <c r="C6" s="3337">
        <v>32980</v>
      </c>
      <c r="D6" s="3337">
        <v>29980</v>
      </c>
      <c r="E6" s="3337">
        <v>26170</v>
      </c>
      <c r="F6" s="3337">
        <v>31990</v>
      </c>
      <c r="G6" s="3337">
        <v>29080</v>
      </c>
      <c r="H6" s="3337">
        <v>25850</v>
      </c>
      <c r="I6" s="3337">
        <v>31590</v>
      </c>
      <c r="J6" s="3337">
        <v>28720</v>
      </c>
      <c r="K6" s="3337">
        <v>9860</v>
      </c>
      <c r="L6" s="3338">
        <v>13340</v>
      </c>
      <c r="M6" s="3337">
        <v>11600</v>
      </c>
    </row>
    <row r="7" spans="1:13" ht="14.25">
      <c r="A7" s="3330" t="s">
        <v>1277</v>
      </c>
      <c r="B7" s="3337">
        <v>21970</v>
      </c>
      <c r="C7" s="3337">
        <v>28730</v>
      </c>
      <c r="D7" s="3337">
        <v>25350</v>
      </c>
      <c r="E7" s="3337">
        <v>21480</v>
      </c>
      <c r="F7" s="3337">
        <v>28080</v>
      </c>
      <c r="G7" s="3337">
        <v>24780</v>
      </c>
      <c r="H7" s="3337">
        <v>21250</v>
      </c>
      <c r="I7" s="3337">
        <v>27790</v>
      </c>
      <c r="J7" s="3337">
        <v>24520</v>
      </c>
      <c r="K7" s="3337">
        <v>6660</v>
      </c>
      <c r="L7" s="3338">
        <v>10000</v>
      </c>
      <c r="M7" s="3337">
        <v>8330</v>
      </c>
    </row>
    <row r="8" spans="1:13" ht="14.25">
      <c r="A8" s="3330" t="s">
        <v>1450</v>
      </c>
      <c r="B8" s="3337">
        <v>17430</v>
      </c>
      <c r="C8" s="3337">
        <v>24410</v>
      </c>
      <c r="D8" s="3337">
        <v>20920</v>
      </c>
      <c r="E8" s="3337">
        <v>17140</v>
      </c>
      <c r="F8" s="3337">
        <v>24000</v>
      </c>
      <c r="G8" s="3337">
        <v>20570</v>
      </c>
      <c r="H8" s="3337">
        <v>16990</v>
      </c>
      <c r="I8" s="3337">
        <v>23790</v>
      </c>
      <c r="J8" s="3337">
        <v>20390</v>
      </c>
      <c r="K8" s="3337">
        <v>4530</v>
      </c>
      <c r="L8" s="3338">
        <v>6790</v>
      </c>
      <c r="M8" s="3337">
        <v>5660</v>
      </c>
    </row>
    <row r="9" spans="1:13" ht="14.25">
      <c r="A9" s="3330" t="s">
        <v>1131</v>
      </c>
      <c r="B9" s="3337">
        <v>13330</v>
      </c>
      <c r="C9" s="3337">
        <v>19990</v>
      </c>
      <c r="D9" s="3337">
        <v>16660</v>
      </c>
      <c r="E9" s="3337">
        <v>13160</v>
      </c>
      <c r="F9" s="3337">
        <v>19740</v>
      </c>
      <c r="G9" s="3337">
        <v>16450</v>
      </c>
      <c r="H9" s="3337">
        <v>13060</v>
      </c>
      <c r="I9" s="3337">
        <v>19600</v>
      </c>
      <c r="J9" s="3337">
        <v>16330</v>
      </c>
      <c r="K9" s="3337">
        <v>3090</v>
      </c>
      <c r="L9" s="3338">
        <v>4650</v>
      </c>
      <c r="M9" s="3337">
        <v>3870</v>
      </c>
    </row>
    <row r="10" spans="1:13" ht="14.25">
      <c r="A10" s="3330" t="s">
        <v>1531</v>
      </c>
      <c r="B10" s="3337">
        <v>10420</v>
      </c>
      <c r="C10" s="3337">
        <v>15620</v>
      </c>
      <c r="D10" s="3337">
        <v>13020</v>
      </c>
      <c r="E10" s="3337">
        <v>10310</v>
      </c>
      <c r="F10" s="3337">
        <v>15470</v>
      </c>
      <c r="G10" s="3337">
        <v>12890</v>
      </c>
      <c r="H10" s="3337">
        <v>10250</v>
      </c>
      <c r="I10" s="3337">
        <v>15370</v>
      </c>
      <c r="J10" s="3337">
        <v>12810</v>
      </c>
      <c r="K10" s="3337">
        <v>2140</v>
      </c>
      <c r="L10" s="3338">
        <v>3200</v>
      </c>
      <c r="M10" s="3337">
        <v>2670</v>
      </c>
    </row>
    <row r="11" spans="1:13" ht="14.25">
      <c r="A11" s="3330" t="s">
        <v>200</v>
      </c>
      <c r="B11" s="3337">
        <v>8130</v>
      </c>
      <c r="C11" s="3337">
        <v>12190</v>
      </c>
      <c r="D11" s="3337">
        <v>10160</v>
      </c>
      <c r="E11" s="3337">
        <v>8060</v>
      </c>
      <c r="F11" s="3337">
        <v>12080</v>
      </c>
      <c r="G11" s="3337">
        <v>10070</v>
      </c>
      <c r="H11" s="3337">
        <v>8010</v>
      </c>
      <c r="I11" s="3337">
        <v>12010</v>
      </c>
      <c r="J11" s="3337">
        <v>10010</v>
      </c>
      <c r="K11" s="3337">
        <v>1490</v>
      </c>
      <c r="L11" s="3338">
        <v>2250</v>
      </c>
      <c r="M11" s="3337">
        <v>1870</v>
      </c>
    </row>
    <row r="12" spans="1:13" ht="14.25">
      <c r="A12" s="3330" t="s">
        <v>1534</v>
      </c>
      <c r="B12" s="3337">
        <v>5940</v>
      </c>
      <c r="C12" s="3337">
        <v>8900</v>
      </c>
      <c r="D12" s="3337">
        <v>7420</v>
      </c>
      <c r="E12" s="3337">
        <v>5880</v>
      </c>
      <c r="F12" s="3337">
        <v>8820</v>
      </c>
      <c r="G12" s="3337">
        <v>7350</v>
      </c>
      <c r="H12" s="3337">
        <v>5840</v>
      </c>
      <c r="I12" s="3337">
        <v>8760</v>
      </c>
      <c r="J12" s="3337">
        <v>7300</v>
      </c>
      <c r="K12" s="3337">
        <v>1060</v>
      </c>
      <c r="L12" s="3338">
        <v>1600</v>
      </c>
      <c r="M12" s="3337">
        <v>1330</v>
      </c>
    </row>
    <row r="13" spans="1:13" ht="14.25">
      <c r="A13" s="3330" t="s">
        <v>1536</v>
      </c>
      <c r="B13" s="3337">
        <v>3970</v>
      </c>
      <c r="C13" s="3337">
        <v>6330</v>
      </c>
      <c r="D13" s="3337">
        <v>5150</v>
      </c>
      <c r="E13" s="3337">
        <v>3920</v>
      </c>
      <c r="F13" s="3337">
        <v>6260</v>
      </c>
      <c r="G13" s="3337">
        <v>5090</v>
      </c>
      <c r="H13" s="3337">
        <v>3890</v>
      </c>
      <c r="I13" s="3337">
        <v>6210</v>
      </c>
      <c r="J13" s="3337">
        <v>5050</v>
      </c>
      <c r="K13" s="3337">
        <v>780</v>
      </c>
      <c r="L13" s="3338">
        <v>1160</v>
      </c>
      <c r="M13" s="3337">
        <v>970</v>
      </c>
    </row>
    <row r="14" spans="1:13" ht="14.25">
      <c r="A14" s="3330" t="s">
        <v>1538</v>
      </c>
      <c r="B14" s="3337">
        <v>2680</v>
      </c>
      <c r="C14" s="3337">
        <v>4280</v>
      </c>
      <c r="D14" s="3337">
        <v>3480</v>
      </c>
      <c r="E14" s="3337">
        <v>2640</v>
      </c>
      <c r="F14" s="3337">
        <v>4220</v>
      </c>
      <c r="G14" s="3337">
        <v>3430</v>
      </c>
      <c r="H14" s="3337">
        <v>2620</v>
      </c>
      <c r="I14" s="3337">
        <v>4180</v>
      </c>
      <c r="J14" s="3337">
        <v>3400</v>
      </c>
      <c r="K14" s="3337">
        <v>580</v>
      </c>
      <c r="L14" s="3338">
        <v>880</v>
      </c>
      <c r="M14" s="3337">
        <v>730</v>
      </c>
    </row>
    <row r="15" spans="1:13" ht="14.25">
      <c r="A15" s="3330" t="s">
        <v>1542</v>
      </c>
      <c r="B15" s="3337">
        <v>1700</v>
      </c>
      <c r="C15" s="3337">
        <v>2840</v>
      </c>
      <c r="D15" s="3337">
        <v>2270</v>
      </c>
      <c r="E15" s="3337">
        <v>1670</v>
      </c>
      <c r="F15" s="3337">
        <v>2790</v>
      </c>
      <c r="G15" s="3337">
        <v>2230</v>
      </c>
      <c r="H15" s="3337">
        <v>1650</v>
      </c>
      <c r="I15" s="3337">
        <v>2750</v>
      </c>
      <c r="J15" s="3337">
        <v>2200</v>
      </c>
      <c r="K15" s="3337">
        <v>450</v>
      </c>
      <c r="L15" s="3338">
        <v>670</v>
      </c>
      <c r="M15" s="3337">
        <v>560</v>
      </c>
    </row>
    <row r="16" spans="1:13" ht="14.25">
      <c r="A16" s="3330" t="s">
        <v>1941</v>
      </c>
      <c r="B16" s="3337">
        <v>1070</v>
      </c>
      <c r="C16" s="3337">
        <v>1790</v>
      </c>
      <c r="D16" s="3337">
        <v>1430</v>
      </c>
      <c r="E16" s="3337">
        <v>1050</v>
      </c>
      <c r="F16" s="3337">
        <v>1750</v>
      </c>
      <c r="G16" s="3337">
        <v>1400</v>
      </c>
      <c r="H16" s="3337">
        <v>1030</v>
      </c>
      <c r="I16" s="3337">
        <v>1730</v>
      </c>
      <c r="J16" s="3337">
        <v>1380</v>
      </c>
      <c r="K16" s="3337">
        <v>350</v>
      </c>
      <c r="L16" s="3338">
        <v>530</v>
      </c>
      <c r="M16" s="3337">
        <v>440</v>
      </c>
    </row>
    <row r="17" spans="1:13" ht="14.25">
      <c r="A17" s="3330" t="s">
        <v>1942</v>
      </c>
      <c r="B17" s="3337">
        <v>680</v>
      </c>
      <c r="C17" s="3337">
        <v>1120</v>
      </c>
      <c r="D17" s="3337">
        <v>900</v>
      </c>
      <c r="E17" s="3337">
        <v>650</v>
      </c>
      <c r="F17" s="3337">
        <v>1090</v>
      </c>
      <c r="G17" s="3337">
        <v>870</v>
      </c>
      <c r="H17" s="3337">
        <v>630</v>
      </c>
      <c r="I17" s="3337">
        <v>1070</v>
      </c>
      <c r="J17" s="3337">
        <v>850</v>
      </c>
      <c r="K17" s="3337">
        <v>280</v>
      </c>
      <c r="L17" s="3338">
        <v>420</v>
      </c>
      <c r="M17" s="3337">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6" t="s">
        <v>2035</v>
      </c>
      <c r="B1" s="3396"/>
      <c r="C1" s="3396"/>
      <c r="D1" s="3396"/>
      <c r="E1" s="3396"/>
      <c r="F1" s="3396"/>
      <c r="G1" s="3396"/>
      <c r="H1" s="3396"/>
      <c r="I1" s="3396"/>
    </row>
    <row r="2" spans="1:9" ht="30" customHeight="1" thickTop="1">
      <c r="A2" s="3397" t="s">
        <v>2875</v>
      </c>
      <c r="B2" s="3397" t="s">
        <v>2036</v>
      </c>
      <c r="C2" s="3397" t="s">
        <v>2037</v>
      </c>
      <c r="D2" s="3397" t="str">
        <f>'结果表（办公）'!D116</f>
        <v>出让国有建设用地使用权价值</v>
      </c>
      <c r="E2" s="3397"/>
      <c r="F2" s="3397" t="str">
        <f>'结果表（办公）'!F116</f>
        <v>在建建筑物价值</v>
      </c>
      <c r="G2" s="3397"/>
      <c r="H2" s="3397" t="s">
        <v>6</v>
      </c>
      <c r="I2" s="3397"/>
    </row>
    <row r="3" spans="1:9" ht="14.25">
      <c r="A3" s="3398"/>
      <c r="B3" s="3398"/>
      <c r="C3" s="3398"/>
      <c r="D3" s="1913" t="s">
        <v>7</v>
      </c>
      <c r="E3" s="1913" t="s">
        <v>2038</v>
      </c>
      <c r="F3" s="1913" t="s">
        <v>7</v>
      </c>
      <c r="G3" s="1913" t="s">
        <v>8</v>
      </c>
      <c r="H3" s="1913" t="s">
        <v>7</v>
      </c>
      <c r="I3" s="1913" t="s">
        <v>8</v>
      </c>
    </row>
    <row r="4" spans="1:9" ht="42.75">
      <c r="A4" s="1983" t="str">
        <f>项目基本情况!S2</f>
        <v>新疆伊宁市经济合作区上海路以西山东路以南（万荣广场）房地产</v>
      </c>
      <c r="B4" s="1977">
        <f>项目基本情况!C17</f>
        <v>3353.7699999999995</v>
      </c>
      <c r="C4" s="1977">
        <f>项目基本情况!C18</f>
        <v>0</v>
      </c>
      <c r="D4" s="1977" t="e">
        <f ca="1">'结果表（办公）'!D118</f>
        <v>#REF!</v>
      </c>
      <c r="E4" s="1977" t="e">
        <f ca="1">'结果表（办公）'!E118</f>
        <v>#REF!</v>
      </c>
      <c r="F4" s="1977" t="e">
        <f ca="1">'结果表（办公）'!F118</f>
        <v>#REF!</v>
      </c>
      <c r="G4" s="1977" t="e">
        <f ca="1">'结果表（办公）'!G118</f>
        <v>#REF!</v>
      </c>
      <c r="H4" s="1977">
        <f ca="1">'结果表（办公）'!H118</f>
        <v>1315</v>
      </c>
      <c r="I4" s="1977">
        <f ca="1">'结果表（办公）'!I118</f>
        <v>6462</v>
      </c>
    </row>
    <row r="5" spans="1:9" ht="30" customHeight="1">
      <c r="A5" s="3398" t="s">
        <v>9</v>
      </c>
      <c r="B5" s="3398"/>
      <c r="C5" s="3398"/>
      <c r="D5" s="3399" t="e">
        <f ca="1">'结果表（办公）'!D119</f>
        <v>#REF!</v>
      </c>
      <c r="E5" s="3399"/>
      <c r="F5" s="3399" t="e">
        <f ca="1">'结果表（办公）'!F119</f>
        <v>#REF!</v>
      </c>
      <c r="G5" s="3399"/>
      <c r="H5" s="3399" t="str">
        <f ca="1">'结果表（办公）'!H119</f>
        <v>壹仟叁佰壹拾伍万元整</v>
      </c>
      <c r="I5" s="3399"/>
    </row>
    <row r="6" spans="1:9" ht="15.75">
      <c r="A6" s="3400" t="str">
        <f>'结果表（办公）'!A120</f>
        <v>估价师知悉的法定优先受偿款</v>
      </c>
      <c r="B6" s="3400"/>
      <c r="C6" s="3400"/>
      <c r="D6" s="3401">
        <f>'结果表（办公）'!D120</f>
        <v>0</v>
      </c>
      <c r="E6" s="3401"/>
      <c r="F6" s="3401"/>
      <c r="G6" s="3401"/>
      <c r="H6" s="3401"/>
      <c r="I6" s="3401"/>
    </row>
    <row r="7" spans="1:9" ht="14.25">
      <c r="A7" s="3398" t="s">
        <v>9</v>
      </c>
      <c r="B7" s="3398"/>
      <c r="C7" s="3398"/>
      <c r="D7" s="3402" t="str">
        <f>'结果表（办公）'!D121</f>
        <v>零元整</v>
      </c>
      <c r="E7" s="3403"/>
      <c r="F7" s="3403"/>
      <c r="G7" s="3403"/>
      <c r="H7" s="3403"/>
      <c r="I7" s="3404"/>
    </row>
    <row r="8" spans="1:9" ht="15.75">
      <c r="A8" s="3400" t="str">
        <f>'结果表（办公）'!A122</f>
        <v>房地产抵押价值</v>
      </c>
      <c r="B8" s="3400"/>
      <c r="C8" s="3400"/>
      <c r="D8" s="3401">
        <f ca="1">'结果表（办公）'!D122</f>
        <v>1315</v>
      </c>
      <c r="E8" s="3401"/>
      <c r="F8" s="3401"/>
      <c r="G8" s="3401"/>
      <c r="H8" s="3401"/>
      <c r="I8" s="3401"/>
    </row>
    <row r="9" spans="1:9" ht="14.25">
      <c r="A9" s="3398" t="s">
        <v>9</v>
      </c>
      <c r="B9" s="3398"/>
      <c r="C9" s="3398"/>
      <c r="D9" s="3399" t="str">
        <f ca="1">'结果表（办公）'!D123</f>
        <v>壹仟叁佰壹拾伍万元整</v>
      </c>
      <c r="E9" s="3399"/>
      <c r="F9" s="3399"/>
      <c r="G9" s="3399"/>
      <c r="H9" s="3399"/>
      <c r="I9" s="3399"/>
    </row>
    <row r="10" spans="1:9" ht="15.75">
      <c r="A10" s="3400" t="str">
        <f>'结果表（办公）'!A124</f>
        <v/>
      </c>
      <c r="B10" s="3400"/>
      <c r="C10" s="3400"/>
      <c r="D10" s="3401" t="str">
        <f>'结果表（办公）'!D124</f>
        <v>——</v>
      </c>
      <c r="E10" s="3401"/>
      <c r="F10" s="3401"/>
      <c r="G10" s="3401"/>
      <c r="H10" s="3401"/>
      <c r="I10" s="3401"/>
    </row>
    <row r="11" spans="1:9" ht="14.25">
      <c r="A11" s="3398" t="s">
        <v>9</v>
      </c>
      <c r="B11" s="3398"/>
      <c r="C11" s="3398"/>
      <c r="D11" s="3399" t="e">
        <f>'结果表（办公）'!D125</f>
        <v>#VALUE!</v>
      </c>
      <c r="E11" s="3399"/>
      <c r="F11" s="3399"/>
      <c r="G11" s="3399"/>
      <c r="H11" s="3399"/>
      <c r="I11" s="3399"/>
    </row>
    <row r="12" spans="1:9" ht="15.75">
      <c r="A12" s="3400" t="str">
        <f>'结果表（办公）'!A126</f>
        <v/>
      </c>
      <c r="B12" s="3400"/>
      <c r="C12" s="3400"/>
      <c r="D12" s="3401" t="str">
        <f>'结果表（办公）'!D126</f>
        <v>——</v>
      </c>
      <c r="E12" s="3401"/>
      <c r="F12" s="3401"/>
      <c r="G12" s="3401"/>
      <c r="H12" s="3401"/>
      <c r="I12" s="3401"/>
    </row>
    <row r="13" spans="1:9" ht="15" thickBot="1">
      <c r="A13" s="3405" t="s">
        <v>9</v>
      </c>
      <c r="B13" s="3405"/>
      <c r="C13" s="3405"/>
      <c r="D13" s="3406" t="e">
        <f>'结果表（办公）'!D127</f>
        <v>#VALUE!</v>
      </c>
      <c r="E13" s="3406"/>
      <c r="F13" s="3406"/>
      <c r="G13" s="3406"/>
      <c r="H13" s="3406"/>
      <c r="I13" s="3406"/>
    </row>
    <row r="14" spans="1:9" ht="14.25" thickTop="1">
      <c r="A14" s="3407" t="s">
        <v>2039</v>
      </c>
      <c r="B14" s="3407"/>
      <c r="C14" s="3407"/>
      <c r="D14" s="3407"/>
      <c r="E14" s="3407"/>
      <c r="F14" s="3407"/>
      <c r="G14" s="3407"/>
      <c r="H14" s="3407"/>
      <c r="I14" s="3407"/>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08" t="s">
        <v>2851</v>
      </c>
      <c r="B1" s="3408"/>
      <c r="C1" s="3408"/>
      <c r="D1" s="3408"/>
    </row>
    <row r="2" spans="1:4" ht="18.75">
      <c r="A2" s="3409" t="s">
        <v>2110</v>
      </c>
      <c r="B2" s="3409"/>
      <c r="C2" s="3409"/>
      <c r="D2" s="3409"/>
    </row>
    <row r="3" spans="1:4" ht="18.75">
      <c r="A3" s="2610" t="s">
        <v>2111</v>
      </c>
      <c r="B3" s="2610" t="s">
        <v>2112</v>
      </c>
      <c r="C3" s="2610" t="s">
        <v>2113</v>
      </c>
      <c r="D3" s="2610" t="s">
        <v>2114</v>
      </c>
    </row>
    <row r="4" spans="1:4" ht="56.25" customHeight="1">
      <c r="A4" s="2616" t="str">
        <f>项目基本情况!B4</f>
        <v>吴薇</v>
      </c>
      <c r="B4" s="2611">
        <f ca="1">项目基本情况!C4</f>
        <v>1419970001</v>
      </c>
      <c r="C4" s="2614"/>
      <c r="D4" s="2612" t="s">
        <v>2115</v>
      </c>
    </row>
    <row r="5" spans="1:4" ht="56.25" customHeight="1">
      <c r="A5" s="2616" t="str">
        <f>项目基本情况!D4</f>
        <v>刘梅</v>
      </c>
      <c r="B5" s="2611">
        <f ca="1">项目基本情况!E4</f>
        <v>0</v>
      </c>
      <c r="C5" s="2615"/>
      <c r="D5" s="2612" t="s">
        <v>2115</v>
      </c>
    </row>
    <row r="6" spans="1:4" ht="18.75">
      <c r="A6" s="3409" t="s">
        <v>2612</v>
      </c>
      <c r="B6" s="3409"/>
      <c r="C6" s="3409"/>
      <c r="D6" s="3409"/>
    </row>
    <row r="7" spans="1:4" ht="18.75">
      <c r="A7" s="2610" t="s">
        <v>2111</v>
      </c>
      <c r="B7" s="2611" t="s">
        <v>2116</v>
      </c>
      <c r="C7" s="2610" t="s">
        <v>2113</v>
      </c>
      <c r="D7" s="2610" t="s">
        <v>2114</v>
      </c>
    </row>
    <row r="8" spans="1:4" ht="56.25" customHeight="1">
      <c r="A8" s="2613" t="s">
        <v>2117</v>
      </c>
      <c r="B8" s="2613" t="s">
        <v>23</v>
      </c>
      <c r="C8" s="2614"/>
      <c r="D8" s="2612" t="s">
        <v>2115</v>
      </c>
    </row>
    <row r="9" spans="1:4">
      <c r="A9" s="1495"/>
      <c r="B9" s="1495"/>
      <c r="C9" s="1495"/>
      <c r="D9" s="1495"/>
    </row>
    <row r="10" spans="1:4" ht="18.75">
      <c r="A10" s="2093" t="s">
        <v>2118</v>
      </c>
      <c r="B10" s="1495"/>
      <c r="C10" s="1495"/>
      <c r="D10" s="1495"/>
    </row>
    <row r="11" spans="1:4" ht="30" customHeight="1">
      <c r="A11" s="3410" t="s">
        <v>2705</v>
      </c>
      <c r="B11" s="3411"/>
      <c r="C11" s="3411"/>
      <c r="D11" s="3411"/>
    </row>
    <row r="12" spans="1:4" ht="14.25">
      <c r="A12" s="3411" t="str">
        <f>IF(项目基本情况!B8="抵押","2.本《评估意见函》仅供金融机构进行内部审核使用，不做其他目的之用。","")</f>
        <v/>
      </c>
      <c r="B12" s="3412"/>
      <c r="C12" s="3412"/>
      <c r="D12" s="3412"/>
    </row>
    <row r="13" spans="1:4" ht="30" customHeight="1">
      <c r="A13" s="3411" t="str">
        <f>IF(项目基本情况!B8="抵押","3.抵押双方在办理抵押登记手续时，应使用本公司出具的正式《房地产评估报告》，特提醒报告使用者注意。","")</f>
        <v/>
      </c>
      <c r="B13" s="3412"/>
      <c r="C13" s="3412"/>
      <c r="D13" s="3412"/>
    </row>
    <row r="14" spans="1:4" ht="15.75" customHeight="1">
      <c r="A14" s="3411" t="str">
        <f>IF(项目基本情况!B8="抵押","4.本次评估估价师所知悉的法定优先受偿款情况说明如下：","")</f>
        <v/>
      </c>
      <c r="B14" s="3412"/>
      <c r="C14" s="3412"/>
      <c r="D14" s="3412"/>
    </row>
    <row r="15" spans="1:4" ht="42" customHeight="1">
      <c r="A15" s="3411" t="str">
        <f>IF(项目基本情况!B8="抵押","（1）"&amp;CONCATENATE(项目基本情况!L20,项目基本情况!L21,项目基本情况!L22),"")</f>
        <v/>
      </c>
      <c r="B15" s="3411"/>
      <c r="C15" s="3411"/>
      <c r="D15" s="3411"/>
    </row>
    <row r="16" spans="1:4" ht="30" customHeight="1">
      <c r="A16" s="3414" t="s">
        <v>2122</v>
      </c>
      <c r="B16" s="3414"/>
      <c r="C16" s="3414"/>
      <c r="D16" s="3414"/>
    </row>
    <row r="17" spans="1:4" ht="144" customHeight="1">
      <c r="A17" s="3414" t="s">
        <v>2123</v>
      </c>
      <c r="B17" s="3414"/>
      <c r="C17" s="3414"/>
      <c r="D17" s="3414"/>
    </row>
    <row r="18" spans="1:4" ht="15.75" customHeight="1">
      <c r="A18" s="3411" t="str">
        <f>IF(项目基本情况!B8="抵押",'结果表（办公）'!K120,"")</f>
        <v/>
      </c>
      <c r="B18" s="3411"/>
      <c r="C18" s="3411"/>
      <c r="D18" s="3411"/>
    </row>
    <row r="19" spans="1:4" ht="46.5" customHeight="1">
      <c r="A19" s="341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办公）'!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5" t="str">
        <f>IF('结果表（办公）'!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spans="1:4" ht="18.75" customHeight="1">
      <c r="A22" s="3416" t="s">
        <v>2873</v>
      </c>
      <c r="B22" s="3416"/>
      <c r="C22" s="3416"/>
      <c r="D22" s="3416"/>
    </row>
    <row r="23" spans="1:4">
      <c r="A23" s="1984"/>
      <c r="B23" s="1993"/>
      <c r="C23" s="1993"/>
      <c r="D23" s="1993"/>
    </row>
    <row r="24" spans="1:4">
      <c r="A24" s="1984"/>
      <c r="B24" s="1993"/>
      <c r="C24" s="1993"/>
      <c r="D24" s="1993"/>
    </row>
    <row r="25" spans="1:4" ht="18.75">
      <c r="A25" s="1982" t="s">
        <v>2119</v>
      </c>
    </row>
    <row r="26" spans="1:4" ht="18.75">
      <c r="A26" s="1954"/>
    </row>
    <row r="27" spans="1:4" ht="18.75">
      <c r="A27" s="1954" t="s">
        <v>2120</v>
      </c>
    </row>
    <row r="30" spans="1:4" ht="18.75">
      <c r="D30" s="1982" t="s">
        <v>2121</v>
      </c>
    </row>
    <row r="31" spans="1:4" ht="13.5" customHeight="1">
      <c r="C31" s="3413">
        <v>42551</v>
      </c>
      <c r="D31" s="341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1993" customWidth="1"/>
    <col min="3" max="10" width="12.5" style="1993" customWidth="1"/>
    <col min="11" max="16384" width="9" style="1993"/>
  </cols>
  <sheetData>
    <row r="1" spans="1:10" ht="18.75">
      <c r="A1" s="2872" t="s">
        <v>2126</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1128</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22" t="s">
        <v>553</v>
      </c>
      <c r="B15" s="3417" t="s">
        <v>1129</v>
      </c>
      <c r="C15" s="3418"/>
    </row>
    <row r="16" spans="1:7" ht="13.5">
      <c r="A16" s="3423"/>
      <c r="B16" s="3417" t="s">
        <v>526</v>
      </c>
      <c r="C16" s="3418"/>
    </row>
    <row r="17" spans="1:3" ht="13.5">
      <c r="A17" s="3423"/>
      <c r="B17" s="3420" t="s">
        <v>554</v>
      </c>
      <c r="C17" s="1148" t="s">
        <v>553</v>
      </c>
    </row>
    <row r="18" spans="1:3" ht="13.5">
      <c r="A18" s="3423"/>
      <c r="B18" s="3420"/>
      <c r="C18" s="1148" t="s">
        <v>555</v>
      </c>
    </row>
    <row r="19" spans="1:3" ht="13.5">
      <c r="A19" s="3423"/>
      <c r="B19" s="3420"/>
      <c r="C19" s="1148" t="s">
        <v>556</v>
      </c>
    </row>
    <row r="20" spans="1:3" ht="13.5">
      <c r="A20" s="3424"/>
      <c r="B20" s="3419" t="s">
        <v>557</v>
      </c>
      <c r="C20" s="3418"/>
    </row>
    <row r="21" spans="1:3" ht="13.5">
      <c r="A21" s="1149" t="s">
        <v>558</v>
      </c>
      <c r="B21" s="1150"/>
      <c r="C21" s="1151"/>
    </row>
    <row r="22" spans="1:3" ht="13.5">
      <c r="A22" s="3421" t="s">
        <v>559</v>
      </c>
      <c r="B22" s="3419" t="s">
        <v>560</v>
      </c>
      <c r="C22" s="3418"/>
    </row>
    <row r="23" spans="1:3" ht="13.5">
      <c r="A23" s="3421"/>
      <c r="B23" s="3419" t="s">
        <v>561</v>
      </c>
      <c r="C23" s="3418"/>
    </row>
    <row r="24" spans="1:3" ht="13.5">
      <c r="A24" s="3421"/>
      <c r="B24" s="3419" t="s">
        <v>562</v>
      </c>
      <c r="C24" s="3418"/>
    </row>
    <row r="25" spans="1:3" ht="13.5">
      <c r="A25" s="3421"/>
      <c r="B25" s="3420" t="s">
        <v>563</v>
      </c>
      <c r="C25" s="1148" t="s">
        <v>564</v>
      </c>
    </row>
    <row r="26" spans="1:3" ht="13.5">
      <c r="A26" s="3421"/>
      <c r="B26" s="3420"/>
      <c r="C26" s="1148" t="s">
        <v>565</v>
      </c>
    </row>
    <row r="27" spans="1:3" ht="13.5">
      <c r="A27" s="3421"/>
      <c r="B27" s="3420"/>
      <c r="C27" s="1148" t="s">
        <v>566</v>
      </c>
    </row>
    <row r="28" spans="1:3" ht="13.5">
      <c r="A28" s="3421"/>
      <c r="B28" s="3420"/>
      <c r="C28" s="1148" t="s">
        <v>567</v>
      </c>
    </row>
    <row r="29" spans="1:3" ht="13.5">
      <c r="A29" s="3421"/>
      <c r="B29" s="3420"/>
      <c r="C29" s="1148" t="s">
        <v>568</v>
      </c>
    </row>
    <row r="30" spans="1:3" ht="13.5">
      <c r="A30" s="3421"/>
      <c r="B30" s="3420"/>
      <c r="C30" s="1148" t="s">
        <v>569</v>
      </c>
    </row>
    <row r="31" spans="1:3" ht="13.5">
      <c r="A31" s="3421"/>
      <c r="B31" s="3420"/>
      <c r="C31" s="1148" t="s">
        <v>570</v>
      </c>
    </row>
    <row r="32" spans="1:3" ht="13.5">
      <c r="A32" s="3421"/>
      <c r="B32" s="3420"/>
      <c r="C32" s="1148" t="s">
        <v>571</v>
      </c>
    </row>
    <row r="33" spans="1:3" ht="13.5">
      <c r="A33" s="3421"/>
      <c r="B33" s="3420"/>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43035</v>
      </c>
      <c r="C2" s="1892" t="s">
        <v>1964</v>
      </c>
      <c r="D2" s="1892"/>
    </row>
    <row r="3" spans="1:6" ht="24" customHeight="1">
      <c r="A3" s="1893" t="s">
        <v>1965</v>
      </c>
      <c r="B3" s="1894" t="s">
        <v>1966</v>
      </c>
      <c r="C3" s="1894" t="s">
        <v>1967</v>
      </c>
      <c r="D3" s="1895" t="s">
        <v>1968</v>
      </c>
      <c r="E3" s="1896" t="s">
        <v>1969</v>
      </c>
      <c r="F3" s="1894" t="s">
        <v>1967</v>
      </c>
    </row>
    <row r="4" spans="1:6" ht="24" customHeight="1">
      <c r="A4" s="3207" t="s">
        <v>1970</v>
      </c>
      <c r="B4" s="1896">
        <f ca="1">IF(C4&lt;B2,"已过期",1119970066)</f>
        <v>1119970066</v>
      </c>
      <c r="C4" s="3208">
        <v>43849</v>
      </c>
      <c r="D4" s="3207" t="s">
        <v>1970</v>
      </c>
      <c r="E4" s="1896">
        <f ca="1">IF(F4&lt;B2,"已过期",96010014)</f>
        <v>96010014</v>
      </c>
      <c r="F4" s="1905">
        <v>47118</v>
      </c>
    </row>
    <row r="5" spans="1:6" ht="24" customHeight="1">
      <c r="A5" s="3207" t="s">
        <v>1971</v>
      </c>
      <c r="B5" s="1896">
        <f ca="1">IF(C5&lt;B2,"已过期",1119970074)</f>
        <v>1119970074</v>
      </c>
      <c r="C5" s="3208">
        <v>43849</v>
      </c>
      <c r="D5" s="3207" t="s">
        <v>1971</v>
      </c>
      <c r="E5" s="1896">
        <f ca="1">IF(F5&lt;B2,"已过期",2002110027)</f>
        <v>2002110027</v>
      </c>
      <c r="F5" s="1905">
        <v>46752</v>
      </c>
    </row>
    <row r="6" spans="1:6" ht="24" customHeight="1">
      <c r="A6" s="3207" t="s">
        <v>1972</v>
      </c>
      <c r="B6" s="1896">
        <f ca="1">IF(C6&lt;B2,"已过期",1119970111)</f>
        <v>1119970111</v>
      </c>
      <c r="C6" s="3208">
        <v>43849</v>
      </c>
      <c r="D6" s="3207" t="s">
        <v>1972</v>
      </c>
      <c r="E6" s="1896">
        <f ca="1">IF(F6&lt;B2,"已过期",94010078)</f>
        <v>94010078</v>
      </c>
      <c r="F6" s="1905">
        <v>46387</v>
      </c>
    </row>
    <row r="7" spans="1:6" ht="24" customHeight="1">
      <c r="A7" s="3207" t="s">
        <v>1973</v>
      </c>
      <c r="B7" s="1896">
        <f ca="1">IF(C7&lt;B2,"已过期",1120050019)</f>
        <v>1120050019</v>
      </c>
      <c r="C7" s="3208">
        <v>43359</v>
      </c>
      <c r="D7" s="3207" t="s">
        <v>1973</v>
      </c>
      <c r="E7" s="1896">
        <f ca="1">IF(F7&lt;B2,"已过期",2002110030)</f>
        <v>2002110030</v>
      </c>
      <c r="F7" s="1905">
        <v>46387</v>
      </c>
    </row>
    <row r="8" spans="1:6" ht="24" customHeight="1">
      <c r="A8" s="3207" t="s">
        <v>1974</v>
      </c>
      <c r="B8" s="1896">
        <f ca="1">IF(C8&lt;B2,"已过期",1120000080)</f>
        <v>1120000080</v>
      </c>
      <c r="C8" s="3208">
        <v>43849</v>
      </c>
      <c r="D8" s="3207" t="s">
        <v>1974</v>
      </c>
      <c r="E8" s="1896">
        <f ca="1">IF(F8&lt;B2,"已过期",2000110082)</f>
        <v>2000110082</v>
      </c>
      <c r="F8" s="1905">
        <v>46387</v>
      </c>
    </row>
    <row r="9" spans="1:6" ht="24" customHeight="1">
      <c r="A9" s="3207" t="s">
        <v>1975</v>
      </c>
      <c r="B9" s="1896">
        <f ca="1">IF(C9&lt;B2,"已过期",1419970001)</f>
        <v>1419970001</v>
      </c>
      <c r="C9" s="3208">
        <v>43867</v>
      </c>
      <c r="D9" s="3207" t="s">
        <v>1975</v>
      </c>
      <c r="E9" s="1896">
        <f ca="1">IF(F9&lt;B2,"已过期",2002110125)</f>
        <v>2002110125</v>
      </c>
      <c r="F9" s="1905">
        <v>47118</v>
      </c>
    </row>
    <row r="10" spans="1:6" ht="24" customHeight="1">
      <c r="A10" s="3207" t="s">
        <v>1976</v>
      </c>
      <c r="B10" s="1896">
        <f ca="1">IF(C10&lt;B2,"已过期",1120060040)</f>
        <v>1120060040</v>
      </c>
      <c r="C10" s="3208">
        <v>43483</v>
      </c>
      <c r="D10" s="3207" t="s">
        <v>1976</v>
      </c>
      <c r="E10" s="1896">
        <f ca="1">IF(F10&lt;B2,"已过期",2004110096)</f>
        <v>2004110096</v>
      </c>
      <c r="F10" s="1905">
        <v>47118</v>
      </c>
    </row>
    <row r="11" spans="1:6" ht="24" customHeight="1">
      <c r="A11" s="3207" t="s">
        <v>1977</v>
      </c>
      <c r="B11" s="1896">
        <f ca="1">IF(C11&lt;B2,"已过期",1120100036)</f>
        <v>1120100036</v>
      </c>
      <c r="C11" s="3208">
        <v>43622</v>
      </c>
      <c r="D11" s="3207" t="s">
        <v>1977</v>
      </c>
      <c r="E11" s="1896">
        <f ca="1">IF(F11&lt;B2,"已过期",2010110070)</f>
        <v>2010110070</v>
      </c>
      <c r="F11" s="1905">
        <v>47907</v>
      </c>
    </row>
    <row r="12" spans="1:6" ht="24" customHeight="1">
      <c r="A12" s="3207"/>
      <c r="B12" s="1896"/>
      <c r="C12" s="3208"/>
      <c r="D12" s="3207"/>
      <c r="E12" s="1896"/>
      <c r="F12" s="1896"/>
    </row>
    <row r="13" spans="1:6" ht="24" customHeight="1">
      <c r="A13" s="3207" t="s">
        <v>1978</v>
      </c>
      <c r="B13" s="1896">
        <f ca="1">IF(C13&lt;B2,"已过期",1120070131)</f>
        <v>1120070131</v>
      </c>
      <c r="C13" s="3208">
        <v>43814</v>
      </c>
      <c r="D13" s="3207" t="s">
        <v>1978</v>
      </c>
      <c r="E13" s="1896">
        <v>2014110011</v>
      </c>
      <c r="F13" s="1905">
        <v>49302</v>
      </c>
    </row>
    <row r="14" spans="1:6" ht="24" customHeight="1">
      <c r="A14" s="3207" t="s">
        <v>1979</v>
      </c>
      <c r="B14" s="1896">
        <f ca="1">IF(C14&lt;B2,"已过期",1120130020)</f>
        <v>1120130020</v>
      </c>
      <c r="C14" s="3208">
        <v>43622</v>
      </c>
      <c r="D14" s="3207"/>
      <c r="E14" s="1896"/>
      <c r="F14" s="1896"/>
    </row>
    <row r="15" spans="1:6" ht="24" customHeight="1">
      <c r="A15" s="3209" t="s">
        <v>2703</v>
      </c>
      <c r="B15" s="1896">
        <v>1120070085</v>
      </c>
      <c r="C15" s="3208">
        <v>43814</v>
      </c>
      <c r="D15" s="3209" t="s">
        <v>2703</v>
      </c>
      <c r="E15" s="1896">
        <v>2004110128</v>
      </c>
      <c r="F15" s="1897">
        <v>47118</v>
      </c>
    </row>
    <row r="16" spans="1:6" ht="24" customHeight="1">
      <c r="A16" s="3207" t="s">
        <v>1980</v>
      </c>
      <c r="B16" s="1896" t="str">
        <f ca="1">IF(C16&lt;B2,"已过期",1120140022)</f>
        <v>已过期</v>
      </c>
      <c r="C16" s="3208">
        <v>42987</v>
      </c>
      <c r="D16" s="3207" t="s">
        <v>1980</v>
      </c>
      <c r="E16" s="1896">
        <f ca="1">IF(F16&lt;B2,"已过期",2008110059)</f>
        <v>2008110059</v>
      </c>
      <c r="F16" s="1905">
        <v>47177</v>
      </c>
    </row>
    <row r="17" spans="1:7" ht="24" customHeight="1">
      <c r="A17" s="3207" t="s">
        <v>1981</v>
      </c>
      <c r="B17" s="1896" t="str">
        <f ca="1">IF(C17&lt;B2,"已过期",1120140020)</f>
        <v>已过期</v>
      </c>
      <c r="C17" s="3208">
        <v>42987</v>
      </c>
      <c r="D17" s="3207"/>
      <c r="E17" s="1896"/>
      <c r="F17" s="1905"/>
    </row>
    <row r="18" spans="1:7" ht="24" customHeight="1">
      <c r="A18" s="3207" t="s">
        <v>1982</v>
      </c>
      <c r="B18" s="1896" t="str">
        <f ca="1">IF(C18&lt;B2,"已过期",1120140024)</f>
        <v>已过期</v>
      </c>
      <c r="C18" s="3208">
        <v>42987</v>
      </c>
      <c r="D18" s="3207" t="s">
        <v>1982</v>
      </c>
      <c r="E18" s="1896">
        <f ca="1">IF(F18&lt;B2,"已过期",2011110048)</f>
        <v>2011110048</v>
      </c>
      <c r="F18" s="1905">
        <v>48302</v>
      </c>
    </row>
    <row r="19" spans="1:7" ht="24" customHeight="1">
      <c r="A19" s="3207" t="s">
        <v>1983</v>
      </c>
      <c r="B19" s="1896" t="str">
        <f ca="1">IF(C19&lt;B2,"已过期",1120140019)</f>
        <v>已过期</v>
      </c>
      <c r="C19" s="3208">
        <v>42987</v>
      </c>
      <c r="D19" s="3207"/>
      <c r="E19" s="1896"/>
      <c r="F19" s="1896"/>
    </row>
    <row r="20" spans="1:7" ht="24" customHeight="1">
      <c r="A20" s="3207" t="s">
        <v>1984</v>
      </c>
      <c r="B20" s="1896" t="str">
        <f ca="1">IF(C20&lt;B2,"已过期",1120140023)</f>
        <v>已过期</v>
      </c>
      <c r="C20" s="3208">
        <v>42987</v>
      </c>
      <c r="D20" s="3207"/>
      <c r="E20" s="1896"/>
      <c r="F20" s="1896"/>
    </row>
    <row r="21" spans="1:7" ht="24" customHeight="1">
      <c r="A21" s="3207"/>
      <c r="B21" s="1896"/>
      <c r="C21" s="3208"/>
      <c r="D21" s="3207" t="s">
        <v>1985</v>
      </c>
      <c r="E21" s="1896">
        <f ca="1">IF(F21&lt;B2,"已过期",2011110090)</f>
        <v>2011110090</v>
      </c>
      <c r="F21" s="1905">
        <v>48302</v>
      </c>
    </row>
    <row r="22" spans="1:7" ht="24" customHeight="1">
      <c r="A22" s="3207" t="s">
        <v>1986</v>
      </c>
      <c r="B22" s="1896">
        <f ca="1">IF(C22&lt;B2,"已过期",1120020033)</f>
        <v>1120020033</v>
      </c>
      <c r="C22" s="3208">
        <v>43304</v>
      </c>
      <c r="D22" s="3207" t="s">
        <v>1986</v>
      </c>
      <c r="E22" s="1896">
        <f ca="1">IF(F22&lt;B2,"已过期",2000110137)</f>
        <v>2000110137</v>
      </c>
      <c r="F22" s="1905">
        <v>46387</v>
      </c>
    </row>
    <row r="23" spans="1:7" ht="24" customHeight="1">
      <c r="A23" s="3207" t="s">
        <v>1987</v>
      </c>
      <c r="B23" s="1896">
        <f ca="1">IF(C23&lt;B2,"已过期",1120130048)</f>
        <v>1120130048</v>
      </c>
      <c r="C23" s="3208">
        <v>43686</v>
      </c>
      <c r="D23" s="3207"/>
      <c r="E23" s="1896"/>
      <c r="F23" s="1896"/>
    </row>
    <row r="24" spans="1:7" s="1898" customFormat="1" ht="24" customHeight="1">
      <c r="A24" s="3209" t="s">
        <v>2939</v>
      </c>
      <c r="B24" s="3209" t="s">
        <v>2939</v>
      </c>
      <c r="C24" s="3209" t="s">
        <v>2939</v>
      </c>
      <c r="D24" s="3209" t="s">
        <v>2939</v>
      </c>
      <c r="E24" s="3209" t="s">
        <v>2939</v>
      </c>
      <c r="F24" s="3209" t="s">
        <v>2939</v>
      </c>
    </row>
    <row r="25" spans="1:7" ht="24" customHeight="1">
      <c r="A25" s="3425" t="s">
        <v>1988</v>
      </c>
      <c r="B25" s="3425"/>
      <c r="C25" s="3425"/>
      <c r="D25" s="3425"/>
      <c r="E25" s="3425"/>
      <c r="F25" s="3425"/>
      <c r="G25" s="3425"/>
    </row>
    <row r="26" spans="1:7" s="1900" customFormat="1" ht="24" customHeight="1">
      <c r="A26" s="3426" t="s">
        <v>1989</v>
      </c>
      <c r="B26" s="3426"/>
      <c r="C26" s="3426"/>
      <c r="D26" s="1899"/>
      <c r="E26" s="3426" t="s">
        <v>1990</v>
      </c>
      <c r="F26" s="3426"/>
      <c r="G26" s="3426"/>
    </row>
    <row r="27" spans="1:7" s="1902" customFormat="1" ht="24" customHeight="1">
      <c r="A27" s="1901" t="s">
        <v>1991</v>
      </c>
      <c r="B27" s="1894" t="s">
        <v>1992</v>
      </c>
      <c r="C27" s="1894" t="s">
        <v>1993</v>
      </c>
      <c r="D27" s="1894"/>
      <c r="E27" s="1896" t="s">
        <v>1991</v>
      </c>
      <c r="F27" s="1894" t="s">
        <v>1992</v>
      </c>
      <c r="G27" s="1894" t="s">
        <v>1993</v>
      </c>
    </row>
    <row r="28" spans="1:7" s="1902" customFormat="1" ht="24" customHeight="1">
      <c r="A28" s="1903" t="s">
        <v>1994</v>
      </c>
      <c r="B28" s="1904" t="s">
        <v>1995</v>
      </c>
      <c r="C28" s="1905">
        <v>43725</v>
      </c>
      <c r="D28" s="1905"/>
      <c r="E28" s="1903" t="s">
        <v>1996</v>
      </c>
      <c r="F28" s="1903" t="s">
        <v>1997</v>
      </c>
      <c r="G28" s="2112">
        <v>44377</v>
      </c>
    </row>
    <row r="29" spans="1:7" s="1902" customFormat="1" ht="24" customHeight="1">
      <c r="A29" s="1903"/>
      <c r="B29" s="1903"/>
      <c r="C29" s="1906"/>
      <c r="D29" s="1906"/>
      <c r="E29" s="1903" t="s">
        <v>1998</v>
      </c>
      <c r="F29" s="2438" t="s">
        <v>3050</v>
      </c>
      <c r="G29" s="2439">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243" priority="55">
      <formula>AND($C28-TODAY()&lt;30,TODAY()&lt;$C28)</formula>
    </cfRule>
  </conditionalFormatting>
  <conditionalFormatting sqref="C28:D28 F4">
    <cfRule type="cellIs" dxfId="242" priority="57" stopIfTrue="1" operator="lessThan">
      <formula>$B$2</formula>
    </cfRule>
  </conditionalFormatting>
  <conditionalFormatting sqref="C5">
    <cfRule type="expression" dxfId="241" priority="52">
      <formula>AND($C5-TODAY()&lt;30,TODAY()&lt;$C5)</formula>
    </cfRule>
  </conditionalFormatting>
  <conditionalFormatting sqref="C5 F5">
    <cfRule type="cellIs" dxfId="240" priority="53" stopIfTrue="1" operator="lessThan">
      <formula>$B$2</formula>
    </cfRule>
  </conditionalFormatting>
  <conditionalFormatting sqref="F6 F8 F10">
    <cfRule type="cellIs" dxfId="239" priority="51" stopIfTrue="1" operator="lessThan">
      <formula>$B$2</formula>
    </cfRule>
  </conditionalFormatting>
  <conditionalFormatting sqref="C4:C23">
    <cfRule type="expression" dxfId="238" priority="49">
      <formula>AND($C4-TODAY()&lt;30,TODAY()&lt;$C4)</formula>
    </cfRule>
  </conditionalFormatting>
  <conditionalFormatting sqref="F7 F9 F11 C4:C23">
    <cfRule type="cellIs" dxfId="237" priority="50" stopIfTrue="1" operator="lessThan">
      <formula>$B$2</formula>
    </cfRule>
  </conditionalFormatting>
  <conditionalFormatting sqref="C12">
    <cfRule type="expression" dxfId="236" priority="47">
      <formula>AND($C12-TODAY()&lt;30,TODAY()&lt;$C12)</formula>
    </cfRule>
  </conditionalFormatting>
  <conditionalFormatting sqref="C12">
    <cfRule type="cellIs" dxfId="235" priority="48" stopIfTrue="1" operator="lessThan">
      <formula>$B$2</formula>
    </cfRule>
  </conditionalFormatting>
  <conditionalFormatting sqref="C14">
    <cfRule type="expression" dxfId="234" priority="43">
      <formula>AND($C14-TODAY()&lt;30,TODAY()&lt;$C14)</formula>
    </cfRule>
  </conditionalFormatting>
  <conditionalFormatting sqref="C14">
    <cfRule type="cellIs" dxfId="233" priority="44" stopIfTrue="1" operator="lessThan">
      <formula>$B$2</formula>
    </cfRule>
  </conditionalFormatting>
  <conditionalFormatting sqref="C16">
    <cfRule type="expression" dxfId="232" priority="41">
      <formula>AND($C16-TODAY()&lt;30,TODAY()&lt;$C16)</formula>
    </cfRule>
  </conditionalFormatting>
  <conditionalFormatting sqref="C16">
    <cfRule type="cellIs" dxfId="231" priority="42" stopIfTrue="1" operator="lessThan">
      <formula>$B$2</formula>
    </cfRule>
  </conditionalFormatting>
  <conditionalFormatting sqref="C18">
    <cfRule type="expression" dxfId="230" priority="39">
      <formula>AND($C18-TODAY()&lt;30,TODAY()&lt;$C18)</formula>
    </cfRule>
  </conditionalFormatting>
  <conditionalFormatting sqref="C18">
    <cfRule type="cellIs" dxfId="229" priority="40" stopIfTrue="1" operator="lessThan">
      <formula>$B$2</formula>
    </cfRule>
  </conditionalFormatting>
  <conditionalFormatting sqref="C20">
    <cfRule type="expression" dxfId="228" priority="37">
      <formula>AND($C20-TODAY()&lt;30,TODAY()&lt;$C20)</formula>
    </cfRule>
  </conditionalFormatting>
  <conditionalFormatting sqref="C20">
    <cfRule type="cellIs" dxfId="227" priority="38" stopIfTrue="1" operator="lessThan">
      <formula>$B$2</formula>
    </cfRule>
  </conditionalFormatting>
  <conditionalFormatting sqref="C22">
    <cfRule type="expression" dxfId="226" priority="35">
      <formula>AND($C22-TODAY()&lt;30,TODAY()&lt;$C22)</formula>
    </cfRule>
  </conditionalFormatting>
  <conditionalFormatting sqref="C22">
    <cfRule type="cellIs" dxfId="225" priority="36" stopIfTrue="1" operator="lessThan">
      <formula>$B$2</formula>
    </cfRule>
  </conditionalFormatting>
  <conditionalFormatting sqref="C15">
    <cfRule type="expression" dxfId="224" priority="33">
      <formula>AND($C15-TODAY()&lt;30,TODAY()&lt;$C15)</formula>
    </cfRule>
  </conditionalFormatting>
  <conditionalFormatting sqref="C15">
    <cfRule type="cellIs" dxfId="223" priority="34" stopIfTrue="1" operator="lessThan">
      <formula>$B$2</formula>
    </cfRule>
  </conditionalFormatting>
  <conditionalFormatting sqref="C17">
    <cfRule type="expression" dxfId="222" priority="31">
      <formula>AND($C17-TODAY()&lt;30,TODAY()&lt;$C17)</formula>
    </cfRule>
  </conditionalFormatting>
  <conditionalFormatting sqref="C17">
    <cfRule type="cellIs" dxfId="221" priority="32" stopIfTrue="1" operator="lessThan">
      <formula>$B$2</formula>
    </cfRule>
  </conditionalFormatting>
  <conditionalFormatting sqref="C19">
    <cfRule type="expression" dxfId="220" priority="29">
      <formula>AND($C19-TODAY()&lt;30,TODAY()&lt;$C19)</formula>
    </cfRule>
  </conditionalFormatting>
  <conditionalFormatting sqref="C19">
    <cfRule type="cellIs" dxfId="219" priority="30" stopIfTrue="1" operator="lessThan">
      <formula>$B$2</formula>
    </cfRule>
  </conditionalFormatting>
  <conditionalFormatting sqref="C21">
    <cfRule type="expression" dxfId="218" priority="27">
      <formula>AND($C21-TODAY()&lt;30,TODAY()&lt;$C21)</formula>
    </cfRule>
  </conditionalFormatting>
  <conditionalFormatting sqref="C21">
    <cfRule type="cellIs" dxfId="217" priority="28" stopIfTrue="1" operator="lessThan">
      <formula>$B$2</formula>
    </cfRule>
  </conditionalFormatting>
  <conditionalFormatting sqref="C23">
    <cfRule type="expression" dxfId="216" priority="25">
      <formula>AND($C23-TODAY()&lt;30,TODAY()&lt;$C23)</formula>
    </cfRule>
  </conditionalFormatting>
  <conditionalFormatting sqref="C23">
    <cfRule type="cellIs" dxfId="215" priority="26" stopIfTrue="1" operator="lessThan">
      <formula>$B$2</formula>
    </cfRule>
  </conditionalFormatting>
  <conditionalFormatting sqref="F16">
    <cfRule type="cellIs" dxfId="214" priority="23" stopIfTrue="1" operator="lessThan">
      <formula>$B$2</formula>
    </cfRule>
  </conditionalFormatting>
  <conditionalFormatting sqref="F18">
    <cfRule type="cellIs" dxfId="213" priority="22" stopIfTrue="1" operator="lessThan">
      <formula>$B$2</formula>
    </cfRule>
  </conditionalFormatting>
  <conditionalFormatting sqref="F22">
    <cfRule type="cellIs" dxfId="212" priority="21" stopIfTrue="1" operator="lessThan">
      <formula>$B$2</formula>
    </cfRule>
  </conditionalFormatting>
  <conditionalFormatting sqref="F21">
    <cfRule type="cellIs" dxfId="211" priority="20" stopIfTrue="1" operator="lessThan">
      <formula>$B$2</formula>
    </cfRule>
  </conditionalFormatting>
  <conditionalFormatting sqref="F17">
    <cfRule type="cellIs" dxfId="210" priority="19" stopIfTrue="1" operator="lessThan">
      <formula>$B$2</formula>
    </cfRule>
  </conditionalFormatting>
  <conditionalFormatting sqref="B4:B14 E4:E14 B16:B23 E16:E23">
    <cfRule type="cellIs" dxfId="209" priority="18" stopIfTrue="1" operator="equal">
      <formula>"已过期"</formula>
    </cfRule>
  </conditionalFormatting>
  <conditionalFormatting sqref="A24:F24">
    <cfRule type="cellIs" dxfId="208" priority="14" stopIfTrue="1" operator="equal">
      <formula>"已过期"</formula>
    </cfRule>
  </conditionalFormatting>
  <conditionalFormatting sqref="G28">
    <cfRule type="expression" dxfId="207" priority="12">
      <formula>AND($F28-TODAY()&lt;30,TODAY()&lt;$F28)</formula>
    </cfRule>
  </conditionalFormatting>
  <conditionalFormatting sqref="G28">
    <cfRule type="cellIs" dxfId="206" priority="13" stopIfTrue="1" operator="lessThan">
      <formula>$B$2</formula>
    </cfRule>
  </conditionalFormatting>
  <conditionalFormatting sqref="G29">
    <cfRule type="expression" dxfId="205" priority="8" stopIfTrue="1">
      <formula>AND($F29-TODAY()&lt;30,TODAY()&lt;$F29)</formula>
    </cfRule>
  </conditionalFormatting>
  <conditionalFormatting sqref="G29">
    <cfRule type="cellIs" dxfId="204" priority="9" stopIfTrue="1" operator="lessThan">
      <formula>$B$2</formula>
    </cfRule>
  </conditionalFormatting>
  <conditionalFormatting sqref="B15">
    <cfRule type="cellIs" dxfId="203" priority="6" stopIfTrue="1" operator="equal">
      <formula>"已过期"</formula>
    </cfRule>
  </conditionalFormatting>
  <conditionalFormatting sqref="A15">
    <cfRule type="cellIs" dxfId="202" priority="5" stopIfTrue="1" operator="equal">
      <formula>"已过期"</formula>
    </cfRule>
  </conditionalFormatting>
  <conditionalFormatting sqref="C15">
    <cfRule type="expression" dxfId="201" priority="4">
      <formula>AND($C15-TODAY()&lt;30,TODAY()&lt;$C15)</formula>
    </cfRule>
  </conditionalFormatting>
  <conditionalFormatting sqref="E15">
    <cfRule type="cellIs" dxfId="200" priority="3" stopIfTrue="1" operator="equal">
      <formula>"已过期"</formula>
    </cfRule>
  </conditionalFormatting>
  <conditionalFormatting sqref="D15">
    <cfRule type="cellIs" dxfId="199" priority="2" stopIfTrue="1" operator="equal">
      <formula>"已过期"</formula>
    </cfRule>
  </conditionalFormatting>
  <conditionalFormatting sqref="F13">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164</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(商业)</vt:lpstr>
      <vt:lpstr>结果表（办公）</vt:lpstr>
      <vt:lpstr>成本法</vt:lpstr>
      <vt:lpstr>成本法 (元)</vt:lpstr>
      <vt:lpstr>假设开发法</vt:lpstr>
      <vt:lpstr>收益法（汇总）</vt:lpstr>
      <vt:lpstr>酒店收入计算</vt:lpstr>
      <vt:lpstr>比较法-住宅</vt:lpstr>
      <vt:lpstr>比较法-商业</vt:lpstr>
      <vt:lpstr>收益法(商业元)</vt:lpstr>
      <vt:lpstr>收益法（商业）</vt:lpstr>
      <vt:lpstr>比较法-商业 (租金)</vt:lpstr>
      <vt:lpstr>比较法-办公</vt:lpstr>
      <vt:lpstr>收益法(办公元)</vt:lpstr>
      <vt:lpstr>收益法 (办公)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比较法-办公 (租金)</vt:lpstr>
      <vt:lpstr>典型户型修正</vt:lpstr>
      <vt:lpstr>面积表</vt:lpstr>
      <vt:lpstr>成本法（废）</vt:lpstr>
      <vt:lpstr>区片价</vt:lpstr>
      <vt:lpstr>因素修正幅度</vt:lpstr>
      <vt:lpstr>存贷款利率</vt:lpstr>
      <vt:lpstr>区片价（范围）</vt:lpstr>
      <vt:lpstr>估价师及机构信息!Print_Area</vt:lpstr>
      <vt:lpstr>'收益法 (办公)'!Print_Area</vt:lpstr>
      <vt:lpstr>'收益法(办公元)'!Print_Area</vt:lpstr>
      <vt:lpstr>'收益法（商业）'!Print_Area</vt:lpstr>
      <vt:lpstr>'收益法(商业元)'!Print_Area</vt:lpstr>
      <vt:lpstr>'数据-汇总表'!Print_Area</vt:lpstr>
      <vt:lpstr>'预评函-4'!Print_Area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2017-10-27T03:11:11Z</dcterms:modified>
</cp:coreProperties>
</file>