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4" activeTab="16"/>
  </bookViews>
  <sheets>
    <sheet name="致函链接" sheetId="63" r:id="rId1"/>
    <sheet name="预评函-封皮" sheetId="50" state="hidden" r:id="rId2"/>
    <sheet name="预评函-1" sheetId="51" state="hidden" r:id="rId3"/>
    <sheet name="预评函-1 (储备)" sheetId="64" state="hidden" r:id="rId4"/>
    <sheet name="预评函-2" sheetId="54"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比较法-住宅" sheetId="21"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比较法-住宅、综合" sheetId="39" r:id="rId40"/>
    <sheet name="土地案例" sheetId="68" r:id="rId41"/>
    <sheet name="楼盘案例" sheetId="69" r:id="rId42"/>
    <sheet name="土地级别" sheetId="70" r:id="rId43"/>
    <sheet name="土地纳税" sheetId="71" r:id="rId44"/>
  </sheets>
  <definedNames>
    <definedName name="_xlnm._FilterDatabase" localSheetId="20" hidden="1">'比较法-工业'!$A$1:$L$45</definedName>
    <definedName name="_xlnm._FilterDatabase" localSheetId="3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13" i="3"/>
  <c r="I48" i="39"/>
  <c r="G48"/>
  <c r="E48"/>
  <c r="E47" i="21" l="1"/>
  <c r="I33"/>
  <c r="G33"/>
  <c r="E33"/>
  <c r="C33"/>
  <c r="I11"/>
  <c r="G11"/>
  <c r="E11"/>
  <c r="I6"/>
  <c r="G6"/>
  <c r="E6"/>
  <c r="I5"/>
  <c r="G5"/>
  <c r="E5"/>
  <c r="I40" i="39"/>
  <c r="G40"/>
  <c r="E40"/>
  <c r="C40"/>
  <c r="I13"/>
  <c r="G13"/>
  <c r="E13"/>
  <c r="I9"/>
  <c r="G9"/>
  <c r="E9"/>
  <c r="I8"/>
  <c r="G8"/>
  <c r="E8"/>
  <c r="F19" i="6"/>
  <c r="K59" i="15" l="1"/>
  <c r="P62" s="1"/>
  <c r="P75" l="1"/>
  <c r="Q74" i="44" l="1"/>
  <c r="Q61"/>
  <c r="Q60"/>
  <c r="Q53"/>
  <c r="J51"/>
  <c r="J52" s="1"/>
  <c r="M48"/>
  <c r="A16" i="55" l="1"/>
  <c r="A15"/>
  <c r="A10"/>
  <c r="A9"/>
  <c r="A8"/>
  <c r="A6" i="54"/>
  <c r="A8"/>
  <c r="A7"/>
  <c r="A27" i="51"/>
  <c r="D5" i="46" l="1"/>
  <c r="L5" i="59" l="1"/>
  <c r="Q5" s="1"/>
  <c r="K5"/>
  <c r="J5"/>
  <c r="O5" s="1"/>
  <c r="I5"/>
  <c r="N6"/>
  <c r="O6"/>
  <c r="P6"/>
  <c r="Q6"/>
  <c r="N5"/>
  <c r="P5"/>
  <c r="B8" i="67"/>
  <c r="B12"/>
  <c r="E14"/>
  <c r="E9"/>
  <c r="B14"/>
  <c r="F9"/>
  <c r="B9"/>
  <c r="E13"/>
  <c r="E12"/>
  <c r="F8"/>
  <c r="E8"/>
  <c r="F13"/>
  <c r="F10"/>
  <c r="F12"/>
  <c r="F14"/>
  <c r="B11"/>
  <c r="B13"/>
  <c r="E10"/>
  <c r="B10"/>
  <c r="F11"/>
  <c r="E11"/>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H18"/>
  <c r="AG18"/>
  <c r="AE18"/>
  <c r="AF18" s="1"/>
  <c r="AD18"/>
  <c r="AD19"/>
  <c r="AE19"/>
  <c r="AF19"/>
  <c r="AG19"/>
  <c r="AH19"/>
  <c r="S2" i="31" l="1"/>
  <c r="M2"/>
  <c r="N2"/>
  <c r="O2"/>
  <c r="P2"/>
  <c r="Q2"/>
  <c r="R2"/>
  <c r="C3" i="65" l="1"/>
  <c r="C1"/>
  <c r="N1" s="1"/>
  <c r="N7"/>
  <c r="H1" l="1"/>
  <c r="B76" i="63"/>
  <c r="N3" i="65"/>
  <c r="N5"/>
  <c r="J7"/>
  <c r="N6"/>
  <c r="N4"/>
  <c r="C4" l="1"/>
  <c r="B39" i="1" s="1"/>
  <c r="J6" i="65"/>
  <c r="I4"/>
  <c r="I5"/>
  <c r="I6"/>
  <c r="J4"/>
  <c r="I7"/>
  <c r="J3"/>
  <c r="J5"/>
  <c r="I3"/>
  <c r="E20" i="46" l="1"/>
  <c r="J1" i="65"/>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AB15" s="1"/>
  <c r="P15"/>
  <c r="AA15" s="1"/>
  <c r="O15"/>
  <c r="Y15" s="1"/>
  <c r="Z15" s="1"/>
  <c r="N15"/>
  <c r="X15" s="1"/>
  <c r="Q14"/>
  <c r="AB14" s="1"/>
  <c r="P14"/>
  <c r="AA14" s="1"/>
  <c r="O14"/>
  <c r="Y14" s="1"/>
  <c r="Z14" s="1"/>
  <c r="N14"/>
  <c r="X14" s="1"/>
  <c r="Q13"/>
  <c r="AB13" s="1"/>
  <c r="P13"/>
  <c r="AA13" s="1"/>
  <c r="O13"/>
  <c r="Y13" s="1"/>
  <c r="Z13" s="1"/>
  <c r="N13"/>
  <c r="X13" s="1"/>
  <c r="Q12"/>
  <c r="P12"/>
  <c r="O12"/>
  <c r="N12"/>
  <c r="D12"/>
  <c r="Q11"/>
  <c r="AB11" s="1"/>
  <c r="P11"/>
  <c r="AA11" s="1"/>
  <c r="O11"/>
  <c r="Y11" s="1"/>
  <c r="Z11" s="1"/>
  <c r="N11"/>
  <c r="X11" s="1"/>
  <c r="Q10"/>
  <c r="AB10" s="1"/>
  <c r="P10"/>
  <c r="AA10" s="1"/>
  <c r="O10"/>
  <c r="Y10" s="1"/>
  <c r="Z10" s="1"/>
  <c r="N10"/>
  <c r="X10" s="1"/>
  <c r="Q9"/>
  <c r="AB9" s="1"/>
  <c r="P9"/>
  <c r="AA9" s="1"/>
  <c r="O9"/>
  <c r="Y9" s="1"/>
  <c r="Z9" s="1"/>
  <c r="N9"/>
  <c r="X9" s="1"/>
  <c r="Q8"/>
  <c r="P8"/>
  <c r="AA8" s="1"/>
  <c r="O8"/>
  <c r="N8"/>
  <c r="D8"/>
  <c r="B9" l="1"/>
  <c r="X8"/>
  <c r="C9"/>
  <c r="Y8"/>
  <c r="Z8" s="1"/>
  <c r="F9"/>
  <c r="AB8"/>
  <c r="B13"/>
  <c r="B14" s="1"/>
  <c r="B15" s="1"/>
  <c r="S15" s="1"/>
  <c r="X12"/>
  <c r="E13"/>
  <c r="E14" s="1"/>
  <c r="E15" s="1"/>
  <c r="U15" s="1"/>
  <c r="AA12"/>
  <c r="C17"/>
  <c r="Y16"/>
  <c r="Z16" s="1"/>
  <c r="F17"/>
  <c r="AB16"/>
  <c r="D7"/>
  <c r="T7"/>
  <c r="C6"/>
  <c r="V7"/>
  <c r="F6"/>
  <c r="F5" s="1"/>
  <c r="C13"/>
  <c r="Y12"/>
  <c r="Z12" s="1"/>
  <c r="F13"/>
  <c r="AB12"/>
  <c r="B17"/>
  <c r="B18" s="1"/>
  <c r="B19" s="1"/>
  <c r="S19" s="1"/>
  <c r="X16"/>
  <c r="E17"/>
  <c r="E18" s="1"/>
  <c r="E19" s="1"/>
  <c r="U19" s="1"/>
  <c r="AA16"/>
  <c r="S7"/>
  <c r="B6"/>
  <c r="B5" s="1"/>
  <c r="U7"/>
  <c r="E6"/>
  <c r="E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C5" i="59" l="1"/>
  <c r="D5" s="1"/>
  <c r="D6"/>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Z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Z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Z28" s="1"/>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Z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AZ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Z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AZ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Z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AZ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AZ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Z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AZ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AZ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AZ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30" i="40"/>
  <c r="G13" i="1"/>
  <c r="G12"/>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H44" s="1"/>
  <c r="U44" s="1"/>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D105"/>
  <c r="E105" s="1"/>
  <c r="H36"/>
  <c r="D103"/>
  <c r="J35"/>
  <c r="AC35" s="1"/>
  <c r="F97"/>
  <c r="E97"/>
  <c r="D97"/>
  <c r="C97"/>
  <c r="D96"/>
  <c r="E96"/>
  <c r="D94"/>
  <c r="M90"/>
  <c r="L90"/>
  <c r="K90"/>
  <c r="J90"/>
  <c r="I90"/>
  <c r="H90"/>
  <c r="G90"/>
  <c r="F90"/>
  <c r="E90"/>
  <c r="D90"/>
  <c r="C90"/>
  <c r="D89"/>
  <c r="B86"/>
  <c r="B84"/>
  <c r="H27"/>
  <c r="U27" s="1"/>
  <c r="B82"/>
  <c r="D79"/>
  <c r="E79" s="1"/>
  <c r="F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U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W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J34" s="1"/>
  <c r="AC34" s="1"/>
  <c r="B77"/>
  <c r="B75"/>
  <c r="J24" s="1"/>
  <c r="B73"/>
  <c r="J23" s="1"/>
  <c r="B57"/>
  <c r="B61"/>
  <c r="B59"/>
  <c r="H12" s="1"/>
  <c r="B131" i="34"/>
  <c r="B129"/>
  <c r="B127"/>
  <c r="B99"/>
  <c r="B97"/>
  <c r="B95"/>
  <c r="B93"/>
  <c r="B75"/>
  <c r="B73"/>
  <c r="B71"/>
  <c r="B130" i="33"/>
  <c r="B128"/>
  <c r="H45"/>
  <c r="U45" s="1"/>
  <c r="B126"/>
  <c r="B98"/>
  <c r="F31" s="1"/>
  <c r="AA31" s="1"/>
  <c r="B96"/>
  <c r="B94"/>
  <c r="B74"/>
  <c r="B72"/>
  <c r="B70"/>
  <c r="H12" s="1"/>
  <c r="U12" s="1"/>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Q33"/>
  <c r="Z33" s="1"/>
  <c r="Q32"/>
  <c r="Z32" s="1"/>
  <c r="H32"/>
  <c r="AB32" s="1"/>
  <c r="F32"/>
  <c r="AA32" s="1"/>
  <c r="Q31"/>
  <c r="Z31" s="1"/>
  <c r="AC31"/>
  <c r="AB31"/>
  <c r="AA31"/>
  <c r="Q30"/>
  <c r="Z30" s="1"/>
  <c r="Q29"/>
  <c r="Z29" s="1"/>
  <c r="Q28"/>
  <c r="Z28" s="1"/>
  <c r="J28"/>
  <c r="H28"/>
  <c r="F28"/>
  <c r="AA28" s="1"/>
  <c r="Q27"/>
  <c r="Z27" s="1"/>
  <c r="Q26"/>
  <c r="Z26" s="1"/>
  <c r="Q25"/>
  <c r="Z25"/>
  <c r="Q24"/>
  <c r="Z24"/>
  <c r="Q23"/>
  <c r="Z23"/>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c r="Q46"/>
  <c r="Z46"/>
  <c r="Q45"/>
  <c r="Z45"/>
  <c r="Q44"/>
  <c r="Z44"/>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s="1"/>
  <c r="Q40"/>
  <c r="Z40" s="1"/>
  <c r="J40"/>
  <c r="AC40" s="1"/>
  <c r="H40"/>
  <c r="AA40"/>
  <c r="Q39"/>
  <c r="Z39"/>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J46" s="1"/>
  <c r="W46" s="1"/>
  <c r="B128"/>
  <c r="B126"/>
  <c r="J44" s="1"/>
  <c r="AC44" s="1"/>
  <c r="B98"/>
  <c r="B96"/>
  <c r="F30" s="1"/>
  <c r="S30" s="1"/>
  <c r="B94"/>
  <c r="B92"/>
  <c r="H28" s="1"/>
  <c r="B90"/>
  <c r="B74"/>
  <c r="F14" s="1"/>
  <c r="B72"/>
  <c r="B70"/>
  <c r="F12" s="1"/>
  <c r="AA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c r="Q42"/>
  <c r="Z42"/>
  <c r="Q43"/>
  <c r="Z43" s="1"/>
  <c r="Q44"/>
  <c r="Z44" s="1"/>
  <c r="Q45"/>
  <c r="Z45" s="1"/>
  <c r="Q46"/>
  <c r="Z46" s="1"/>
  <c r="P47"/>
  <c r="R47"/>
  <c r="T47"/>
  <c r="V47"/>
  <c r="P48"/>
  <c r="P49"/>
  <c r="F8"/>
  <c r="AA8" s="1"/>
  <c r="E13" i="11"/>
  <c r="E12"/>
  <c r="C9" i="12"/>
  <c r="BB12" i="3"/>
  <c r="F9" i="12"/>
  <c r="D9"/>
  <c r="E9"/>
  <c r="G9"/>
  <c r="K5" i="3"/>
  <c r="J5"/>
  <c r="BE10"/>
  <c r="BD13"/>
  <c r="BE13"/>
  <c r="BF13"/>
  <c r="BF5" s="1"/>
  <c r="BG13"/>
  <c r="BH13"/>
  <c r="BH5" s="1"/>
  <c r="BI13"/>
  <c r="BJ13"/>
  <c r="BJ5" s="1"/>
  <c r="BK13"/>
  <c r="BM13"/>
  <c r="BN13"/>
  <c r="BO13"/>
  <c r="BP13"/>
  <c r="BS13"/>
  <c r="BT13"/>
  <c r="BB570"/>
  <c r="BC570"/>
  <c r="BD570"/>
  <c r="BE570"/>
  <c r="BA570" s="1"/>
  <c r="BF570"/>
  <c r="BG570"/>
  <c r="BH570"/>
  <c r="BI570"/>
  <c r="BJ570"/>
  <c r="BK570"/>
  <c r="BM570"/>
  <c r="BN570"/>
  <c r="BO570"/>
  <c r="BP570"/>
  <c r="BQ570"/>
  <c r="BR570"/>
  <c r="BS570"/>
  <c r="BT570"/>
  <c r="BB571"/>
  <c r="BC571"/>
  <c r="BD571"/>
  <c r="BE571"/>
  <c r="BF571"/>
  <c r="BG571"/>
  <c r="BH571"/>
  <c r="BI571"/>
  <c r="BJ571"/>
  <c r="BK571"/>
  <c r="BM571"/>
  <c r="BN571"/>
  <c r="BL571" s="1"/>
  <c r="BO571"/>
  <c r="BP571"/>
  <c r="BQ571"/>
  <c r="BR571"/>
  <c r="BS571"/>
  <c r="BT571"/>
  <c r="BB572"/>
  <c r="BC572"/>
  <c r="BA572" s="1"/>
  <c r="BD572"/>
  <c r="BE572"/>
  <c r="BF572"/>
  <c r="BG572"/>
  <c r="BH572"/>
  <c r="BI572"/>
  <c r="BJ572"/>
  <c r="BK572"/>
  <c r="BM572"/>
  <c r="BN572"/>
  <c r="BO572"/>
  <c r="BP572"/>
  <c r="BQ572"/>
  <c r="BR572"/>
  <c r="BS572"/>
  <c r="BT572"/>
  <c r="AC570"/>
  <c r="AC571"/>
  <c r="AC5" s="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33"/>
  <c r="W33" s="1"/>
  <c r="H33"/>
  <c r="U33" s="1"/>
  <c r="F33"/>
  <c r="AA33" s="1"/>
  <c r="J10"/>
  <c r="AC10" s="1"/>
  <c r="H26"/>
  <c r="AB26" s="1"/>
  <c r="J12"/>
  <c r="AC12" s="1"/>
  <c r="J26"/>
  <c r="W26" s="1"/>
  <c r="F26"/>
  <c r="AA26" s="1"/>
  <c r="AB41"/>
  <c r="S41"/>
  <c r="AA41"/>
  <c r="W41"/>
  <c r="S10" i="39"/>
  <c r="U30" i="37"/>
  <c r="E103"/>
  <c r="F103" s="1"/>
  <c r="G103" s="1"/>
  <c r="F39"/>
  <c r="S39" s="1"/>
  <c r="F29" i="36"/>
  <c r="AA29" s="1"/>
  <c r="F16"/>
  <c r="AA16" s="1"/>
  <c r="U22"/>
  <c r="W23"/>
  <c r="W22"/>
  <c r="U26"/>
  <c r="AC31"/>
  <c r="J33"/>
  <c r="W33" s="1"/>
  <c r="AC27" i="35"/>
  <c r="U31"/>
  <c r="W36"/>
  <c r="S31"/>
  <c r="W31"/>
  <c r="U34"/>
  <c r="F36" i="34"/>
  <c r="S36" s="1"/>
  <c r="S34"/>
  <c r="W39"/>
  <c r="H39" i="33"/>
  <c r="AB39" s="1"/>
  <c r="F26"/>
  <c r="AA26" s="1"/>
  <c r="U9"/>
  <c r="U33"/>
  <c r="W38"/>
  <c r="S40"/>
  <c r="S33"/>
  <c r="W33"/>
  <c r="U38"/>
  <c r="W8" i="21"/>
  <c r="H39" i="37"/>
  <c r="AB39" s="1"/>
  <c r="AB27" i="35"/>
  <c r="S10" i="40"/>
  <c r="W10"/>
  <c r="S11"/>
  <c r="U11"/>
  <c r="S36"/>
  <c r="U36"/>
  <c r="S40" i="39"/>
  <c r="S36"/>
  <c r="AA38" i="21"/>
  <c r="AC35"/>
  <c r="C29" i="39"/>
  <c r="C23"/>
  <c r="U36"/>
  <c r="H32" i="33"/>
  <c r="AB32" s="1"/>
  <c r="F86" i="40"/>
  <c r="AA12" i="33"/>
  <c r="J27" i="36"/>
  <c r="W27" s="1"/>
  <c r="J34"/>
  <c r="W34" s="1"/>
  <c r="J30" i="35"/>
  <c r="W30" s="1"/>
  <c r="F22"/>
  <c r="AA22" s="1"/>
  <c r="H10"/>
  <c r="U10" s="1"/>
  <c r="U29" i="36"/>
  <c r="E85"/>
  <c r="F85" s="1"/>
  <c r="G85" s="1"/>
  <c r="H85" s="1"/>
  <c r="I85" s="1"/>
  <c r="J85" s="1"/>
  <c r="K85" s="1"/>
  <c r="L85" s="1"/>
  <c r="M85" s="1"/>
  <c r="J29"/>
  <c r="AC29" s="1"/>
  <c r="F12"/>
  <c r="S12" s="1"/>
  <c r="F24"/>
  <c r="AA24" s="1"/>
  <c r="F34"/>
  <c r="S34" s="1"/>
  <c r="S10"/>
  <c r="AB8"/>
  <c r="H16" i="35"/>
  <c r="U16" s="1"/>
  <c r="H33"/>
  <c r="AB33" s="1"/>
  <c r="W8"/>
  <c r="AC8"/>
  <c r="F35" i="37"/>
  <c r="AA35" s="1"/>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113" s="1"/>
  <c r="G113" s="1"/>
  <c r="H113" s="1"/>
  <c r="I113" s="1"/>
  <c r="J113" s="1"/>
  <c r="K113" s="1"/>
  <c r="L113" s="1"/>
  <c r="M113" s="1"/>
  <c r="F36"/>
  <c r="S36" s="1"/>
  <c r="F19"/>
  <c r="S19" s="1"/>
  <c r="J19"/>
  <c r="S10" i="21"/>
  <c r="W40" i="33"/>
  <c r="G86" i="40"/>
  <c r="AB30" i="36"/>
  <c r="AC34"/>
  <c r="H29" i="35"/>
  <c r="AB29" s="1"/>
  <c r="U34" i="37"/>
  <c r="S34"/>
  <c r="AA34"/>
  <c r="AC43" i="34"/>
  <c r="AB42"/>
  <c r="AB40"/>
  <c r="W36"/>
  <c r="J19"/>
  <c r="AC19" s="1"/>
  <c r="H37" i="33"/>
  <c r="AB37" s="1"/>
  <c r="S37"/>
  <c r="W43" i="34"/>
  <c r="AC42"/>
  <c r="W42"/>
  <c r="AA42"/>
  <c r="S42"/>
  <c r="AC38"/>
  <c r="W38"/>
  <c r="AA38"/>
  <c r="S38"/>
  <c r="J37" i="33"/>
  <c r="W37" s="1"/>
  <c r="J42" i="21"/>
  <c r="AC42" s="1"/>
  <c r="J44" i="34"/>
  <c r="AC44" s="1"/>
  <c r="F44"/>
  <c r="S44" s="1"/>
  <c r="J10" i="35"/>
  <c r="W10" s="1"/>
  <c r="AL5" i="3"/>
  <c r="BQ13"/>
  <c r="BL572"/>
  <c r="J14" i="21"/>
  <c r="W14" s="1"/>
  <c r="H14"/>
  <c r="U14" s="1"/>
  <c r="F28"/>
  <c r="AA28" s="1"/>
  <c r="H30"/>
  <c r="J30"/>
  <c r="AC30" s="1"/>
  <c r="H44"/>
  <c r="U44" s="1"/>
  <c r="H46"/>
  <c r="AB46" s="1"/>
  <c r="F46"/>
  <c r="H26" i="33"/>
  <c r="U26" s="1"/>
  <c r="H28"/>
  <c r="AB28" s="1"/>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H45"/>
  <c r="U45" s="1"/>
  <c r="J27" i="33"/>
  <c r="AC27" s="1"/>
  <c r="F27"/>
  <c r="S27" s="1"/>
  <c r="F13"/>
  <c r="S13" s="1"/>
  <c r="J29"/>
  <c r="W29" s="1"/>
  <c r="J31"/>
  <c r="AC31" s="1"/>
  <c r="H31"/>
  <c r="U31" s="1"/>
  <c r="S31"/>
  <c r="J45"/>
  <c r="W45" s="1"/>
  <c r="F45"/>
  <c r="F11" i="35"/>
  <c r="S11" s="1"/>
  <c r="H28" i="36"/>
  <c r="U28" s="1"/>
  <c r="H32"/>
  <c r="AB32" s="1"/>
  <c r="J32"/>
  <c r="AC32" s="1"/>
  <c r="J11"/>
  <c r="W11" s="1"/>
  <c r="H13"/>
  <c r="AB13" s="1"/>
  <c r="J13"/>
  <c r="W13" s="1"/>
  <c r="F13"/>
  <c r="S13" s="1"/>
  <c r="E89" i="37"/>
  <c r="F89" s="1"/>
  <c r="G89" s="1"/>
  <c r="H89" s="1"/>
  <c r="I89" s="1"/>
  <c r="J89" s="1"/>
  <c r="K89" s="1"/>
  <c r="L89" s="1"/>
  <c r="M89" s="1"/>
  <c r="J29"/>
  <c r="F29"/>
  <c r="AA29" s="1"/>
  <c r="F105"/>
  <c r="G105" s="1"/>
  <c r="AB36"/>
  <c r="F107"/>
  <c r="J37"/>
  <c r="AC37" s="1"/>
  <c r="H37"/>
  <c r="U37" s="1"/>
  <c r="H40"/>
  <c r="U40" s="1"/>
  <c r="J40"/>
  <c r="W40" s="1"/>
  <c r="F40"/>
  <c r="AA40" s="1"/>
  <c r="H14" i="33"/>
  <c r="U14" s="1"/>
  <c r="F14"/>
  <c r="AA14" s="1"/>
  <c r="J14"/>
  <c r="AC14" s="1"/>
  <c r="H30"/>
  <c r="AB30" s="1"/>
  <c r="F30"/>
  <c r="J30"/>
  <c r="H44"/>
  <c r="J44"/>
  <c r="AC44" s="1"/>
  <c r="F44"/>
  <c r="S44" s="1"/>
  <c r="J46"/>
  <c r="AC46" s="1"/>
  <c r="F46"/>
  <c r="AA46" s="1"/>
  <c r="H46"/>
  <c r="AB46" s="1"/>
  <c r="H13" i="34"/>
  <c r="U13" s="1"/>
  <c r="J13"/>
  <c r="W13" s="1"/>
  <c r="F13"/>
  <c r="AA13" s="1"/>
  <c r="J29"/>
  <c r="AC29" s="1"/>
  <c r="F29"/>
  <c r="S29" s="1"/>
  <c r="H29"/>
  <c r="U29" s="1"/>
  <c r="J31"/>
  <c r="H31"/>
  <c r="AB31" s="1"/>
  <c r="F31"/>
  <c r="S31" s="1"/>
  <c r="H45"/>
  <c r="U45" s="1"/>
  <c r="J45"/>
  <c r="W45" s="1"/>
  <c r="F45"/>
  <c r="AA45" s="1"/>
  <c r="H47"/>
  <c r="U47" s="1"/>
  <c r="F47"/>
  <c r="AA47" s="1"/>
  <c r="J47"/>
  <c r="AC47" s="1"/>
  <c r="F13" i="35"/>
  <c r="S13" s="1"/>
  <c r="J13"/>
  <c r="AC13" s="1"/>
  <c r="H13"/>
  <c r="U13" s="1"/>
  <c r="J25"/>
  <c r="F25"/>
  <c r="AA25" s="1"/>
  <c r="H25"/>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J27"/>
  <c r="W27" s="1"/>
  <c r="AA38"/>
  <c r="W35" i="35"/>
  <c r="AB13"/>
  <c r="W46" i="33"/>
  <c r="U30"/>
  <c r="AB40" i="37"/>
  <c r="J36"/>
  <c r="AC36" s="1"/>
  <c r="AB28" i="36"/>
  <c r="AB31" i="21"/>
  <c r="AB13"/>
  <c r="U46"/>
  <c r="W30"/>
  <c r="S28"/>
  <c r="AB14"/>
  <c r="AC14"/>
  <c r="U36" i="37"/>
  <c r="AC13" i="36"/>
  <c r="AB45" i="33"/>
  <c r="AB31"/>
  <c r="AA27"/>
  <c r="AB27"/>
  <c r="AC28"/>
  <c r="AB44" i="21"/>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AZ501" s="1"/>
  <c r="BA493"/>
  <c r="AZ493"/>
  <c r="BA487"/>
  <c r="BA19"/>
  <c r="BA566"/>
  <c r="BA562"/>
  <c r="BA560"/>
  <c r="BA558"/>
  <c r="BA556"/>
  <c r="BA554"/>
  <c r="BA550"/>
  <c r="BA546"/>
  <c r="BA544"/>
  <c r="BA540"/>
  <c r="BA536"/>
  <c r="BA532"/>
  <c r="BA528"/>
  <c r="BA524"/>
  <c r="AZ524" s="1"/>
  <c r="BA520"/>
  <c r="BA516"/>
  <c r="BA512"/>
  <c r="BA508"/>
  <c r="BA502"/>
  <c r="BA498"/>
  <c r="BA492"/>
  <c r="BA488"/>
  <c r="BA484"/>
  <c r="BA20"/>
  <c r="G566"/>
  <c r="G562"/>
  <c r="G560"/>
  <c r="G558"/>
  <c r="G556"/>
  <c r="G554"/>
  <c r="G550"/>
  <c r="G546"/>
  <c r="BL543"/>
  <c r="AZ543" s="1"/>
  <c r="BA542"/>
  <c r="AC542"/>
  <c r="G542"/>
  <c r="BQ542"/>
  <c r="BL542"/>
  <c r="BQ568"/>
  <c r="BL568" s="1"/>
  <c r="BQ566"/>
  <c r="BQ564"/>
  <c r="BL564" s="1"/>
  <c r="BQ562"/>
  <c r="BL562" s="1"/>
  <c r="AZ562" s="1"/>
  <c r="BQ560"/>
  <c r="BL560"/>
  <c r="BQ558"/>
  <c r="BL558"/>
  <c r="AZ558" s="1"/>
  <c r="BQ556"/>
  <c r="BL556"/>
  <c r="BQ554"/>
  <c r="BL554" s="1"/>
  <c r="BQ552"/>
  <c r="BL552"/>
  <c r="BQ550"/>
  <c r="BL550"/>
  <c r="BQ548"/>
  <c r="BQ546"/>
  <c r="BL546" s="1"/>
  <c r="BQ544"/>
  <c r="BL544" s="1"/>
  <c r="AZ544"/>
  <c r="G544"/>
  <c r="G538"/>
  <c r="G534"/>
  <c r="G530"/>
  <c r="G526"/>
  <c r="G522"/>
  <c r="BQ540"/>
  <c r="BL540"/>
  <c r="BQ538"/>
  <c r="BL538"/>
  <c r="BQ536"/>
  <c r="BQ534"/>
  <c r="BL534" s="1"/>
  <c r="BQ532"/>
  <c r="BL532" s="1"/>
  <c r="BQ530"/>
  <c r="BQ528"/>
  <c r="BQ526"/>
  <c r="BL526" s="1"/>
  <c r="BQ524"/>
  <c r="BL524" s="1"/>
  <c r="BQ522"/>
  <c r="BL522" s="1"/>
  <c r="BQ520"/>
  <c r="BL520"/>
  <c r="AZ520" s="1"/>
  <c r="BQ518"/>
  <c r="BQ516"/>
  <c r="BL516" s="1"/>
  <c r="BQ514"/>
  <c r="BL514" s="1"/>
  <c r="BQ512"/>
  <c r="BL512" s="1"/>
  <c r="BQ510"/>
  <c r="BL510"/>
  <c r="BQ508"/>
  <c r="BL508"/>
  <c r="AZ508" s="1"/>
  <c r="AC506"/>
  <c r="G506"/>
  <c r="BQ506"/>
  <c r="G502"/>
  <c r="G498"/>
  <c r="BQ504"/>
  <c r="BL504" s="1"/>
  <c r="BQ502"/>
  <c r="BL502"/>
  <c r="BQ500"/>
  <c r="BL500"/>
  <c r="BQ498"/>
  <c r="BQ496"/>
  <c r="AC494"/>
  <c r="BQ494"/>
  <c r="BL494" s="1"/>
  <c r="BL493"/>
  <c r="G492"/>
  <c r="G488"/>
  <c r="G484"/>
  <c r="G20"/>
  <c r="BQ492"/>
  <c r="BL492" s="1"/>
  <c r="AZ492" s="1"/>
  <c r="BQ490"/>
  <c r="BL490" s="1"/>
  <c r="BQ488"/>
  <c r="BL488"/>
  <c r="BQ486"/>
  <c r="BQ484"/>
  <c r="BL484" s="1"/>
  <c r="BQ482"/>
  <c r="BL482" s="1"/>
  <c r="BQ20"/>
  <c r="BL20" s="1"/>
  <c r="BQ18"/>
  <c r="S505" i="31"/>
  <c r="S503"/>
  <c r="S501"/>
  <c r="S499"/>
  <c r="O27"/>
  <c r="O28"/>
  <c r="O26"/>
  <c r="M27"/>
  <c r="M28"/>
  <c r="M26"/>
  <c r="I26"/>
  <c r="I25"/>
  <c r="S25"/>
  <c r="Q26"/>
  <c r="K26"/>
  <c r="I27"/>
  <c r="Q27"/>
  <c r="K27"/>
  <c r="I28"/>
  <c r="Q28"/>
  <c r="K28"/>
  <c r="AC28" i="34"/>
  <c r="S12" i="21"/>
  <c r="H25"/>
  <c r="U25" s="1"/>
  <c r="F25"/>
  <c r="S25" s="1"/>
  <c r="J25"/>
  <c r="AC25" s="1"/>
  <c r="E125" i="33"/>
  <c r="F125" s="1"/>
  <c r="G125" s="1"/>
  <c r="H43"/>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D3" i="21"/>
  <c r="AC33" i="36"/>
  <c r="AC12" i="35"/>
  <c r="AC23" i="37"/>
  <c r="S27"/>
  <c r="U39"/>
  <c r="AC8"/>
  <c r="S25"/>
  <c r="AC36" i="34"/>
  <c r="AB8"/>
  <c r="AC37" i="33"/>
  <c r="AA13"/>
  <c r="AC45"/>
  <c r="AC33" i="21"/>
  <c r="S39" i="33"/>
  <c r="F43"/>
  <c r="AA43" s="1"/>
  <c r="S10" i="35"/>
  <c r="G107" i="37"/>
  <c r="H107" s="1"/>
  <c r="I107" s="1"/>
  <c r="J107" s="1"/>
  <c r="K107" s="1"/>
  <c r="L107" s="1"/>
  <c r="M107" s="1"/>
  <c r="H19" i="34"/>
  <c r="AB19" s="1"/>
  <c r="J10" i="37"/>
  <c r="W10" s="1"/>
  <c r="F36" i="35"/>
  <c r="S36"/>
  <c r="J9" i="37"/>
  <c r="W9" s="1"/>
  <c r="H9"/>
  <c r="U9" s="1"/>
  <c r="F9"/>
  <c r="S9" s="1"/>
  <c r="F11"/>
  <c r="S11" s="1"/>
  <c r="J12"/>
  <c r="AC12" s="1"/>
  <c r="H12"/>
  <c r="F12"/>
  <c r="AA12" s="1"/>
  <c r="H15"/>
  <c r="U15" s="1"/>
  <c r="E94"/>
  <c r="F31"/>
  <c r="S31" s="1"/>
  <c r="F94"/>
  <c r="G94"/>
  <c r="H94" s="1"/>
  <c r="I94" s="1"/>
  <c r="J94" s="1"/>
  <c r="K94" s="1"/>
  <c r="L94" s="1"/>
  <c r="M94" s="1"/>
  <c r="H31"/>
  <c r="AB31" s="1"/>
  <c r="J15"/>
  <c r="W15" s="1"/>
  <c r="AB10"/>
  <c r="J11"/>
  <c r="W11" s="1"/>
  <c r="U31"/>
  <c r="E90" i="40"/>
  <c r="F21"/>
  <c r="S21" s="1"/>
  <c r="W36"/>
  <c r="U40" i="39"/>
  <c r="F90" i="40"/>
  <c r="J21"/>
  <c r="AC21" s="1"/>
  <c r="G90"/>
  <c r="S27" i="31"/>
  <c r="AZ540" i="3"/>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BL365"/>
  <c r="G366"/>
  <c r="G369"/>
  <c r="BL370"/>
  <c r="AZ370"/>
  <c r="BA372"/>
  <c r="AZ372"/>
  <c r="BA373"/>
  <c r="BL373"/>
  <c r="AZ373" s="1"/>
  <c r="G374"/>
  <c r="G377"/>
  <c r="BL378"/>
  <c r="BA380"/>
  <c r="AZ380"/>
  <c r="BA381"/>
  <c r="AZ381"/>
  <c r="BL381"/>
  <c r="G382"/>
  <c r="G385"/>
  <c r="AZ154"/>
  <c r="AZ162"/>
  <c r="AZ170"/>
  <c r="AZ179"/>
  <c r="AZ183"/>
  <c r="AZ187"/>
  <c r="AZ191"/>
  <c r="AZ195"/>
  <c r="AZ199"/>
  <c r="AZ203"/>
  <c r="G523"/>
  <c r="BL297"/>
  <c r="G298"/>
  <c r="BA300"/>
  <c r="BL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5"/>
  <c r="AZ333"/>
  <c r="AZ337"/>
  <c r="AZ341"/>
  <c r="AZ349"/>
  <c r="AZ353"/>
  <c r="AZ357"/>
  <c r="AZ363"/>
  <c r="AZ367"/>
  <c r="G368"/>
  <c r="BA370"/>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31"/>
  <c r="AZ335"/>
  <c r="AZ339"/>
  <c r="AZ351"/>
  <c r="AZ369"/>
  <c r="AZ385"/>
  <c r="AZ390"/>
  <c r="AZ398"/>
  <c r="AZ414"/>
  <c r="AZ422"/>
  <c r="AZ430"/>
  <c r="AZ438"/>
  <c r="AZ446"/>
  <c r="AZ455"/>
  <c r="AZ463"/>
  <c r="AZ471"/>
  <c r="AZ479"/>
  <c r="H7" i="48"/>
  <c r="H113" i="46"/>
  <c r="H17"/>
  <c r="F33"/>
  <c r="F35"/>
  <c r="F37"/>
  <c r="H16" i="48"/>
  <c r="H9"/>
  <c r="H8"/>
  <c r="C12" i="46"/>
  <c r="AB15" i="37"/>
  <c r="AA13" i="40"/>
  <c r="E78"/>
  <c r="F78" s="1"/>
  <c r="G78" s="1"/>
  <c r="H78" s="1"/>
  <c r="I78" s="1"/>
  <c r="J78" s="1"/>
  <c r="K78" s="1"/>
  <c r="L78" s="1"/>
  <c r="M78" s="1"/>
  <c r="R16" i="4"/>
  <c r="P16"/>
  <c r="D3" i="35"/>
  <c r="G4" i="4"/>
  <c r="S37" i="34"/>
  <c r="J16" i="35"/>
  <c r="W16" s="1"/>
  <c r="AC26" i="36"/>
  <c r="AZ300" i="3"/>
  <c r="AZ322"/>
  <c r="H13" i="39"/>
  <c r="AB13" s="1"/>
  <c r="F13"/>
  <c r="AA13" s="1"/>
  <c r="J13"/>
  <c r="AC13" s="1"/>
  <c r="AA36" i="35"/>
  <c r="H11" i="37"/>
  <c r="AB11" s="1"/>
  <c r="W37"/>
  <c r="AA36"/>
  <c r="S42" i="33"/>
  <c r="U32"/>
  <c r="AB17" i="37"/>
  <c r="AZ488" i="3"/>
  <c r="AZ516"/>
  <c r="AZ532"/>
  <c r="AC29" i="33"/>
  <c r="AC11" i="36"/>
  <c r="AC10"/>
  <c r="AB45" i="34"/>
  <c r="AB35" i="35"/>
  <c r="S25"/>
  <c r="W44" i="33"/>
  <c r="AC30"/>
  <c r="W30"/>
  <c r="W32" i="36"/>
  <c r="U28" i="33"/>
  <c r="J33" i="34"/>
  <c r="AC33" s="1"/>
  <c r="J40"/>
  <c r="W40" s="1"/>
  <c r="F16" i="35"/>
  <c r="AA16" s="1"/>
  <c r="S24" i="36"/>
  <c r="W42" i="33"/>
  <c r="J35" i="34"/>
  <c r="W35" s="1"/>
  <c r="F107"/>
  <c r="G107"/>
  <c r="H107" s="1"/>
  <c r="I107" s="1"/>
  <c r="J107" s="1"/>
  <c r="K107" s="1"/>
  <c r="L107" s="1"/>
  <c r="M107" s="1"/>
  <c r="S30" i="36"/>
  <c r="H16"/>
  <c r="AB16" s="1"/>
  <c r="H103" i="37"/>
  <c r="I103" s="1"/>
  <c r="J103" s="1"/>
  <c r="K103" s="1"/>
  <c r="L103" s="1"/>
  <c r="M103" s="1"/>
  <c r="H35"/>
  <c r="AB35" s="1"/>
  <c r="S26" i="21"/>
  <c r="H32"/>
  <c r="U32" s="1"/>
  <c r="U26"/>
  <c r="S33"/>
  <c r="J32"/>
  <c r="AC32" s="1"/>
  <c r="G13" i="3"/>
  <c r="F17" i="21"/>
  <c r="S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AA43" s="1"/>
  <c r="J43"/>
  <c r="AC43" s="1"/>
  <c r="F99" i="37"/>
  <c r="AC27"/>
  <c r="S45" i="34"/>
  <c r="U31"/>
  <c r="AC40" i="37"/>
  <c r="W27" i="33"/>
  <c r="AC45" i="21"/>
  <c r="S28" i="33"/>
  <c r="AA44" i="34"/>
  <c r="U29" i="35"/>
  <c r="AC19" i="33"/>
  <c r="W19"/>
  <c r="U43" i="34"/>
  <c r="AB43"/>
  <c r="AC34" i="37"/>
  <c r="S35"/>
  <c r="AB10" i="35"/>
  <c r="AA32" i="21"/>
  <c r="U38"/>
  <c r="BA571" i="3"/>
  <c r="AZ571" s="1"/>
  <c r="BL570"/>
  <c r="BE5"/>
  <c r="F42" i="21"/>
  <c r="AA42" s="1"/>
  <c r="AB40" i="33"/>
  <c r="U40"/>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AB34"/>
  <c r="H33"/>
  <c r="U33" s="1"/>
  <c r="F33"/>
  <c r="AA33" s="1"/>
  <c r="H27"/>
  <c r="AB27" s="1"/>
  <c r="AA31"/>
  <c r="AC26" i="37"/>
  <c r="W26"/>
  <c r="AB29"/>
  <c r="AA30"/>
  <c r="S30"/>
  <c r="AC30"/>
  <c r="AC31"/>
  <c r="W31"/>
  <c r="AB14"/>
  <c r="F17" i="39"/>
  <c r="AA17" s="1"/>
  <c r="H17"/>
  <c r="U17" s="1"/>
  <c r="J17"/>
  <c r="W17" s="1"/>
  <c r="F21"/>
  <c r="S21" s="1"/>
  <c r="H21"/>
  <c r="J21"/>
  <c r="W21" s="1"/>
  <c r="F33"/>
  <c r="S33" s="1"/>
  <c r="H33"/>
  <c r="U33" s="1"/>
  <c r="J33"/>
  <c r="AC33" s="1"/>
  <c r="F44"/>
  <c r="S44" s="1"/>
  <c r="J44"/>
  <c r="W44" s="1"/>
  <c r="F46"/>
  <c r="S46" s="1"/>
  <c r="H46"/>
  <c r="U46" s="1"/>
  <c r="J46"/>
  <c r="W46" s="1"/>
  <c r="E103"/>
  <c r="F34"/>
  <c r="AA34" s="1"/>
  <c r="H34"/>
  <c r="AB34" s="1"/>
  <c r="J34"/>
  <c r="AC34" s="1"/>
  <c r="F39"/>
  <c r="H39"/>
  <c r="AB39" s="1"/>
  <c r="J39"/>
  <c r="J29" i="35"/>
  <c r="AC29" s="1"/>
  <c r="F29"/>
  <c r="S29" s="1"/>
  <c r="W30" i="36"/>
  <c r="AC30"/>
  <c r="F37" i="39"/>
  <c r="S37" s="1"/>
  <c r="H37"/>
  <c r="U37" s="1"/>
  <c r="J37"/>
  <c r="W37" s="1"/>
  <c r="BA568" i="3"/>
  <c r="AZ568" s="1"/>
  <c r="BL567"/>
  <c r="BA567"/>
  <c r="AZ567"/>
  <c r="BL566"/>
  <c r="AZ566"/>
  <c r="BL565"/>
  <c r="AZ565"/>
  <c r="BA564"/>
  <c r="AZ564"/>
  <c r="BA563"/>
  <c r="AZ563"/>
  <c r="AZ554"/>
  <c r="BA553"/>
  <c r="AZ553"/>
  <c r="BA552"/>
  <c r="AZ552"/>
  <c r="BL549"/>
  <c r="BA549"/>
  <c r="BL548"/>
  <c r="BA548"/>
  <c r="AZ548" s="1"/>
  <c r="BL547"/>
  <c r="BA547"/>
  <c r="BL539"/>
  <c r="BA539"/>
  <c r="AZ539" s="1"/>
  <c r="BA538"/>
  <c r="AZ538" s="1"/>
  <c r="BL537"/>
  <c r="AZ537" s="1"/>
  <c r="BA537"/>
  <c r="BL536"/>
  <c r="AZ536" s="1"/>
  <c r="BA535"/>
  <c r="AZ535" s="1"/>
  <c r="BA534"/>
  <c r="AZ534" s="1"/>
  <c r="BA533"/>
  <c r="AZ533" s="1"/>
  <c r="BL531"/>
  <c r="BL530"/>
  <c r="BA530"/>
  <c r="BL529"/>
  <c r="BA529"/>
  <c r="BL528"/>
  <c r="AZ528" s="1"/>
  <c r="BA527"/>
  <c r="AZ527" s="1"/>
  <c r="BA526"/>
  <c r="AZ526" s="1"/>
  <c r="BA525"/>
  <c r="AZ525" s="1"/>
  <c r="BL523"/>
  <c r="BA523"/>
  <c r="AZ523"/>
  <c r="BA522"/>
  <c r="AZ522" s="1"/>
  <c r="BL521"/>
  <c r="AZ521" s="1"/>
  <c r="BA519"/>
  <c r="AZ519" s="1"/>
  <c r="BL518"/>
  <c r="BA518"/>
  <c r="AZ518"/>
  <c r="BL517"/>
  <c r="BA517"/>
  <c r="AZ517" s="1"/>
  <c r="BL515"/>
  <c r="BA515"/>
  <c r="BA514"/>
  <c r="AZ514" s="1"/>
  <c r="BL513"/>
  <c r="BA513"/>
  <c r="AZ513"/>
  <c r="AZ512"/>
  <c r="BA511"/>
  <c r="AZ511"/>
  <c r="BA510"/>
  <c r="AZ510"/>
  <c r="BL509"/>
  <c r="AZ509"/>
  <c r="BL507"/>
  <c r="BA507"/>
  <c r="AZ507" s="1"/>
  <c r="BL506"/>
  <c r="BA506"/>
  <c r="AZ506"/>
  <c r="BL505"/>
  <c r="AZ505"/>
  <c r="BA504"/>
  <c r="AZ504" s="1"/>
  <c r="BA503"/>
  <c r="AZ503"/>
  <c r="BA500"/>
  <c r="AZ500"/>
  <c r="BL499"/>
  <c r="BA499"/>
  <c r="AZ499" s="1"/>
  <c r="BL498"/>
  <c r="BL497"/>
  <c r="BA497"/>
  <c r="BL496"/>
  <c r="BA496"/>
  <c r="AZ496"/>
  <c r="BA495"/>
  <c r="AZ495"/>
  <c r="BA494"/>
  <c r="AZ494" s="1"/>
  <c r="G494"/>
  <c r="BA491"/>
  <c r="AZ491"/>
  <c r="BA490"/>
  <c r="AZ490" s="1"/>
  <c r="BL489"/>
  <c r="BA489"/>
  <c r="AZ489"/>
  <c r="BL487"/>
  <c r="AZ487"/>
  <c r="BL486"/>
  <c r="BA486"/>
  <c r="AZ486" s="1"/>
  <c r="BA485"/>
  <c r="AZ485"/>
  <c r="BA483"/>
  <c r="AZ483"/>
  <c r="BA482"/>
  <c r="AZ482"/>
  <c r="BL481"/>
  <c r="BA481"/>
  <c r="AZ481" s="1"/>
  <c r="BB5"/>
  <c r="BL19"/>
  <c r="BA18"/>
  <c r="F36" i="44"/>
  <c r="F114" i="34"/>
  <c r="G114" s="1"/>
  <c r="H114" s="1"/>
  <c r="I114" s="1"/>
  <c r="J114" s="1"/>
  <c r="K114" s="1"/>
  <c r="L114" s="1"/>
  <c r="M114" s="1"/>
  <c r="H38"/>
  <c r="U38" s="1"/>
  <c r="H30" i="40"/>
  <c r="AB30" s="1"/>
  <c r="G100"/>
  <c r="J30" s="1"/>
  <c r="AC30" s="1"/>
  <c r="F38"/>
  <c r="AA38" s="1"/>
  <c r="AA36" i="34"/>
  <c r="W12" i="21"/>
  <c r="AB33"/>
  <c r="U8"/>
  <c r="AB8"/>
  <c r="S34"/>
  <c r="AB8" i="33"/>
  <c r="U8"/>
  <c r="E106"/>
  <c r="H34"/>
  <c r="U34" s="1"/>
  <c r="F34"/>
  <c r="S34" s="1"/>
  <c r="E121"/>
  <c r="F41"/>
  <c r="S41" s="1"/>
  <c r="AC34" i="34"/>
  <c r="W34"/>
  <c r="AA39"/>
  <c r="S39"/>
  <c r="S43"/>
  <c r="E78"/>
  <c r="F78" s="1"/>
  <c r="G78" s="1"/>
  <c r="F15"/>
  <c r="AC28" i="35"/>
  <c r="W28"/>
  <c r="J20"/>
  <c r="AC20" s="1"/>
  <c r="E72"/>
  <c r="F72" s="1"/>
  <c r="G72" s="1"/>
  <c r="H22"/>
  <c r="AB22" s="1"/>
  <c r="H23"/>
  <c r="F23"/>
  <c r="AA23" s="1"/>
  <c r="AB36"/>
  <c r="U36"/>
  <c r="AC12" i="36"/>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403"/>
  <c r="AZ415"/>
  <c r="AZ431"/>
  <c r="AZ454"/>
  <c r="B41" i="1"/>
  <c r="F27" i="43" s="1"/>
  <c r="J42" i="40"/>
  <c r="AC42" s="1"/>
  <c r="J40"/>
  <c r="AC40" s="1"/>
  <c r="J34"/>
  <c r="AC34" s="1"/>
  <c r="H16"/>
  <c r="AB16" s="1"/>
  <c r="H14"/>
  <c r="U14" s="1"/>
  <c r="F32"/>
  <c r="AA32" s="1"/>
  <c r="AZ401" i="3"/>
  <c r="AZ433"/>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66" i="9"/>
  <c r="P72" s="1"/>
  <c r="F72"/>
  <c r="AC14" i="40"/>
  <c r="S33"/>
  <c r="AC47" i="39"/>
  <c r="S47"/>
  <c r="U37" i="34"/>
  <c r="AB37"/>
  <c r="AC41" i="40"/>
  <c r="W41"/>
  <c r="U41"/>
  <c r="J23"/>
  <c r="AC23" s="1"/>
  <c r="G92"/>
  <c r="F23"/>
  <c r="S23" s="1"/>
  <c r="AC15"/>
  <c r="W15"/>
  <c r="AB16" i="39"/>
  <c r="W14"/>
  <c r="U23" i="35"/>
  <c r="AB23"/>
  <c r="H20"/>
  <c r="U20" s="1"/>
  <c r="F20"/>
  <c r="S20" s="1"/>
  <c r="H15" i="34"/>
  <c r="AB15" s="1"/>
  <c r="J15"/>
  <c r="H41" i="33"/>
  <c r="U41" s="1"/>
  <c r="F121"/>
  <c r="G121"/>
  <c r="H121" s="1"/>
  <c r="I121" s="1"/>
  <c r="J121" s="1"/>
  <c r="K121" s="1"/>
  <c r="L121" s="1"/>
  <c r="M121" s="1"/>
  <c r="F30" i="40"/>
  <c r="AA30" s="1"/>
  <c r="H100"/>
  <c r="I100" s="1"/>
  <c r="J100" s="1"/>
  <c r="K100" s="1"/>
  <c r="L100" s="1"/>
  <c r="M100" s="1"/>
  <c r="AB38" i="34"/>
  <c r="AZ497" i="3"/>
  <c r="AZ515"/>
  <c r="AZ529"/>
  <c r="AZ530"/>
  <c r="AZ547"/>
  <c r="AZ549"/>
  <c r="AB37" i="39"/>
  <c r="AA29" i="35"/>
  <c r="U39" i="39"/>
  <c r="AB21"/>
  <c r="U21"/>
  <c r="AB33" i="36"/>
  <c r="AA11"/>
  <c r="S14" i="35"/>
  <c r="G99" i="37"/>
  <c r="F33" s="1"/>
  <c r="U46" i="34"/>
  <c r="AC30"/>
  <c r="AA14"/>
  <c r="W12"/>
  <c r="U29" i="33"/>
  <c r="AC13"/>
  <c r="U17" i="34"/>
  <c r="AA11"/>
  <c r="W32" i="33"/>
  <c r="H15"/>
  <c r="U15" s="1"/>
  <c r="AA11"/>
  <c r="AA40" i="21"/>
  <c r="S13" i="39"/>
  <c r="U16" i="40"/>
  <c r="W34"/>
  <c r="AB34"/>
  <c r="AB42"/>
  <c r="U42"/>
  <c r="AC16"/>
  <c r="W32"/>
  <c r="H25"/>
  <c r="AB25" s="1"/>
  <c r="F94"/>
  <c r="G94" s="1"/>
  <c r="U47" i="39"/>
  <c r="J37" i="34"/>
  <c r="AC37" s="1"/>
  <c r="J36" i="33"/>
  <c r="W36" s="1"/>
  <c r="S41" i="40"/>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AC36" i="33"/>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H19" i="21" l="1"/>
  <c r="AB19" s="1"/>
  <c r="W14" i="37"/>
  <c r="AC14"/>
  <c r="AB25" i="35"/>
  <c r="U25"/>
  <c r="AC25"/>
  <c r="W25"/>
  <c r="AC31" i="34"/>
  <c r="W31"/>
  <c r="U44" i="33"/>
  <c r="AB44"/>
  <c r="S30"/>
  <c r="AA30"/>
  <c r="W29" i="37"/>
  <c r="AC29"/>
  <c r="S45" i="33"/>
  <c r="AA45"/>
  <c r="AA45" i="21"/>
  <c r="S45"/>
  <c r="AA14"/>
  <c r="S14"/>
  <c r="AB28"/>
  <c r="U28"/>
  <c r="AC9" i="34"/>
  <c r="W9"/>
  <c r="AC24" i="35"/>
  <c r="W24"/>
  <c r="W24" i="36"/>
  <c r="AC24"/>
  <c r="AC39" i="37"/>
  <c r="W39"/>
  <c r="S17" i="34"/>
  <c r="AB23" i="40"/>
  <c r="W15" i="39"/>
  <c r="AB32" i="40"/>
  <c r="W35"/>
  <c r="AB14"/>
  <c r="AZ365" i="3"/>
  <c r="AZ379"/>
  <c r="AZ542"/>
  <c r="AZ502"/>
  <c r="AZ546"/>
  <c r="AZ531"/>
  <c r="AZ412"/>
  <c r="AZ448"/>
  <c r="AZ472"/>
  <c r="F103" i="39"/>
  <c r="F29"/>
  <c r="AA29" s="1"/>
  <c r="H29"/>
  <c r="U29" s="1"/>
  <c r="AB12" i="37"/>
  <c r="U12"/>
  <c r="S23"/>
  <c r="AA23"/>
  <c r="U43" i="33"/>
  <c r="AB43"/>
  <c r="AA46" i="21"/>
  <c r="S46"/>
  <c r="U30"/>
  <c r="AB30"/>
  <c r="AC23" i="35"/>
  <c r="W23"/>
  <c r="AZ20" i="3"/>
  <c r="AZ484"/>
  <c r="AZ498"/>
  <c r="AZ550"/>
  <c r="AZ556"/>
  <c r="AZ560"/>
  <c r="S46" i="33"/>
  <c r="AZ572" i="3"/>
  <c r="AZ570"/>
  <c r="AZ389"/>
  <c r="AZ400"/>
  <c r="AZ404"/>
  <c r="AZ440"/>
  <c r="AZ464"/>
  <c r="AZ297"/>
  <c r="AZ301"/>
  <c r="A14" i="55"/>
  <c r="B65" i="63" s="1"/>
  <c r="AC36" i="21"/>
  <c r="AZ19" i="3"/>
  <c r="H17" i="21"/>
  <c r="AB17" s="1"/>
  <c r="AB36" i="34"/>
  <c r="AB16" i="35"/>
  <c r="F44" i="21"/>
  <c r="AA44" s="1"/>
  <c r="J28"/>
  <c r="AC28" s="1"/>
  <c r="S22" i="35"/>
  <c r="AB36" i="21"/>
  <c r="S8"/>
  <c r="H12"/>
  <c r="J19"/>
  <c r="W19" s="1"/>
  <c r="F19"/>
  <c r="AA19" s="1"/>
  <c r="BI5" i="3"/>
  <c r="BG5"/>
  <c r="J43" i="21"/>
  <c r="AC43" s="1"/>
  <c r="F9" i="34"/>
  <c r="AA9" s="1"/>
  <c r="J9" i="35"/>
  <c r="W9" s="1"/>
  <c r="F34"/>
  <c r="H24" i="36"/>
  <c r="J25" i="37"/>
  <c r="G15" i="3"/>
  <c r="G14"/>
  <c r="F42" i="39"/>
  <c r="AZ206" i="3"/>
  <c r="AZ210"/>
  <c r="AZ222"/>
  <c r="AZ226"/>
  <c r="AZ238"/>
  <c r="AZ242"/>
  <c r="AZ254"/>
  <c r="AZ258"/>
  <c r="AZ269"/>
  <c r="AZ272"/>
  <c r="AZ285"/>
  <c r="AZ288"/>
  <c r="AZ296"/>
  <c r="AZ125"/>
  <c r="AZ128"/>
  <c r="H5"/>
  <c r="C92" i="9"/>
  <c r="J42" i="39"/>
  <c r="AC42" s="1"/>
  <c r="I21" i="57"/>
  <c r="D1" s="1"/>
  <c r="E10" s="1"/>
  <c r="AZ145" i="3"/>
  <c r="AZ148"/>
  <c r="AZ25"/>
  <c r="AZ30"/>
  <c r="AZ41"/>
  <c r="AZ46"/>
  <c r="AZ57"/>
  <c r="AZ62"/>
  <c r="AZ65"/>
  <c r="AZ68"/>
  <c r="AZ75"/>
  <c r="AZ81"/>
  <c r="AZ85"/>
  <c r="AZ88"/>
  <c r="AZ95"/>
  <c r="AZ101"/>
  <c r="AZ104"/>
  <c r="AZ111"/>
  <c r="BA21"/>
  <c r="AZ21" s="1"/>
  <c r="U34" i="39"/>
  <c r="W33"/>
  <c r="AA33"/>
  <c r="U39" i="21"/>
  <c r="E128" i="39"/>
  <c r="F128" s="1"/>
  <c r="G128" s="1"/>
  <c r="H128" s="1"/>
  <c r="I128" s="1"/>
  <c r="J128" s="1"/>
  <c r="K128" s="1"/>
  <c r="L128" s="1"/>
  <c r="M128" s="1"/>
  <c r="H43"/>
  <c r="U43" s="1"/>
  <c r="H42"/>
  <c r="AB42" s="1"/>
  <c r="AB44"/>
  <c r="S43"/>
  <c r="W43"/>
  <c r="AB29"/>
  <c r="U27"/>
  <c r="AB25"/>
  <c r="S23"/>
  <c r="AB17"/>
  <c r="S17"/>
  <c r="AA43" i="21"/>
  <c r="S35"/>
  <c r="AB34"/>
  <c r="U43"/>
  <c r="U42"/>
  <c r="W42"/>
  <c r="AC40"/>
  <c r="H113"/>
  <c r="F37"/>
  <c r="S37" s="1"/>
  <c r="H37"/>
  <c r="U37" s="1"/>
  <c r="J37"/>
  <c r="W37" s="1"/>
  <c r="AA36"/>
  <c r="U19"/>
  <c r="U17"/>
  <c r="C18" i="9"/>
  <c r="A30" i="64"/>
  <c r="A30" i="51"/>
  <c r="W27" i="39"/>
  <c r="AB19"/>
  <c r="AA19"/>
  <c r="AB10" i="21"/>
  <c r="AA9"/>
  <c r="U9"/>
  <c r="W9"/>
  <c r="F71" i="9"/>
  <c r="BL13" i="3"/>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52" i="15"/>
  <c r="A4" i="64"/>
  <c r="A4" i="51"/>
  <c r="B6" i="63" s="1"/>
  <c r="C51" i="10"/>
  <c r="H58" i="46"/>
  <c r="H61"/>
  <c r="H62"/>
  <c r="H71"/>
  <c r="I100"/>
  <c r="N100"/>
  <c r="H100"/>
  <c r="F108"/>
  <c r="H80"/>
  <c r="B45"/>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69" i="46"/>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2"/>
  <c r="J17" i="44"/>
  <c r="M6" i="15"/>
  <c r="F36"/>
  <c r="M23"/>
  <c r="F16"/>
  <c r="M8"/>
  <c r="M29"/>
  <c r="L49" i="44"/>
  <c r="F43"/>
  <c r="M9" i="15"/>
  <c r="M27"/>
  <c r="M31" i="44"/>
  <c r="F7" i="15"/>
  <c r="F40"/>
  <c r="M28" i="44"/>
  <c r="M24" i="15"/>
  <c r="F10" i="44"/>
  <c r="M30"/>
  <c r="F11"/>
  <c r="M8"/>
  <c r="M26" i="15"/>
  <c r="J15"/>
  <c r="F8" i="44"/>
  <c r="F9" i="15"/>
  <c r="F15" i="44"/>
  <c r="F18"/>
  <c r="F38" i="15"/>
  <c r="L47"/>
  <c r="F45" i="44"/>
  <c r="M29"/>
  <c r="M28" i="15"/>
  <c r="M10" i="44"/>
  <c r="F28"/>
  <c r="F9"/>
  <c r="L48"/>
  <c r="F42" i="15"/>
  <c r="F40" i="44"/>
  <c r="F8" i="15"/>
  <c r="F37"/>
  <c r="F38" i="44"/>
  <c r="L48" i="15"/>
  <c r="F26"/>
  <c r="M25" i="44"/>
  <c r="M11"/>
  <c r="J36" i="15"/>
  <c r="F43"/>
  <c r="F39" i="44"/>
  <c r="M26"/>
  <c r="M24"/>
  <c r="F13" i="15"/>
  <c r="F6"/>
  <c r="AB11" i="46" l="1"/>
  <c r="AB13" s="1"/>
  <c r="G103" i="39"/>
  <c r="J29"/>
  <c r="S19" i="21"/>
  <c r="W25" i="37"/>
  <c r="AC25"/>
  <c r="AA34" i="35"/>
  <c r="S34"/>
  <c r="U12" i="21"/>
  <c r="AB12"/>
  <c r="H77" i="46"/>
  <c r="H76"/>
  <c r="C7"/>
  <c r="AA42" i="39"/>
  <c r="S42"/>
  <c r="AB24" i="36"/>
  <c r="U24"/>
  <c r="AA37" i="21"/>
  <c r="AC23"/>
  <c r="H74" i="46"/>
  <c r="H73"/>
  <c r="G6" i="1"/>
  <c r="G16" s="1"/>
  <c r="J12" i="40" s="1"/>
  <c r="L58" i="15"/>
  <c r="Q74" s="1"/>
  <c r="L59"/>
  <c r="Q75" s="1"/>
  <c r="J53"/>
  <c r="F1" s="1"/>
  <c r="I54"/>
  <c r="I55" i="44"/>
  <c r="J54"/>
  <c r="L60"/>
  <c r="Q63" s="1"/>
  <c r="L59"/>
  <c r="Q75" s="1"/>
  <c r="J60"/>
  <c r="J58"/>
  <c r="J56" s="1"/>
  <c r="J59" s="1"/>
  <c r="Q52" s="1"/>
  <c r="L57"/>
  <c r="J61"/>
  <c r="Q50" s="1"/>
  <c r="E86" i="3"/>
  <c r="AE11" i="46"/>
  <c r="AE13" s="1"/>
  <c r="F29" i="6"/>
  <c r="F28"/>
  <c r="E28" s="1"/>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5"/>
  <c r="C105"/>
  <c r="J109"/>
  <c r="F107"/>
  <c r="K104"/>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G33"/>
  <c r="I33" s="1"/>
  <c r="C37"/>
  <c r="G37" s="1"/>
  <c r="I37" s="1"/>
  <c r="Q16" i="1"/>
  <c r="F18" i="11" s="1"/>
  <c r="AP16" i="1"/>
  <c r="F22" i="11" s="1"/>
  <c r="E4" i="4"/>
  <c r="C4"/>
  <c r="F64" i="15"/>
  <c r="C27"/>
  <c r="Q72"/>
  <c r="F50"/>
  <c r="F63"/>
  <c r="F67"/>
  <c r="M7"/>
  <c r="F49"/>
  <c r="F70"/>
  <c r="C6"/>
  <c r="L56"/>
  <c r="J57"/>
  <c r="J55" s="1"/>
  <c r="J58" s="1"/>
  <c r="Q51" s="1"/>
  <c r="F65"/>
  <c r="G66" i="36"/>
  <c r="J18"/>
  <c r="AE8" i="1"/>
  <c r="AE7"/>
  <c r="AE6"/>
  <c r="F31" i="15"/>
  <c r="F58"/>
  <c r="F33" i="44"/>
  <c r="M17" i="15"/>
  <c r="M19" i="44"/>
  <c r="C16" i="15"/>
  <c r="F46" i="44"/>
  <c r="C15" i="12"/>
  <c r="F41" i="15"/>
  <c r="C18" i="44"/>
  <c r="AC29" i="39" l="1"/>
  <c r="W29"/>
  <c r="J7" i="36"/>
  <c r="W7" s="1"/>
  <c r="F7"/>
  <c r="H7" i="35"/>
  <c r="AB7" s="1"/>
  <c r="T38" s="1"/>
  <c r="G38" s="1"/>
  <c r="G42" s="1"/>
  <c r="H42" s="1"/>
  <c r="F7"/>
  <c r="H7" i="34"/>
  <c r="AB7" s="1"/>
  <c r="T49" s="1"/>
  <c r="G49" s="1"/>
  <c r="G53" s="1"/>
  <c r="H53" s="1"/>
  <c r="J7"/>
  <c r="K107" i="46"/>
  <c r="F103"/>
  <c r="F106"/>
  <c r="C107"/>
  <c r="C104"/>
  <c r="J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62" i="40"/>
  <c r="E67" i="39"/>
  <c r="E66"/>
  <c r="E61" i="40"/>
  <c r="E37" i="46"/>
  <c r="G35"/>
  <c r="I35" s="1"/>
  <c r="E38"/>
  <c r="G36"/>
  <c r="I36" s="1"/>
  <c r="E33"/>
  <c r="C30"/>
  <c r="E30" s="1"/>
  <c r="G34"/>
  <c r="I34" s="1"/>
  <c r="B21" i="55"/>
  <c r="B20"/>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C12" i="40"/>
  <c r="W12"/>
  <c r="E46" i="37"/>
  <c r="F46" s="1"/>
  <c r="C48" i="33"/>
  <c r="C49"/>
  <c r="B3" s="1"/>
  <c r="B2" s="1"/>
  <c r="F33" i="12"/>
  <c r="L52" i="44"/>
  <c r="D21" i="12"/>
  <c r="F7" i="67"/>
  <c r="B72" i="63" l="1"/>
  <c r="B70"/>
  <c r="L19" i="6"/>
  <c r="K15" i="1"/>
  <c r="E30" i="6"/>
  <c r="E31" s="1"/>
  <c r="C34" i="12"/>
  <c r="D33" s="1"/>
  <c r="C2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W7"/>
  <c r="U7"/>
  <c r="AB7"/>
  <c r="S7"/>
  <c r="AA7"/>
  <c r="F72" i="39"/>
  <c r="G70"/>
  <c r="F67" i="40"/>
  <c r="G65"/>
  <c r="J24" i="15"/>
  <c r="C32"/>
  <c r="C38"/>
  <c r="J20" i="44"/>
  <c r="J26"/>
  <c r="C19"/>
  <c r="E7" i="67"/>
  <c r="C17" i="15"/>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O14" i="1"/>
  <c r="M16"/>
  <c r="T7"/>
  <c r="C43" i="37"/>
  <c r="B3" s="1"/>
  <c r="B2" s="1"/>
  <c r="C42"/>
  <c r="C49" i="34"/>
  <c r="E54"/>
  <c r="F54" s="1"/>
  <c r="I54"/>
  <c r="J54" s="1"/>
  <c r="E53"/>
  <c r="F53" s="1"/>
  <c r="G67" i="40"/>
  <c r="H65"/>
  <c r="G72" i="39"/>
  <c r="H70"/>
  <c r="B7" i="67"/>
  <c r="D16" i="12"/>
  <c r="C14" i="66" l="1"/>
  <c r="B2" s="1"/>
  <c r="E68" i="39"/>
  <c r="E63" i="40"/>
  <c r="B2" i="67"/>
  <c r="B4" i="46"/>
  <c r="B3"/>
  <c r="T10" i="1"/>
  <c r="T9"/>
  <c r="T6"/>
  <c r="T11"/>
  <c r="T8"/>
  <c r="T12"/>
  <c r="O16"/>
  <c r="P14"/>
  <c r="P16" s="1"/>
  <c r="C13" i="43"/>
  <c r="L16" i="1"/>
  <c r="N16"/>
  <c r="C29" i="43"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I70" i="39"/>
  <c r="H72"/>
  <c r="I65" i="40"/>
  <c r="H67"/>
  <c r="C13" i="12"/>
  <c r="C14" i="15"/>
  <c r="D22" i="12"/>
  <c r="C16" i="44"/>
  <c r="C22" i="1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F37" i="44"/>
  <c r="F35" i="15"/>
  <c r="M23"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11" i="21" s="1"/>
  <c r="C26" i="15"/>
  <c r="C29" s="1"/>
  <c r="J59" s="1"/>
  <c r="J60" s="1"/>
  <c r="Q49" s="1"/>
  <c r="C23" i="12"/>
  <c r="C19" i="43"/>
  <c r="C22" s="1"/>
  <c r="C21" s="1"/>
  <c r="K67" i="40"/>
  <c r="L65"/>
  <c r="K72" i="39"/>
  <c r="L70"/>
  <c r="H11" i="21" l="1"/>
  <c r="F11"/>
  <c r="J11"/>
  <c r="C33" i="44"/>
  <c r="J21"/>
  <c r="J19" s="1"/>
  <c r="Q51"/>
  <c r="C15"/>
  <c r="C38"/>
  <c r="J16"/>
  <c r="J15" s="1"/>
  <c r="J25" s="1"/>
  <c r="J19" i="15"/>
  <c r="J17" s="1"/>
  <c r="J14"/>
  <c r="J22" s="1"/>
  <c r="C56"/>
  <c r="C63" s="1"/>
  <c r="Q50"/>
  <c r="C13"/>
  <c r="J35" s="1"/>
  <c r="C36"/>
  <c r="C25" i="43"/>
  <c r="C24" s="1"/>
  <c r="C28" s="1"/>
  <c r="C30" s="1"/>
  <c r="L72" i="39"/>
  <c r="M70"/>
  <c r="M65" i="40"/>
  <c r="L67"/>
  <c r="C33" i="15"/>
  <c r="W11" i="21" l="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E48" i="21" l="1"/>
  <c r="R49"/>
  <c r="G52"/>
  <c r="H52" s="1"/>
  <c r="G53"/>
  <c r="H53" s="1"/>
  <c r="I52"/>
  <c r="J52" s="1"/>
  <c r="I53"/>
  <c r="J53" s="1"/>
  <c r="C44" i="44"/>
  <c r="C45" s="1"/>
  <c r="B2" s="1"/>
  <c r="B4" s="1"/>
  <c r="C30" i="15"/>
  <c r="C39" s="1"/>
  <c r="Q70" s="1"/>
  <c r="Q69" s="1"/>
  <c r="C58"/>
  <c r="C57" s="1"/>
  <c r="C66" s="1"/>
  <c r="C67" s="1"/>
  <c r="C70" s="1"/>
  <c r="Q70" i="44"/>
  <c r="Q49"/>
  <c r="Q55" s="1"/>
  <c r="Q58"/>
  <c r="Q64" s="1"/>
  <c r="B3" i="43"/>
  <c r="B5"/>
  <c r="B4"/>
  <c r="J9" i="40"/>
  <c r="F9"/>
  <c r="H9"/>
  <c r="J9" i="39"/>
  <c r="H9"/>
  <c r="F9"/>
  <c r="E52" i="21" l="1"/>
  <c r="F52" s="1"/>
  <c r="E53"/>
  <c r="F53" s="1"/>
  <c r="C49"/>
  <c r="B3" s="1"/>
  <c r="C48"/>
  <c r="C40" i="15"/>
  <c r="Q48" s="1"/>
  <c r="Q54" s="1"/>
  <c r="J39"/>
  <c r="J40" s="1"/>
  <c r="B5" i="44"/>
  <c r="B3"/>
  <c r="S9" i="39"/>
  <c r="AA9"/>
  <c r="R49" s="1"/>
  <c r="W9"/>
  <c r="AC9"/>
  <c r="V49" s="1"/>
  <c r="I49" s="1"/>
  <c r="AA9" i="40"/>
  <c r="R44" s="1"/>
  <c r="S9"/>
  <c r="U9" i="39"/>
  <c r="AB9"/>
  <c r="T49" s="1"/>
  <c r="G49" s="1"/>
  <c r="AB9" i="40"/>
  <c r="T44" s="1"/>
  <c r="G44" s="1"/>
  <c r="U9"/>
  <c r="AC9"/>
  <c r="V44" s="1"/>
  <c r="I44" s="1"/>
  <c r="W9"/>
  <c r="L51" i="15"/>
  <c r="C8" i="12" l="1"/>
  <c r="C10" s="1"/>
  <c r="C6" s="1"/>
  <c r="B2" i="21"/>
  <c r="C46" i="15"/>
  <c r="Q66"/>
  <c r="L57"/>
  <c r="L60" s="1"/>
  <c r="Q67" s="1"/>
  <c r="Q68"/>
  <c r="Q57"/>
  <c r="C43"/>
  <c r="J42"/>
  <c r="J43" s="1"/>
  <c r="I48" i="40"/>
  <c r="J48" s="1"/>
  <c r="G48"/>
  <c r="H48" s="1"/>
  <c r="G49"/>
  <c r="H49" s="1"/>
  <c r="E44"/>
  <c r="R45"/>
  <c r="G53" i="39"/>
  <c r="H53" s="1"/>
  <c r="G54"/>
  <c r="H54" s="1"/>
  <c r="I53"/>
  <c r="J53" s="1"/>
  <c r="E49"/>
  <c r="R50"/>
  <c r="C24" i="12" l="1"/>
  <c r="C29"/>
  <c r="L46" i="15"/>
  <c r="B2" s="1"/>
  <c r="B3" s="1"/>
  <c r="Q76"/>
  <c r="Q58"/>
  <c r="Q63" s="1"/>
  <c r="E54" i="39"/>
  <c r="F54" s="1"/>
  <c r="E53"/>
  <c r="F53" s="1"/>
  <c r="E48" i="40"/>
  <c r="F48" s="1"/>
  <c r="E49"/>
  <c r="F49" s="1"/>
  <c r="C50" i="39"/>
  <c r="C49"/>
  <c r="I54"/>
  <c r="J54" s="1"/>
  <c r="C45" i="40"/>
  <c r="C44"/>
  <c r="I49"/>
  <c r="J49" s="1"/>
  <c r="C35" i="12" l="1"/>
  <c r="C33" s="1"/>
  <c r="C28"/>
  <c r="C26" s="1"/>
  <c r="C31" s="1"/>
  <c r="C30"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6" i="12" l="1"/>
  <c r="B2" s="1"/>
  <c r="F68" i="39"/>
  <c r="B2" s="1"/>
  <c r="F63" i="40"/>
  <c r="B2" s="1"/>
  <c r="C19" i="9"/>
  <c r="D19"/>
  <c r="B5" i="12"/>
  <c r="B4"/>
  <c r="B3"/>
  <c r="L44" i="9" l="1"/>
  <c r="L43"/>
  <c r="D22"/>
  <c r="G19"/>
  <c r="C32" s="1"/>
  <c r="B3" i="40"/>
  <c r="B4"/>
  <c r="B5"/>
  <c r="B3" i="39"/>
  <c r="B4"/>
  <c r="B5"/>
  <c r="D21" i="9"/>
  <c r="D20"/>
  <c r="C20"/>
  <c r="C21"/>
  <c r="G20" l="1"/>
  <c r="G21"/>
  <c r="C45"/>
  <c r="H14" i="66" s="1"/>
  <c r="B7" s="1"/>
  <c r="G22" i="9"/>
  <c r="N43"/>
  <c r="D7" i="66" l="1"/>
  <c r="C7"/>
  <c r="C42" i="9"/>
  <c r="O38"/>
  <c r="K25" s="1"/>
  <c r="C34"/>
  <c r="C33"/>
  <c r="O43"/>
  <c r="C35"/>
  <c r="F42" s="1"/>
  <c r="C44" l="1"/>
  <c r="G14" i="66" s="1"/>
  <c r="B6" s="1"/>
  <c r="D14"/>
  <c r="F14" s="1"/>
  <c r="R5" i="54"/>
  <c r="M38" i="9"/>
  <c r="K27" s="1"/>
  <c r="E42"/>
  <c r="N68"/>
  <c r="D63"/>
  <c r="C111" s="1"/>
  <c r="N38"/>
  <c r="K28" s="1"/>
  <c r="D42"/>
  <c r="K26"/>
  <c r="D45"/>
  <c r="E45"/>
  <c r="O40"/>
  <c r="F45"/>
  <c r="B48" i="63" l="1"/>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C113" i="9"/>
  <c r="C114" s="1"/>
  <c r="E114" s="1"/>
  <c r="E115" s="1"/>
  <c r="C97"/>
  <c r="C98" s="1"/>
  <c r="E98" s="1"/>
  <c r="E99" s="1"/>
  <c r="B50" i="63" l="1"/>
  <c r="N89" i="9"/>
  <c r="C115"/>
  <c r="D76" s="1"/>
  <c r="D74" s="1"/>
  <c r="N74" s="1"/>
  <c r="C99"/>
  <c r="O89" l="1"/>
  <c r="N76"/>
  <c r="O77" s="1"/>
  <c r="O78" s="1"/>
  <c r="Q77" l="1"/>
  <c r="O79"/>
  <c r="C46" s="1"/>
  <c r="K33" s="1"/>
  <c r="F46" l="1"/>
  <c r="O41"/>
  <c r="R8" i="54" s="1"/>
  <c r="O80" i="9"/>
  <c r="I14" i="66"/>
  <c r="B8" s="1"/>
  <c r="C8" s="1"/>
  <c r="E46" i="9"/>
  <c r="D46"/>
  <c r="O81"/>
  <c r="K34"/>
  <c r="C11" i="11"/>
  <c r="C10" s="1"/>
  <c r="C18" s="1"/>
  <c r="B54" i="63" l="1"/>
  <c r="D8" i="66"/>
  <c r="C17" i="11"/>
  <c r="C19" s="1"/>
  <c r="C20" l="1"/>
  <c r="C21" s="1"/>
  <c r="C22" s="1"/>
  <c r="C23" s="1"/>
  <c r="B2" s="1"/>
  <c r="B4" l="1"/>
  <c r="B5"/>
  <c r="B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<sst xmlns="http://schemas.openxmlformats.org/spreadsheetml/2006/main" count="7014" uniqueCount="3107">
  <si>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</si>
  <si>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</si>
  <si>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</si>
  <si>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</si>
  <si>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</si>
  <si>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</si>
  <si>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</si>
  <si>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</si>
  <si>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</si>
  <si>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</si>
  <si>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</si>
  <si>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</si>
  <si>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</si>
  <si>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</si>
  <si>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</si>
  <si>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</si>
  <si>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</si>
  <si>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</si>
  <si>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</si>
  <si>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</si>
  <si>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</si>
  <si>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</si>
  <si>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</si>
  <si>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</si>
  <si>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</si>
  <si>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</si>
  <si>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</si>
  <si>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</si>
  <si>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</si>
  <si>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</si>
  <si>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</si>
  <si>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</si>
  <si>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</si>
  <si>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</si>
  <si>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</si>
  <si>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</si>
  <si>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</si>
  <si>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</si>
  <si>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</si>
  <si>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</si>
  <si>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</si>
  <si>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</si>
  <si>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</si>
  <si>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</si>
  <si>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</si>
  <si>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</si>
  <si>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</si>
  <si>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</si>
  <si>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</si>
  <si>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</si>
  <si>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</si>
  <si>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</si>
  <si>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</si>
  <si>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</si>
  <si>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</si>
  <si>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</si>
  <si>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</si>
  <si>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</si>
  <si>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</si>
  <si>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</si>
  <si>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</si>
  <si>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</si>
  <si>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</si>
  <si>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</si>
  <si>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</si>
  <si>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</si>
  <si>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</si>
  <si>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</si>
  <si>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</si>
  <si>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</si>
  <si>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</si>
  <si>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</si>
  <si>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</si>
  <si>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</si>
  <si>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</si>
  <si>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</si>
  <si>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</si>
  <si>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</si>
  <si>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</si>
  <si>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</si>
  <si>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</si>
  <si>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</si>
  <si>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</si>
  <si>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</si>
  <si>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</si>
  <si>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</si>
  <si>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</si>
  <si>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</si>
  <si>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</si>
  <si>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</si>
  <si>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</si>
  <si>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</si>
  <si>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</si>
  <si>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</si>
  <si>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</si>
  <si>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</si>
  <si>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</si>
  <si>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</si>
  <si>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</si>
  <si>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</si>
  <si>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</si>
  <si>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</si>
  <si>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</si>
  <si>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</si>
  <si>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</si>
  <si>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</si>
  <si>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</si>
  <si>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</si>
  <si>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</si>
  <si>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</si>
  <si>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</si>
  <si>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</si>
  <si>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</si>
  <si>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</si>
  <si>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</si>
  <si>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</si>
  <si>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</si>
  <si>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</si>
  <si>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</si>
  <si>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</si>
  <si>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</si>
  <si>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</si>
  <si>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</si>
  <si>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</si>
  <si>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</si>
  <si>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</si>
  <si>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</si>
  <si>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</si>
  <si>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</si>
  <si>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</si>
  <si>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</si>
  <si>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</si>
  <si>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</si>
  <si>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</si>
  <si>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</si>
  <si>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</si>
  <si>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</si>
  <si>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</si>
  <si>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</si>
  <si>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</si>
  <si>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</si>
  <si>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</si>
  <si>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</si>
  <si>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</si>
  <si>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</si>
  <si>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</si>
  <si>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</si>
  <si>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</si>
  <si>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</si>
  <si>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</si>
  <si>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</si>
  <si>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</si>
  <si>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</si>
  <si>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</si>
  <si>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</si>
  <si>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</si>
  <si>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</si>
  <si>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</si>
  <si>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</si>
  <si>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</si>
  <si>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</si>
  <si>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</si>
  <si>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</si>
  <si>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</si>
  <si>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</si>
  <si>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</si>
  <si>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</si>
  <si>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</si>
  <si>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</si>
  <si>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</si>
  <si>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</si>
  <si>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</si>
  <si>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</si>
  <si>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</si>
  <si>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</si>
  <si>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</si>
  <si>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</si>
  <si>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</si>
  <si>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</si>
  <si>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</si>
  <si>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</si>
  <si>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</si>
  <si>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</si>
  <si>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</si>
  <si>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</si>
  <si>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</si>
  <si>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</si>
  <si>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</si>
  <si>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</si>
  <si>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</si>
  <si>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</si>
  <si>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</si>
  <si>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</si>
  <si>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</si>
  <si>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</si>
  <si>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</si>
  <si>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</si>
  <si>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</si>
  <si>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</si>
  <si>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</si>
  <si>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</si>
  <si>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</si>
  <si>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</si>
  <si>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</si>
  <si>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</si>
  <si>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</si>
  <si>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</si>
  <si>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</si>
  <si>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</si>
  <si>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</si>
  <si>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</si>
  <si>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</si>
  <si>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</si>
  <si>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</si>
  <si>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</si>
  <si>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</si>
  <si>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</si>
  <si>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</si>
  <si>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</si>
  <si>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</si>
  <si>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</si>
  <si>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</si>
  <si>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</si>
  <si>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</si>
  <si>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</si>
  <si>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</si>
  <si>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</si>
  <si>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</si>
  <si>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</si>
  <si>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</si>
  <si>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</si>
  <si>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</si>
  <si>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</si>
  <si>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</si>
  <si>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</si>
  <si>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</si>
  <si>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</si>
  <si>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</si>
  <si>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</si>
  <si>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</si>
  <si>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</si>
  <si>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</si>
  <si>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</si>
  <si>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</si>
  <si>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</si>
  <si>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</si>
  <si>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</si>
  <si>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</si>
  <si>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</si>
  <si>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</si>
  <si>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</si>
  <si>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</si>
  <si>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</si>
  <si>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</si>
  <si>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</si>
  <si>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</si>
  <si>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</si>
  <si>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</si>
  <si>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</si>
  <si>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</si>
  <si>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</si>
  <si>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</si>
  <si>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</si>
  <si>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</si>
  <si>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</si>
  <si>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</si>
  <si>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</si>
  <si>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</si>
  <si>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</si>
  <si>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</si>
  <si>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</si>
  <si>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</si>
  <si>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</si>
  <si>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</si>
  <si>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</si>
  <si>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</si>
  <si>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</si>
  <si>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</si>
  <si>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</si>
  <si>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</si>
  <si>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</si>
  <si>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</si>
  <si>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</si>
  <si>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</si>
  <si>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</si>
  <si>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</si>
  <si>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</si>
  <si>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</si>
  <si>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</si>
  <si>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</si>
  <si>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</si>
  <si>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</si>
  <si>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</si>
  <si>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</si>
  <si>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</si>
  <si>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</si>
  <si>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</si>
  <si>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</si>
  <si>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</si>
  <si>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</si>
  <si>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</si>
  <si>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</si>
  <si>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</si>
  <si>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</si>
  <si>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</si>
  <si>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</si>
  <si>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</si>
  <si>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</si>
  <si>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</si>
  <si>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</si>
  <si>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</si>
  <si>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</si>
  <si>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</si>
  <si>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</si>
  <si>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</si>
  <si>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</si>
  <si>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</si>
  <si>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</si>
  <si>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</si>
  <si>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</si>
  <si>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</si>
  <si>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</si>
  <si>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</si>
  <si>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</si>
  <si>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</si>
  <si>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</si>
  <si>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</si>
  <si>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</si>
  <si>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</si>
  <si>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</si>
  <si>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</si>
  <si>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</si>
  <si>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</si>
  <si>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</si>
  <si>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</si>
  <si>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</si>
  <si>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</si>
  <si>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</si>
  <si>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</si>
  <si>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</si>
  <si>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</si>
  <si>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</si>
  <si>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</si>
  <si>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</si>
  <si>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</si>
  <si>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</si>
  <si>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</si>
  <si>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</si>
  <si>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</si>
  <si>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</si>
  <si>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</si>
  <si>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</si>
  <si>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</si>
  <si>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</si>
  <si>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</si>
  <si>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</si>
  <si>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</si>
  <si>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</si>
  <si>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</si>
  <si>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</si>
  <si>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</si>
  <si>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</si>
  <si>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</si>
  <si>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</si>
  <si>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</si>
  <si>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</si>
  <si>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</si>
  <si>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</si>
  <si>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</si>
  <si>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</si>
  <si>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</si>
  <si>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</si>
  <si>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</si>
  <si>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</si>
  <si>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</si>
  <si>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</si>
  <si>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</si>
  <si>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</si>
  <si>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</si>
  <si>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</si>
  <si>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</si>
  <si>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</si>
  <si>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</si>
  <si>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</si>
  <si>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</si>
  <si>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</si>
  <si>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</si>
  <si>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</si>
  <si>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</si>
  <si>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</si>
  <si>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</si>
  <si>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</si>
  <si>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</si>
  <si>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</si>
  <si>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</si>
  <si>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</si>
  <si>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</si>
  <si>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</si>
  <si>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</si>
  <si>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</si>
  <si>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</si>
  <si>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</si>
  <si>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</si>
  <si>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</si>
  <si>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</si>
  <si>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</si>
  <si>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</si>
  <si>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</si>
  <si>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</si>
  <si>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</si>
  <si>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</si>
  <si>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</si>
  <si>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</si>
  <si>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</si>
  <si>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</si>
  <si>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</si>
  <si>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</si>
  <si>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</si>
  <si>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</si>
  <si>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</si>
  <si>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</si>
  <si>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</si>
  <si>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</si>
  <si>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</si>
  <si>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</si>
  <si>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</si>
  <si>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</si>
  <si>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</si>
  <si>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</si>
  <si>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</si>
  <si>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</si>
  <si>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</si>
  <si>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</si>
  <si>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</si>
  <si>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</si>
  <si>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</si>
  <si>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</si>
  <si>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</si>
  <si>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</si>
  <si>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</si>
  <si>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</si>
  <si>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</si>
  <si>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</si>
  <si>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</si>
  <si>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</si>
  <si>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</si>
  <si>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</si>
  <si>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</si>
  <si>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</si>
  <si>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</si>
  <si>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</si>
  <si>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</si>
  <si>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</si>
  <si>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</si>
  <si>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</si>
  <si>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</si>
  <si>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</si>
  <si>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</si>
  <si>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</si>
  <si>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</si>
  <si>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</si>
  <si>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</si>
  <si>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</si>
  <si>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</si>
  <si>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</si>
  <si>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</si>
  <si>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</si>
  <si>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</si>
  <si>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</si>
  <si>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</si>
  <si>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</si>
  <si>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</si>
  <si>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</si>
  <si>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</si>
  <si>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</si>
  <si>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</si>
  <si>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</si>
  <si>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</si>
  <si>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</si>
  <si>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</si>
  <si>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</si>
  <si>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</si>
  <si>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</si>
  <si>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</si>
  <si>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</si>
  <si>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</si>
  <si>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</si>
  <si>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</si>
  <si>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</si>
  <si>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</si>
  <si>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</si>
  <si>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</si>
  <si>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</si>
  <si>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</si>
  <si>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</si>
  <si>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</si>
  <si>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</si>
  <si>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</si>
  <si>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</si>
  <si>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</si>
  <si>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</si>
  <si>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</si>
  <si>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</si>
  <si>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</si>
  <si>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</si>
  <si>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</si>
  <si>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</si>
  <si>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</si>
  <si>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</si>
  <si>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</si>
  <si>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</si>
  <si>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</si>
  <si>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</si>
  <si>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</si>
  <si>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</si>
  <si>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</si>
  <si>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</si>
  <si>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</si>
  <si>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</si>
  <si>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</si>
  <si>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</si>
  <si>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</si>
  <si>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</si>
  <si>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</si>
  <si>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</si>
  <si>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</si>
  <si>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</si>
  <si>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</si>
  <si>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</si>
  <si>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</si>
  <si>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</si>
  <si>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</si>
  <si>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</si>
  <si>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</si>
  <si>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</si>
  <si>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</si>
  <si>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</si>
  <si>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</si>
  <si>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</si>
  <si>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</si>
  <si>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</si>
  <si>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</si>
  <si>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</si>
  <si>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</si>
  <si>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</si>
  <si>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</si>
  <si>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</si>
  <si>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</si>
  <si>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</si>
  <si>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</si>
  <si>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</si>
  <si>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</si>
  <si>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</si>
  <si>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</si>
  <si>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</si>
  <si>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</si>
  <si>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</si>
  <si>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</si>
  <si>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</si>
  <si>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</si>
  <si>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</si>
  <si>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</si>
  <si>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</si>
  <si>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</si>
  <si>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</si>
  <si>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</si>
  <si>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</si>
  <si>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</si>
  <si>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</si>
  <si>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</si>
  <si>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</si>
  <si>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</si>
  <si>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</si>
  <si>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</si>
  <si>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</si>
  <si>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</si>
  <si>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</si>
  <si>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</si>
  <si>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</si>
  <si>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</si>
  <si>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</si>
  <si>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</si>
  <si>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</si>
  <si>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</si>
  <si>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</si>
  <si>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</si>
  <si>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</si>
  <si>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</si>
  <si>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</si>
  <si>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</si>
  <si>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</si>
  <si>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</si>
  <si>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</si>
  <si>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</si>
  <si>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</si>
  <si>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</si>
  <si>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</si>
  <si>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</si>
  <si>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</si>
  <si>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</si>
  <si>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</si>
  <si>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</si>
  <si>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</si>
  <si>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</si>
  <si>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</si>
  <si>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</si>
  <si>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</si>
  <si>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</si>
  <si>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</si>
  <si>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</si>
  <si>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</si>
  <si>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</si>
  <si>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</si>
  <si>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</si>
  <si>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</si>
  <si>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</si>
  <si>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</si>
  <si>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</si>
  <si>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</si>
  <si>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</si>
  <si>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</si>
  <si>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</si>
  <si>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</si>
  <si>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</si>
  <si>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</si>
  <si>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</si>
  <si>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</si>
  <si>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</si>
  <si>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</si>
  <si>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</si>
  <si>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</si>
  <si>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</si>
  <si>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</si>
  <si>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</si>
  <si>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</si>
  <si>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</si>
  <si>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</si>
  <si>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</si>
  <si>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</si>
  <si>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</si>
  <si>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</si>
  <si>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</si>
  <si>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</si>
  <si>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</si>
  <si>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</si>
  <si>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</si>
  <si>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</si>
  <si>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</si>
  <si>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</si>
  <si>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</si>
  <si>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</si>
  <si>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</si>
  <si>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</si>
  <si>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</si>
  <si>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</si>
  <si>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</si>
  <si>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</si>
  <si>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</si>
  <si>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</si>
  <si>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</si>
  <si>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</si>
  <si>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</si>
  <si>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</si>
  <si>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</si>
  <si>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</si>
  <si>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</si>
  <si>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</si>
  <si>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</si>
  <si>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</si>
  <si>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</si>
  <si>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</si>
  <si>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</si>
  <si>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</si>
  <si>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</si>
  <si>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</si>
  <si>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</si>
  <si>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</si>
  <si>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</si>
  <si>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</si>
  <si>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</si>
  <si>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</si>
  <si>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</si>
  <si>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</si>
  <si>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</si>
  <si>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</si>
  <si>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</si>
  <si>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</si>
  <si>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</si>
  <si>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</si>
  <si>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</si>
  <si>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</si>
  <si>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</si>
  <si>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</si>
  <si>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</si>
  <si>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</si>
  <si>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</si>
  <si>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</si>
  <si>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</si>
  <si>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</si>
  <si>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</si>
  <si>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</si>
  <si>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</si>
  <si>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</si>
  <si>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</si>
  <si>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</si>
  <si>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</si>
  <si>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</si>
  <si>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</si>
  <si>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</si>
  <si>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</si>
  <si>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</si>
  <si>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</si>
  <si>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</si>
  <si>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</si>
  <si>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</si>
  <si>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</si>
  <si>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</si>
  <si>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</si>
  <si>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</si>
  <si>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</si>
  <si>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</si>
  <si>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</si>
  <si>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</si>
  <si>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</si>
  <si>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</si>
  <si>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</si>
  <si>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</si>
  <si>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</si>
  <si>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</si>
  <si>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</si>
  <si>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</si>
  <si>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</si>
  <si>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</si>
  <si>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</si>
  <si>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</si>
  <si>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</si>
  <si>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</si>
  <si>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</si>
  <si>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</si>
  <si>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</si>
  <si>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</si>
  <si>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</si>
  <si>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</si>
  <si>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</si>
  <si>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</si>
  <si>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</si>
  <si>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</si>
  <si>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</si>
  <si>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</si>
  <si>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</si>
  <si>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</si>
  <si>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</si>
  <si>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</si>
  <si>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</si>
  <si>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</si>
  <si>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</si>
  <si>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</si>
  <si>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</si>
  <si>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</si>
  <si>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</si>
  <si>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</si>
  <si>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</si>
  <si>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</si>
  <si>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</si>
  <si>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</si>
  <si>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</si>
  <si>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</si>
  <si>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</si>
  <si>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</si>
  <si>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</si>
  <si>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</si>
  <si>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</si>
  <si>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</si>
  <si>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</si>
  <si>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</si>
  <si>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</si>
  <si>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</si>
  <si>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</si>
  <si>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</si>
  <si>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</si>
  <si>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</si>
  <si>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</si>
  <si>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</si>
  <si>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</si>
  <si>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</si>
  <si>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</si>
  <si>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</si>
  <si>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</si>
  <si>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</si>
  <si>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</si>
  <si>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</si>
  <si>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</si>
  <si>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</si>
  <si>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</si>
  <si>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</si>
  <si>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</si>
  <si>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</si>
  <si>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</si>
  <si>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</si>
  <si>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</si>
  <si>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</si>
  <si>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</si>
  <si>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</si>
  <si>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</si>
  <si>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</si>
  <si>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</si>
  <si>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</si>
  <si>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</si>
  <si>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</si>
  <si>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</si>
  <si>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</si>
  <si>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</si>
  <si>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</si>
  <si>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</si>
  <si>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</si>
  <si>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</si>
  <si>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</si>
  <si>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</si>
  <si>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</si>
  <si>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</si>
  <si>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</si>
  <si>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</si>
  <si>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</si>
  <si>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</si>
  <si>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</si>
  <si>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</si>
  <si>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</si>
  <si>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</si>
  <si>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</si>
  <si>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</si>
  <si>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</si>
  <si>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</si>
  <si>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</si>
  <si>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</si>
  <si>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</si>
  <si>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</si>
  <si>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</si>
  <si>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</si>
  <si>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</si>
  <si>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</si>
  <si>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</si>
  <si>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</si>
  <si>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</si>
  <si>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</si>
  <si>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</si>
  <si>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</si>
  <si>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</si>
  <si>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</si>
  <si>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</si>
  <si>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</si>
  <si>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</si>
  <si>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</si>
  <si>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</si>
  <si>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</si>
  <si>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</si>
  <si>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</si>
  <si>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</si>
  <si>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</si>
  <si>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</si>
  <si>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</si>
  <si>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</si>
  <si>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</si>
  <si>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</si>
  <si>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</si>
  <si>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</si>
  <si>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</si>
  <si>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</si>
  <si>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</si>
  <si>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</si>
  <si>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</si>
  <si>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</si>
  <si>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</si>
  <si>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</si>
  <si>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</si>
  <si>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</si>
  <si>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</si>
  <si>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</si>
  <si>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</si>
  <si>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</si>
  <si>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</si>
  <si>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</si>
  <si>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</si>
  <si>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</si>
  <si>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</si>
  <si>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</si>
  <si>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</si>
  <si>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</si>
  <si>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</si>
  <si>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</si>
  <si>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</si>
  <si>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</si>
  <si>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</si>
  <si>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</si>
  <si>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</si>
  <si>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</si>
  <si>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</si>
  <si>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</si>
  <si>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</si>
  <si>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</si>
  <si>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</si>
  <si>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</si>
  <si>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</si>
  <si>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</si>
  <si>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</si>
  <si>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</si>
  <si>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</si>
  <si>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</si>
  <si>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</si>
  <si>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</si>
  <si>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</si>
  <si>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</si>
  <si>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</si>
  <si>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</si>
  <si>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</si>
  <si>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</si>
  <si>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</si>
  <si>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</si>
  <si>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</si>
  <si>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</si>
  <si>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</si>
  <si>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</si>
  <si>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</si>
  <si>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</si>
  <si>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</si>
  <si>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</si>
  <si>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</si>
  <si>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</si>
  <si>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</si>
  <si>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</si>
  <si>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</si>
  <si>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</si>
  <si>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</si>
  <si>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</si>
  <si>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</si>
  <si>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</si>
  <si>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</si>
  <si>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</si>
  <si>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</si>
  <si>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</si>
  <si>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</si>
  <si>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</si>
  <si>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</si>
  <si>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</si>
  <si>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</si>
  <si>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</si>
  <si>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</si>
  <si>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</si>
  <si>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</si>
  <si>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</si>
  <si>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</si>
  <si>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</si>
  <si>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</si>
  <si>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</si>
  <si>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</si>
  <si>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</si>
  <si>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</si>
  <si>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</si>
  <si>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</si>
  <si>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</si>
  <si>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</si>
  <si>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</si>
  <si>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</si>
  <si>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</si>
  <si>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</si>
  <si>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</si>
  <si>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</si>
  <si>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</si>
  <si>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</si>
  <si>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</si>
  <si>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</si>
  <si>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</si>
  <si>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</si>
  <si>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</si>
  <si>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</si>
  <si>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</si>
  <si>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</si>
  <si>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</si>
  <si>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</si>
  <si>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</si>
  <si>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</si>
  <si>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</si>
  <si>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</si>
  <si>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</si>
  <si>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</si>
  <si>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</si>
  <si>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</si>
  <si>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</si>
  <si>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</si>
  <si>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</si>
  <si>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</si>
  <si>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</si>
  <si>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</si>
  <si>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</si>
  <si>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</si>
  <si>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</si>
  <si>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</si>
  <si>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</si>
  <si>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</si>
  <si>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</si>
  <si>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</si>
  <si>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</si>
  <si>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</si>
  <si>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</si>
  <si>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</si>
  <si>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</si>
  <si>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</si>
  <si>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</si>
  <si>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</si>
  <si>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</si>
  <si>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</si>
  <si>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</si>
  <si>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</si>
  <si>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</si>
  <si>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</si>
  <si>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</si>
  <si>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</si>
  <si>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</si>
  <si>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</si>
  <si>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</si>
  <si>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</si>
  <si>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</si>
  <si>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</si>
  <si>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</si>
  <si>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</si>
  <si>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</si>
  <si>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</si>
  <si>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</si>
  <si>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</si>
  <si>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</si>
  <si>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</si>
  <si>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</si>
  <si>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</si>
  <si>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</si>
  <si>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</si>
  <si>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</si>
  <si>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</si>
  <si>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</si>
  <si>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</si>
  <si>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</si>
  <si>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</si>
  <si>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</si>
  <si>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</si>
  <si>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</si>
  <si>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</si>
  <si>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</si>
  <si>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</si>
  <si>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</si>
  <si>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</si>
  <si>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</si>
  <si>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</si>
  <si>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</si>
  <si>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</si>
  <si>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</si>
  <si>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</si>
  <si>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</si>
  <si>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</si>
  <si>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</si>
  <si>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</si>
  <si>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</si>
  <si>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</si>
  <si>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</si>
  <si>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</si>
  <si>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</si>
  <si>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</si>
  <si>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</si>
  <si>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</si>
  <si>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</si>
  <si>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</si>
  <si>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</si>
  <si>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</si>
  <si>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</si>
  <si>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</si>
  <si>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</si>
  <si>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</si>
  <si>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</si>
  <si>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</si>
  <si>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</si>
  <si>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</si>
  <si>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</si>
  <si>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</si>
  <si>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</si>
  <si>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</si>
  <si>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</si>
  <si>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</si>
  <si>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</si>
  <si>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</si>
  <si>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</si>
  <si>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</si>
  <si>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</si>
  <si>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</si>
  <si>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</si>
  <si>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</si>
  <si>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</si>
  <si>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</si>
  <si>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</si>
  <si>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</si>
  <si>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</si>
  <si>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</si>
  <si>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</si>
  <si>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</si>
  <si>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</si>
  <si>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</si>
  <si>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</si>
  <si>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</si>
  <si>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</si>
  <si>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</si>
  <si>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</si>
  <si>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</si>
  <si>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</si>
  <si>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</si>
  <si>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</si>
  <si>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</si>
  <si>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</si>
  <si>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</si>
  <si>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</si>
  <si>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</si>
  <si>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</si>
  <si>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</si>
  <si>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</si>
  <si>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</si>
  <si>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</si>
  <si>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</si>
  <si>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</si>
  <si>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</si>
  <si>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</si>
  <si>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</si>
  <si>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</si>
  <si>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</si>
  <si>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</si>
  <si>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</si>
  <si>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</si>
  <si>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</si>
  <si>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</si>
  <si>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</si>
  <si>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</si>
  <si>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</si>
  <si>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</si>
  <si>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</si>
  <si>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</si>
  <si>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</si>
  <si>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</si>
  <si>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</si>
  <si>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</si>
  <si>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</si>
  <si>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</si>
  <si>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</si>
  <si>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</si>
  <si>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</si>
  <si>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</si>
  <si>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</si>
  <si>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</si>
  <si>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</si>
  <si>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</si>
  <si>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</si>
  <si>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</si>
  <si>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</si>
  <si>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</si>
  <si>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</si>
  <si>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</si>
  <si>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</si>
  <si>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</si>
  <si>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</si>
  <si>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</si>
  <si>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</si>
  <si>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</si>
  <si>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</si>
  <si>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</si>
  <si>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</si>
  <si>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</si>
  <si>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</si>
  <si>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</si>
  <si>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</si>
  <si>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</si>
  <si>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</si>
  <si>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</si>
  <si>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</si>
  <si>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</si>
  <si>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</si>
  <si>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</si>
  <si>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</si>
  <si>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</si>
  <si>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</si>
  <si>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</si>
  <si>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</si>
  <si>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</si>
  <si>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</si>
  <si>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</si>
  <si>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</si>
  <si>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</si>
  <si>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</si>
  <si>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</si>
  <si>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</si>
  <si>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</si>
  <si>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</si>
  <si>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</si>
  <si>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</si>
  <si>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</si>
  <si>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</si>
  <si>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</si>
  <si>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</si>
  <si>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</si>
  <si>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</si>
  <si>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</si>
  <si>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</si>
  <si>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</si>
  <si>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</si>
  <si>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</si>
  <si>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</si>
  <si>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</si>
  <si>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</si>
  <si>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</si>
  <si>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</si>
  <si>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</si>
  <si>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</si>
  <si>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</si>
  <si>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</si>
  <si>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</si>
  <si>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</si>
  <si>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</si>
  <si>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</si>
  <si>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</si>
  <si>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</si>
  <si>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</si>
  <si>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</si>
  <si>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</si>
  <si>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</si>
  <si>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</si>
  <si>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</si>
  <si>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</si>
  <si>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</si>
  <si>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</si>
  <si>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</si>
  <si>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</si>
  <si>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</si>
  <si>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</si>
  <si>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</si>
  <si>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</si>
  <si>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</si>
  <si>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</si>
  <si>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</si>
  <si>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</si>
  <si>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</si>
  <si>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</si>
  <si>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</si>
  <si>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</si>
  <si>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</si>
  <si>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</si>
  <si>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</si>
  <si>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</si>
  <si>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</si>
  <si>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</si>
  <si>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</si>
  <si>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</si>
  <si>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</si>
  <si>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</si>
  <si>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</si>
  <si>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</si>
  <si>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</si>
  <si>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</si>
  <si>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</si>
  <si>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</si>
  <si>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</si>
  <si>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</si>
  <si>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</si>
  <si>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</si>
  <si>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</si>
  <si>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</si>
  <si>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</si>
  <si>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</si>
  <si>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</si>
  <si>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</si>
  <si>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</si>
  <si>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</si>
  <si>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</si>
  <si>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</si>
  <si>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</si>
  <si>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</si>
  <si>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</si>
  <si>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</si>
  <si>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</si>
  <si>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</si>
  <si>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</si>
  <si>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</si>
  <si>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</si>
  <si>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</si>
  <si>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</si>
  <si>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</si>
  <si>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</si>
  <si>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</si>
  <si>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</si>
  <si>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</si>
  <si>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</si>
  <si>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</si>
  <si>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</si>
  <si>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</si>
  <si>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</si>
  <si>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</si>
  <si>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</si>
  <si>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</si>
  <si>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</si>
  <si>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</si>
  <si>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</si>
  <si>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</si>
  <si>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</si>
  <si>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</si>
  <si>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</si>
  <si>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</si>
  <si>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</si>
  <si>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</si>
  <si>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</si>
  <si>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</si>
  <si>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</si>
  <si>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</si>
  <si>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</si>
  <si>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</si>
  <si>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</si>
  <si>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</si>
  <si>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</si>
  <si>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</si>
  <si>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</si>
  <si>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</si>
  <si>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</si>
  <si>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</si>
  <si>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</si>
  <si>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</si>
  <si>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</si>
  <si>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</si>
  <si>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</si>
  <si>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</si>
  <si>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</si>
  <si>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</si>
  <si>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</si>
  <si>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</si>
  <si>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</si>
  <si>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</si>
  <si>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</si>
  <si>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</si>
  <si>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</si>
  <si>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</si>
  <si>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</si>
  <si>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</si>
  <si>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</si>
  <si>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</si>
  <si>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</si>
  <si>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</si>
  <si>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</si>
  <si>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</si>
  <si>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</si>
  <si>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</si>
  <si>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</si>
  <si>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</si>
  <si>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</si>
  <si>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</si>
  <si>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</si>
  <si>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</si>
  <si>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</si>
  <si>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</si>
  <si>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</si>
  <si>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</si>
  <si>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</si>
  <si>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</si>
  <si>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</si>
  <si>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</si>
  <si>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</si>
  <si>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</si>
  <si>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</si>
  <si>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</si>
  <si>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</si>
  <si>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</si>
  <si>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</si>
  <si>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</si>
  <si>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</si>
  <si>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</si>
  <si>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</si>
  <si>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</si>
  <si>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</si>
  <si>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</si>
  <si>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</si>
  <si>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</si>
  <si>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</si>
  <si>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</si>
  <si>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</si>
  <si>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</si>
  <si>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</si>
  <si>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</si>
  <si>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</si>
  <si>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</si>
  <si>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</si>
  <si>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</si>
  <si>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</si>
  <si>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</si>
  <si>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</si>
  <si>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</si>
  <si>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</si>
  <si>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</si>
  <si>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</si>
  <si>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</si>
  <si>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</si>
  <si>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</si>
  <si>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</si>
  <si>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</si>
  <si>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</si>
  <si>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</si>
  <si>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</si>
  <si>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</si>
  <si>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</si>
  <si>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</si>
  <si>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</si>
  <si>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</si>
  <si>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</si>
  <si>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</si>
  <si>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</si>
  <si>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</si>
  <si>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</si>
  <si>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</si>
  <si>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</si>
  <si>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</si>
  <si>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</si>
  <si>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</si>
  <si>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</si>
  <si>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</si>
  <si>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</si>
  <si>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</si>
  <si>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</si>
  <si>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</si>
  <si>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</si>
  <si>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</si>
  <si>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</si>
  <si>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</si>
  <si>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</si>
  <si>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</si>
  <si>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</si>
  <si>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</si>
  <si>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</si>
  <si>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</si>
  <si>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</si>
  <si>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</si>
  <si>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</si>
  <si>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</si>
  <si>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</si>
  <si>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</si>
  <si>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</si>
  <si>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</si>
  <si>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</si>
  <si>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</si>
  <si>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</si>
  <si>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</si>
  <si>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</si>
  <si>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</si>
  <si>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</si>
  <si>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</si>
  <si>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</si>
  <si>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</si>
  <si>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</si>
  <si>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</si>
  <si>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</si>
  <si>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</si>
  <si>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</si>
  <si>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</si>
  <si>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</si>
  <si>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</si>
  <si>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</si>
  <si>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</si>
  <si>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</si>
  <si>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</si>
  <si>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</si>
  <si>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</si>
  <si>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</si>
  <si>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</si>
  <si>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</si>
  <si>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</si>
  <si>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</si>
  <si>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</si>
  <si>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</si>
  <si>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</si>
  <si>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</si>
  <si>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</si>
  <si>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</si>
  <si>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</si>
  <si>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</si>
  <si>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</si>
  <si>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</si>
  <si>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</si>
  <si>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</si>
  <si>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</si>
  <si>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</si>
  <si>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</si>
  <si>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</si>
  <si>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</si>
  <si>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</si>
  <si>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</si>
  <si>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</si>
  <si>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</si>
  <si>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</si>
  <si>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</si>
  <si>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</si>
  <si>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</si>
  <si>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</si>
  <si>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</si>
  <si>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</si>
  <si>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</si>
  <si>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</si>
  <si>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</si>
  <si>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</si>
  <si>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</si>
  <si>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</si>
  <si>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</si>
  <si>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</si>
  <si>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</si>
  <si>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</si>
  <si>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</si>
  <si>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</si>
  <si>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</si>
  <si>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</si>
  <si>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</si>
  <si>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</si>
  <si>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</si>
  <si>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</si>
  <si>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</si>
  <si>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</si>
  <si>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</si>
  <si>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</si>
  <si>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</si>
  <si>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</si>
  <si>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</si>
  <si>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</si>
  <si>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</si>
  <si>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</si>
  <si>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</si>
  <si>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</si>
  <si>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</si>
  <si>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</si>
  <si>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</si>
  <si>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</si>
  <si>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</si>
  <si>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</si>
  <si>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</si>
  <si>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</si>
  <si>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</si>
  <si>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</si>
  <si>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</si>
  <si>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</si>
  <si>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</si>
  <si>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</si>
  <si>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</si>
  <si>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</si>
  <si>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</si>
  <si>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</si>
  <si>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</si>
  <si>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</si>
  <si>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</si>
  <si>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</si>
  <si>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</si>
  <si>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</si>
  <si>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</si>
  <si>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</si>
  <si>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</si>
  <si>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</si>
  <si>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</si>
  <si>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</si>
  <si>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</si>
  <si>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</si>
  <si>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</si>
  <si>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</si>
  <si>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</si>
  <si>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</si>
  <si>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</si>
  <si>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</si>
  <si>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</si>
  <si>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</si>
  <si>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</si>
  <si>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</si>
  <si>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</si>
  <si>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</si>
  <si>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</si>
  <si>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</si>
  <si>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</si>
  <si>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</si>
  <si>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</si>
  <si>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</si>
  <si>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</si>
  <si>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</si>
  <si>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</si>
  <si>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</si>
  <si>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</si>
  <si>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</si>
  <si>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</si>
  <si>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</si>
  <si>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</si>
  <si>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</si>
  <si>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</si>
  <si>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</si>
  <si>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</si>
  <si>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</si>
  <si>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</si>
  <si>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</si>
  <si>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</si>
  <si>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</si>
  <si>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</si>
  <si>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</si>
  <si>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</si>
  <si>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</si>
  <si>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</si>
  <si>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</si>
  <si>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</si>
  <si>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</si>
  <si>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</si>
  <si>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</si>
  <si>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</si>
  <si>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</si>
  <si>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</si>
  <si>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</si>
  <si>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</si>
  <si>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</si>
  <si>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</si>
  <si>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</si>
  <si>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</si>
  <si>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</si>
  <si>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</si>
  <si>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</si>
  <si>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</si>
  <si>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</si>
  <si>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</si>
  <si>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</si>
  <si>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</si>
  <si>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</si>
  <si>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</si>
  <si>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</si>
  <si>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</si>
  <si>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</si>
  <si>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</si>
  <si>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</si>
  <si>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</si>
  <si>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</si>
  <si>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</si>
  <si>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</si>
  <si>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</si>
  <si>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</si>
  <si>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</si>
  <si>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</si>
  <si>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</si>
  <si>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</si>
  <si>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</si>
  <si>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</si>
  <si>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</si>
  <si>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</si>
  <si>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</si>
  <si>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</si>
  <si>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</si>
  <si>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</si>
  <si>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</si>
  <si>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</si>
  <si>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</si>
  <si>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</si>
  <si>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</si>
  <si>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</si>
  <si>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</si>
  <si>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</si>
  <si>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</si>
  <si>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</si>
  <si>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</si>
  <si>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</si>
  <si>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</si>
  <si>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</si>
  <si>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</si>
  <si>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</si>
  <si>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</si>
  <si>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</si>
  <si>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</si>
  <si>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</si>
  <si>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</si>
  <si>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</si>
  <si>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</si>
  <si>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</si>
  <si>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</si>
  <si>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</si>
  <si>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</si>
  <si>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</si>
  <si>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</si>
  <si>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</si>
  <si>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</si>
  <si>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</si>
  <si>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</si>
  <si>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</si>
  <si>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</si>
  <si>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</si>
  <si>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</si>
  <si>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</si>
  <si>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</si>
  <si>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</si>
  <si>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</si>
  <si>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</si>
  <si>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</si>
  <si>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</si>
  <si>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</si>
  <si>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</si>
  <si>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</si>
  <si>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</si>
  <si>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</si>
  <si>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</si>
  <si>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</si>
  <si>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</si>
  <si>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</si>
  <si>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</si>
  <si>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</si>
  <si>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</si>
  <si>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</si>
  <si>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</si>
  <si>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</si>
  <si>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</si>
  <si>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</si>
  <si>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</si>
  <si>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</si>
  <si>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</si>
  <si>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</si>
  <si>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</si>
  <si>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</si>
  <si>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</si>
  <si>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</si>
  <si>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</si>
  <si>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</si>
  <si>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</si>
  <si>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</si>
  <si>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</si>
  <si>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</si>
  <si>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</si>
  <si>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</si>
  <si>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</si>
  <si>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</si>
  <si>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</si>
  <si>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</si>
  <si>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</si>
  <si>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</si>
  <si>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</si>
  <si>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</si>
  <si>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</si>
  <si>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</si>
  <si>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</si>
  <si>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</si>
  <si>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</si>
  <si>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</si>
  <si>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</si>
  <si>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</si>
  <si>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</si>
  <si>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</si>
  <si>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</si>
  <si>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</si>
  <si>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</si>
  <si>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</si>
  <si>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</si>
  <si>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</si>
  <si>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</si>
  <si>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</si>
  <si>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</si>
  <si>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</si>
  <si>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</si>
  <si>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</si>
  <si>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</si>
  <si>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</si>
  <si>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</si>
  <si>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</si>
  <si>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</si>
  <si>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</si>
  <si>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</si>
  <si>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</si>
  <si>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</si>
  <si>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</si>
  <si>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</si>
  <si>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</si>
  <si>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</si>
  <si>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</si>
  <si>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</si>
  <si>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</si>
  <si>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</si>
  <si>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</si>
  <si>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</si>
  <si>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</si>
  <si>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</si>
  <si>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</si>
  <si>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</si>
  <si>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</si>
  <si>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</si>
  <si>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</si>
  <si>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</si>
  <si>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</si>
  <si>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</si>
  <si>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</si>
  <si>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</si>
  <si>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</si>
  <si>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</si>
  <si>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</si>
  <si>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</si>
  <si>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</si>
  <si>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</si>
  <si>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</si>
  <si>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</si>
  <si>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</si>
  <si>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</si>
  <si>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</si>
  <si>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</si>
  <si>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</si>
  <si>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</si>
  <si>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</si>
  <si>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</si>
  <si>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</si>
  <si>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</si>
  <si>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</si>
  <si>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</si>
  <si>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</si>
  <si>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</si>
  <si>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</si>
  <si>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</si>
  <si>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</si>
  <si>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</si>
  <si>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</si>
  <si>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</si>
  <si>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</si>
  <si>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</si>
  <si>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</si>
  <si>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</si>
  <si>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</si>
  <si>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</si>
  <si>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</si>
  <si>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</si>
  <si>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</si>
  <si>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</si>
  <si>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</si>
  <si>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</si>
  <si>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</si>
  <si>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</si>
  <si>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</si>
  <si>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</si>
  <si>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</si>
  <si>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</si>
  <si>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</si>
  <si>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</si>
  <si>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</si>
  <si>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</si>
  <si>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</si>
  <si>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</si>
  <si>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</si>
  <si>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</si>
  <si>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</si>
  <si>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</si>
  <si>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</si>
  <si>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</si>
  <si>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</si>
  <si>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</si>
  <si>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</si>
  <si>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</si>
  <si>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</si>
  <si>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</si>
  <si>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</si>
  <si>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</si>
  <si>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</si>
  <si>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</si>
  <si>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</si>
  <si>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</si>
  <si>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</si>
  <si>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</si>
  <si>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</si>
  <si>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</si>
  <si>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</si>
  <si>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</si>
  <si>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</si>
  <si>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</si>
  <si>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</si>
  <si>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</si>
  <si>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</si>
  <si>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</si>
  <si>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</si>
  <si>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</si>
  <si>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</si>
  <si>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</si>
  <si>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</si>
  <si>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</si>
  <si>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</si>
  <si>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</si>
  <si>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</si>
  <si>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</si>
  <si>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</si>
  <si>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</si>
  <si>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</si>
  <si>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</si>
  <si>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</si>
  <si>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</si>
  <si>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</si>
  <si>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</si>
  <si>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</si>
  <si>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</si>
  <si>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</si>
  <si>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</si>
  <si>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</si>
  <si>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</si>
  <si>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</si>
  <si>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</si>
  <si>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</si>
  <si>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</si>
  <si>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</si>
  <si>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</si>
  <si>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</si>
  <si>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</si>
  <si>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</si>
  <si>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</si>
  <si>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</si>
  <si>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</si>
  <si>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</si>
  <si>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</si>
  <si>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</si>
  <si>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</si>
  <si>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</si>
  <si>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</si>
  <si>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</si>
  <si>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</si>
  <si>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</si>
  <si>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</si>
  <si>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</si>
  <si>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</si>
  <si>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</si>
  <si>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</si>
  <si>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</si>
  <si>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</si>
  <si>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</si>
  <si>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</si>
  <si>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</si>
  <si>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</si>
  <si>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</si>
  <si>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</si>
  <si>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</si>
  <si>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</si>
  <si>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</si>
  <si>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</si>
  <si>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</si>
  <si>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</si>
  <si>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</si>
  <si>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</si>
  <si>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</si>
  <si>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</si>
  <si>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</si>
  <si>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</si>
  <si>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</si>
  <si>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</si>
  <si>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</si>
  <si>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</si>
  <si>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</si>
  <si>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</si>
  <si>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</si>
  <si>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</si>
  <si>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</si>
  <si>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</si>
  <si>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</si>
  <si>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</si>
  <si>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</si>
  <si>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</si>
  <si>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</si>
  <si>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</si>
  <si>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</si>
  <si>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</si>
  <si>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</si>
  <si>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</si>
  <si>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</si>
  <si>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</si>
  <si>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</si>
  <si>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</si>
  <si>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</si>
  <si>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</si>
  <si>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</si>
  <si>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</si>
  <si>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</si>
  <si>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</si>
  <si>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</si>
  <si>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</si>
  <si>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</si>
  <si>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</si>
  <si>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</si>
  <si>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</si>
  <si>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</si>
  <si>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</si>
  <si>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</si>
  <si>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</si>
  <si>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</si>
  <si>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</si>
  <si>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</si>
  <si>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</si>
  <si>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</si>
  <si>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</si>
  <si>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</si>
  <si>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</si>
  <si>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</si>
  <si>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</si>
  <si>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</si>
  <si>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</si>
  <si>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</si>
  <si>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</si>
  <si>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</si>
  <si>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</si>
  <si>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</si>
  <si>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</si>
  <si>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</si>
  <si>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</si>
  <si>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</si>
  <si>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</si>
  <si>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</si>
  <si>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</si>
  <si>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</si>
  <si>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</si>
  <si>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</si>
  <si>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</si>
  <si>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</si>
  <si>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</si>
  <si>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</si>
  <si>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</si>
  <si>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</si>
  <si>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</si>
  <si>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</si>
  <si>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</si>
  <si>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</si>
  <si>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</si>
  <si>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</si>
  <si>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</si>
  <si>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</si>
  <si>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</si>
  <si>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</si>
  <si>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</si>
  <si>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</si>
  <si>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</si>
  <si>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</si>
  <si>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</si>
  <si>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</si>
  <si>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</si>
  <si>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</si>
  <si>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</si>
  <si>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</si>
  <si>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</si>
  <si>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</si>
  <si>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</si>
  <si>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</si>
  <si>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</si>
  <si>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</si>
  <si>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</si>
  <si>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</si>
  <si>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</si>
  <si>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</si>
  <si>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</si>
  <si>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</si>
  <si>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</si>
  <si>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</si>
  <si>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</si>
  <si>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</si>
  <si>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</si>
  <si>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</si>
  <si>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</si>
  <si>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</si>
  <si>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</si>
  <si>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</si>
  <si>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</si>
  <si>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</si>
  <si>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</si>
  <si>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</si>
  <si>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</si>
  <si>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</si>
  <si>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</si>
  <si>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</si>
  <si>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</si>
  <si>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</si>
  <si>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</si>
  <si>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</si>
  <si>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</si>
  <si>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</si>
  <si>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</si>
  <si>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</si>
  <si>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</si>
  <si>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</si>
  <si>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</si>
  <si>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</si>
  <si>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</si>
  <si>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</si>
  <si>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</si>
  <si>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</si>
  <si>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</si>
  <si>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</si>
  <si>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</si>
  <si>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</si>
  <si>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</si>
  <si>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</si>
  <si>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</si>
  <si>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</si>
  <si>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</si>
  <si>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</si>
  <si>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</si>
  <si>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</si>
  <si>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</si>
  <si>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</si>
  <si>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</si>
  <si>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</si>
  <si>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</si>
  <si>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</si>
  <si>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</si>
  <si>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</si>
  <si>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</si>
  <si>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</si>
  <si>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</si>
  <si>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</si>
  <si>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</si>
  <si>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</si>
  <si>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</si>
  <si>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</si>
  <si>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</si>
  <si>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</si>
  <si>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</si>
  <si>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</si>
  <si>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</si>
  <si>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</si>
  <si>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</si>
  <si>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</si>
  <si>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</si>
  <si>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</si>
  <si>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</si>
  <si>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</si>
  <si>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</si>
  <si>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</si>
  <si>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</si>
  <si>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</si>
  <si>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</si>
  <si>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</si>
  <si>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</si>
  <si>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</si>
  <si>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</si>
  <si>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</si>
  <si>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</si>
  <si>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</si>
  <si>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</si>
  <si>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</si>
  <si>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</si>
  <si>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</si>
  <si>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</si>
  <si>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</si>
  <si>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</si>
  <si>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</si>
  <si>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</si>
  <si>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</si>
  <si>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</si>
  <si>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</si>
  <si>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</si>
  <si>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</si>
  <si>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</si>
  <si>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</si>
  <si>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</si>
  <si>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</si>
  <si>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</si>
  <si>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</si>
  <si>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</si>
  <si>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</si>
  <si>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</si>
  <si>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</si>
  <si>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</si>
  <si>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</si>
  <si>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</si>
  <si>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</si>
  <si>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</si>
  <si>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</si>
  <si>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</si>
  <si>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</si>
  <si>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</si>
  <si>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</si>
  <si>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</si>
  <si>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</si>
  <si>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</si>
  <si>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</si>
  <si>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</si>
  <si>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</si>
  <si>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</si>
  <si>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</si>
  <si>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</si>
  <si>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</si>
  <si>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</si>
  <si>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</si>
  <si>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</si>
  <si>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</si>
  <si>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</si>
  <si>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</si>
  <si>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</si>
  <si>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</si>
  <si>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</si>
  <si>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</si>
  <si>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</si>
  <si>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</si>
  <si>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</si>
  <si>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</si>
  <si>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</si>
  <si>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</si>
  <si>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</si>
  <si>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</si>
  <si>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</si>
  <si>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</si>
  <si>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</si>
  <si>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</si>
  <si>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</si>
  <si>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</si>
  <si>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</si>
  <si>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</si>
  <si>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</si>
  <si>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</si>
  <si>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</si>
  <si>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</si>
  <si>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</si>
  <si>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</si>
  <si>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</si>
  <si>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</si>
  <si>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</si>
  <si>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</si>
  <si>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</si>
  <si>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</si>
  <si>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</si>
  <si>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</si>
  <si>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</si>
  <si>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</si>
  <si>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</si>
  <si>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</si>
  <si>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</si>
  <si>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</si>
  <si>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</si>
  <si>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</si>
  <si>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</si>
  <si>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</si>
  <si>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</si>
  <si>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</si>
  <si>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</si>
  <si>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</si>
  <si>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</si>
  <si>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</si>
  <si>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</si>
  <si>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</si>
  <si>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</si>
  <si>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</si>
  <si>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</si>
  <si>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</si>
  <si>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</si>
  <si>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</si>
  <si>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</si>
  <si>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</si>
  <si>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</si>
  <si>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</si>
  <si>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</si>
  <si>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</si>
  <si>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</si>
  <si>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</si>
  <si>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</si>
  <si>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</si>
  <si>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</si>
  <si>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</si>
  <si>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</si>
  <si>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</si>
  <si>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</si>
  <si>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</si>
  <si>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</si>
  <si>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</si>
  <si>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</si>
  <si>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</si>
  <si>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</si>
  <si>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</si>
  <si>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</si>
  <si>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</si>
  <si>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</si>
  <si>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</si>
  <si>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</si>
  <si>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</si>
  <si>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</si>
  <si>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</si>
  <si>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</si>
  <si>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</si>
  <si>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</si>
  <si>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</si>
  <si>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</si>
  <si>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</si>
  <si>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</si>
  <si>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</si>
  <si>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</si>
  <si>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</si>
  <si>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</si>
  <si>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</si>
  <si>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</si>
  <si>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</si>
  <si>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</si>
  <si>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</si>
  <si>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</si>
  <si>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</si>
  <si>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</si>
  <si>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</si>
  <si>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</si>
  <si>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</si>
  <si>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</si>
  <si>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</si>
  <si>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</si>
  <si>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</si>
  <si>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</si>
  <si>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</si>
  <si>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</si>
  <si>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</si>
  <si>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</si>
  <si>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</si>
  <si>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</si>
  <si>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</si>
  <si>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</si>
  <si>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</si>
  <si>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</si>
  <si>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</si>
  <si>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</si>
  <si>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</si>
  <si>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</si>
  <si>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</si>
  <si>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</si>
  <si>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</si>
  <si>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</si>
  <si>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</si>
  <si>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</si>
  <si>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</si>
  <si>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</si>
  <si>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</si>
  <si>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</si>
  <si>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</si>
  <si>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</si>
  <si>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</si>
  <si>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</si>
  <si>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</si>
  <si>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</si>
  <si>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</si>
  <si>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</si>
  <si>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</si>
  <si>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</si>
  <si>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</si>
  <si>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</si>
  <si>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</si>
  <si>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</si>
  <si>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</si>
  <si>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</si>
  <si>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</si>
  <si>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</si>
  <si>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</si>
  <si>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</si>
  <si>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</si>
  <si>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</si>
  <si>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</si>
  <si>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</si>
  <si>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</si>
  <si>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</si>
  <si>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</si>
  <si>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</si>
  <si>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</si>
  <si>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</si>
  <si>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</si>
  <si>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</si>
  <si>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</si>
  <si>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</si>
  <si>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</si>
  <si>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</si>
  <si>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</si>
  <si>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</si>
  <si>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</si>
  <si>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</si>
  <si>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</si>
  <si>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</si>
  <si>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</si>
  <si>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</si>
  <si>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</si>
  <si>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</si>
  <si>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</si>
  <si>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</si>
  <si>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</si>
  <si>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</si>
  <si>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</si>
  <si>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</si>
  <si>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</si>
  <si>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</si>
  <si>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</si>
  <si>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</si>
  <si>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</si>
  <si>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</si>
  <si>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</si>
  <si>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</si>
  <si>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</si>
  <si>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</si>
  <si>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</si>
  <si>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</si>
  <si>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</si>
  <si>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</si>
  <si>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</si>
  <si>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</si>
  <si>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</si>
  <si>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</si>
  <si>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</si>
  <si>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</si>
  <si>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</si>
  <si>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</si>
  <si>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</si>
  <si>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</si>
  <si>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</si>
  <si>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</si>
  <si>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</si>
  <si>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</si>
  <si>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</si>
  <si>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</si>
  <si>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</si>
  <si>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</si>
  <si>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</si>
  <si>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</si>
  <si>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</si>
  <si>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</si>
  <si>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</si>
  <si>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</si>
  <si>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</si>
  <si>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</si>
  <si>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</si>
  <si>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</si>
  <si>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</si>
  <si>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</si>
  <si>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</si>
  <si>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</si>
  <si>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</si>
  <si>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</si>
  <si>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</si>
  <si>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</si>
  <si>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</si>
  <si>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</si>
  <si>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</si>
  <si>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</si>
  <si>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</si>
  <si>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</si>
  <si>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</si>
  <si>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</si>
  <si>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</si>
  <si>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</si>
  <si>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</si>
  <si>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</si>
  <si>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</si>
  <si>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</si>
  <si>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</si>
  <si>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</si>
  <si>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</si>
  <si>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</si>
  <si>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</si>
  <si>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</si>
  <si>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</si>
  <si>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</si>
  <si>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</si>
  <si>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</si>
  <si>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</si>
  <si>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</si>
  <si>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</si>
  <si>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</si>
  <si>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</si>
  <si>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</si>
  <si>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</si>
  <si>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</si>
  <si>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</si>
  <si>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</si>
  <si>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</si>
  <si>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</si>
  <si>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</si>
  <si>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</si>
  <si>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</si>
  <si>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</si>
  <si>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</si>
  <si>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</si>
  <si>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</si>
  <si>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</si>
  <si>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</si>
  <si>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</si>
  <si>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</si>
  <si>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</si>
  <si>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</si>
  <si>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</si>
  <si>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</si>
  <si>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</si>
  <si>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</si>
  <si>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</si>
  <si>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</si>
  <si>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</si>
  <si>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</si>
  <si>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</si>
  <si>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</si>
  <si>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</si>
  <si>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</si>
  <si>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</si>
  <si>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</si>
  <si>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</si>
  <si>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</si>
  <si>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</si>
  <si>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</si>
  <si>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</si>
  <si>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</si>
  <si>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</si>
  <si>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</si>
  <si>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</si>
  <si>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</si>
  <si>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</si>
  <si>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</si>
  <si>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</si>
  <si>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</si>
  <si>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</si>
  <si>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</si>
  <si>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</si>
  <si>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</si>
  <si>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</si>
  <si>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</si>
  <si>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</si>
  <si>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</si>
  <si>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</si>
  <si>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</si>
  <si>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</si>
  <si>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</si>
  <si>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</si>
  <si>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</si>
  <si>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</si>
  <si>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</si>
  <si>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</si>
  <si>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</si>
  <si>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</si>
  <si>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</si>
  <si>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</si>
  <si>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</si>
  <si>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</si>
  <si>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</si>
  <si>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</si>
  <si>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</si>
  <si>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</si>
  <si>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</si>
  <si>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</si>
  <si>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</si>
  <si>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</si>
  <si>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</si>
  <si>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</si>
  <si>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</si>
  <si>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</si>
  <si>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</si>
  <si>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</si>
  <si>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</si>
  <si>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</si>
  <si>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</si>
  <si>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</si>
  <si>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</si>
  <si>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</si>
  <si>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</si>
  <si>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</si>
  <si>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</si>
  <si>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</si>
  <si>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</si>
  <si>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</si>
  <si>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</si>
  <si>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</si>
  <si>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</si>
  <si>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</si>
  <si>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</si>
  <si>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</si>
  <si>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</si>
  <si>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</si>
  <si>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</si>
  <si>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</si>
  <si>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</si>
  <si>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</si>
  <si>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</si>
  <si>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</si>
  <si>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</si>
  <si>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</si>
  <si>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</si>
  <si>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</si>
  <si>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</si>
  <si>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</si>
  <si>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</si>
  <si>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</si>
  <si>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</si>
  <si>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</si>
  <si>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</si>
  <si>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</si>
  <si>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</si>
  <si>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</si>
  <si>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</si>
  <si>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</si>
  <si>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</si>
  <si>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</si>
  <si>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</si>
  <si>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</si>
  <si>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</si>
  <si>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</si>
  <si>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</si>
  <si>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</si>
  <si>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</si>
  <si>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</si>
  <si>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</si>
  <si>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</si>
  <si>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</si>
  <si>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</si>
  <si>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</si>
  <si>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</si>
  <si>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</si>
  <si>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</si>
  <si>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</si>
  <si>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</si>
  <si>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</si>
  <si>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</si>
  <si>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</si>
  <si>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</si>
  <si>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</si>
  <si>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</si>
  <si>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</si>
  <si>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</si>
  <si>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</si>
  <si>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</si>
  <si>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</si>
  <si>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</si>
  <si>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</si>
  <si>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</si>
  <si>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</si>
  <si>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</si>
  <si>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</si>
  <si>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</si>
  <si>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</si>
  <si>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</si>
  <si>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</si>
  <si>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</si>
  <si>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</si>
  <si>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</si>
  <si>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</si>
  <si>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</si>
  <si>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</si>
  <si>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</si>
  <si>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</si>
  <si>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</si>
  <si>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</si>
  <si>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</si>
  <si>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</si>
  <si>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</si>
  <si>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</si>
  <si>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</si>
  <si>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</si>
  <si>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</si>
  <si>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</si>
  <si>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</si>
  <si>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</si>
  <si>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</si>
  <si>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</si>
  <si>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</si>
  <si>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</si>
  <si>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</si>
  <si>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</si>
  <si>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</si>
  <si>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</si>
  <si>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</si>
  <si>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</si>
  <si>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</si>
  <si>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</si>
  <si>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</si>
  <si>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</si>
  <si>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</si>
  <si>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</si>
  <si>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</si>
  <si>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</si>
  <si>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</si>
  <si>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</si>
  <si>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</si>
  <si>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</si>
  <si>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</si>
  <si>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</si>
  <si>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</si>
  <si>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</si>
  <si>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</si>
  <si>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</si>
  <si>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</si>
  <si>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</si>
  <si>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</si>
  <si>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</si>
  <si>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</si>
  <si>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</si>
  <si>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</si>
  <si>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</si>
  <si>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</si>
  <si>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</si>
  <si>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</si>
  <si>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</si>
  <si>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</si>
  <si>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</si>
  <si>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</si>
  <si>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</si>
  <si>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</si>
  <si>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</si>
  <si>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</si>
  <si>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</si>
  <si>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</si>
  <si>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</si>
  <si>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</si>
  <si>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</si>
  <si>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</si>
  <si>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</si>
  <si>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</si>
  <si>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</si>
  <si>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</si>
  <si>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</si>
  <si>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</si>
  <si>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</si>
  <si>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</si>
  <si>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</si>
  <si>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</si>
  <si>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</si>
  <si>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</si>
  <si>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</si>
  <si>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</si>
  <si>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</si>
  <si>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</si>
  <si>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</si>
  <si>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</si>
  <si>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</si>
  <si>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</si>
  <si>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</si>
  <si>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</si>
  <si>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</si>
  <si>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</si>
  <si>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</si>
  <si>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</si>
  <si>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</si>
  <si>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</si>
  <si>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</si>
  <si>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</si>
  <si>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</si>
  <si>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</si>
  <si>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</si>
  <si>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</si>
  <si>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</si>
  <si>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</si>
  <si>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</si>
  <si>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</si>
  <si>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</si>
  <si>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</si>
  <si>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</si>
  <si>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</si>
  <si>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</si>
  <si>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</si>
  <si>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</si>
  <si>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</si>
  <si>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</si>
  <si>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</si>
  <si>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</si>
  <si>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</si>
  <si>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</si>
  <si>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</si>
  <si>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</si>
  <si>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</si>
  <si>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</si>
  <si>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</si>
  <si>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</si>
  <si>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</si>
  <si>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</si>
  <si>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</si>
  <si>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</si>
  <si>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</si>
  <si>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</si>
  <si>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</si>
  <si>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</si>
  <si>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</si>
  <si>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</si>
  <si>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</si>
  <si>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</si>
  <si>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</si>
  <si>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</si>
  <si>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</si>
  <si>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</si>
  <si>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</si>
  <si>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</si>
  <si>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</si>
  <si>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</si>
  <si>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</si>
  <si>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</si>
  <si>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</si>
  <si>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</si>
  <si>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</si>
  <si>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</si>
  <si>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</si>
  <si>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</si>
  <si>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</si>
  <si>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</si>
  <si>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</si>
  <si>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</si>
  <si>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</si>
  <si>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</si>
  <si>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</si>
  <si>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</si>
  <si>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</si>
  <si>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</si>
  <si>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</si>
  <si>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</si>
  <si>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</si>
  <si>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</si>
  <si>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</si>
  <si>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</si>
  <si>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</si>
  <si>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</si>
  <si>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</si>
  <si>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</si>
  <si>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</si>
  <si>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</si>
  <si>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</si>
  <si>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</si>
  <si>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</si>
  <si>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</si>
  <si>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</si>
  <si>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</si>
  <si>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</si>
  <si>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</si>
  <si>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</si>
  <si>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</si>
  <si>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</si>
  <si>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</si>
  <si>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</si>
  <si>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</si>
  <si>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</si>
  <si>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</si>
  <si>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</si>
  <si>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</si>
  <si>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</si>
  <si>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</si>
  <si>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</si>
  <si>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</si>
  <si>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</si>
  <si>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</si>
  <si>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</si>
  <si>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</si>
  <si>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</si>
  <si>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</si>
  <si>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</si>
  <si>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</si>
  <si>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</si>
  <si>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</si>
  <si>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</si>
  <si>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</si>
  <si>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</si>
  <si>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</si>
  <si>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</si>
  <si>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</si>
  <si>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</si>
  <si>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</si>
  <si>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</si>
  <si>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</si>
  <si>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</si>
  <si>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</si>
  <si>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</si>
  <si>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</si>
  <si>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</si>
  <si>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</si>
  <si>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</si>
  <si>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</si>
  <si>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</si>
  <si>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</si>
  <si>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</si>
  <si>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</si>
  <si>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</si>
  <si>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</si>
  <si>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</si>
  <si>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</si>
  <si>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</si>
  <si>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</si>
  <si>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</si>
  <si>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</si>
  <si>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</si>
  <si>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</si>
  <si>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</si>
  <si>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</si>
  <si>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</si>
  <si>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</si>
  <si>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</si>
  <si>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</si>
  <si>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</si>
  <si>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</si>
  <si>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</si>
  <si>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</si>
  <si>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</si>
  <si>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</si>
  <si>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</si>
  <si>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</si>
  <si>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</si>
  <si>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</si>
  <si>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</si>
  <si>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</si>
  <si>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</si>
  <si>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</si>
  <si>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</si>
  <si>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</si>
  <si>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</si>
  <si>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</si>
  <si>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</si>
  <si>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</si>
  <si>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</si>
  <si>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</si>
  <si>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</si>
  <si>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</si>
  <si>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</si>
  <si>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</si>
  <si>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</si>
  <si>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</si>
  <si>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</si>
  <si>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</si>
  <si>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</si>
  <si>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</si>
  <si>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</si>
  <si>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</si>
  <si>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</si>
  <si>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</si>
  <si>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</si>
  <si>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</si>
  <si>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</si>
  <si>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</si>
  <si>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</si>
  <si>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</si>
  <si>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</si>
  <si>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</si>
  <si>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</si>
  <si>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</si>
  <si>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</si>
  <si>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</si>
  <si>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</si>
  <si>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</si>
  <si>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</si>
  <si>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</si>
  <si>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</si>
  <si>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</si>
  <si>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</si>
  <si>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</si>
  <si>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</si>
  <si>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</si>
  <si>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</si>
  <si>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</si>
  <si>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</si>
  <si>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</si>
  <si>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</si>
  <si>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</si>
  <si>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</si>
  <si>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</si>
  <si>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</si>
  <si>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</si>
  <si>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</si>
  <si>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</si>
  <si>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</si>
  <si>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</si>
  <si>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</si>
  <si>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</si>
  <si>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</si>
  <si>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</si>
  <si>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</si>
  <si>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</si>
  <si>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</si>
  <si>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</si>
  <si>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</si>
  <si>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</si>
  <si>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</si>
  <si>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</si>
  <si>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</si>
  <si>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</si>
  <si>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</si>
  <si>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</si>
  <si>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</si>
  <si>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</si>
  <si>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</si>
  <si>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</si>
  <si>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</si>
  <si>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</si>
  <si>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</si>
  <si>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</si>
  <si>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</si>
  <si>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</si>
  <si>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</si>
  <si>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</si>
  <si>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</si>
  <si>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</si>
  <si>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</si>
  <si>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</si>
  <si>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</si>
  <si>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</si>
  <si>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</si>
  <si>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</si>
  <si>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吴薇</t>
  </si>
  <si>
    <t>刘梅</t>
  </si>
  <si>
    <t>抵押</t>
  </si>
  <si>
    <t>抵押价格</t>
  </si>
  <si>
    <t>其他：</t>
  </si>
  <si>
    <t>郑州市</t>
    <phoneticPr fontId="6" type="noConversion"/>
  </si>
  <si>
    <t>鸿宝南路南、姚店堤西路东</t>
    <phoneticPr fontId="6" type="noConversion"/>
  </si>
  <si>
    <t>企业</t>
  </si>
  <si>
    <t>河南嘉智置业有限公司</t>
    <phoneticPr fontId="6" type="noConversion"/>
  </si>
  <si>
    <t>城镇住宅用地</t>
    <phoneticPr fontId="6" type="noConversion"/>
  </si>
  <si>
    <t>《不动产权证》[豫（2017）郑州市不动产权第0125580号]</t>
    <phoneticPr fontId="6" type="noConversion"/>
  </si>
  <si>
    <t>一致</t>
  </si>
  <si>
    <t>符合</t>
  </si>
  <si>
    <t>住宅70年</t>
    <phoneticPr fontId="6" type="noConversion"/>
  </si>
  <si>
    <t>《不动产权证》[豫（2017）郑州市不动产权第0125580号]</t>
    <phoneticPr fontId="3" type="noConversion"/>
  </si>
  <si>
    <t>居住项目</t>
  </si>
  <si>
    <t>否</t>
  </si>
  <si>
    <t>场地平整</t>
  </si>
  <si>
    <t>平整</t>
  </si>
  <si>
    <t>通路</t>
  </si>
  <si>
    <t>通电</t>
  </si>
  <si>
    <t>通讯</t>
  </si>
  <si>
    <t>通上水</t>
  </si>
  <si>
    <t>通下水</t>
  </si>
  <si>
    <t>燃气</t>
  </si>
  <si>
    <t>地上</t>
  </si>
  <si>
    <t>普通住宅</t>
  </si>
  <si>
    <t>高层住宅</t>
  </si>
  <si>
    <t>高层住宅</t>
    <phoneticPr fontId="3" type="noConversion"/>
  </si>
  <si>
    <t>高层住宅</t>
    <phoneticPr fontId="7" type="noConversion"/>
  </si>
  <si>
    <t>其他省市系数</t>
  </si>
  <si>
    <t>楼面地价</t>
  </si>
  <si>
    <t>住宅</t>
    <phoneticPr fontId="26" type="noConversion"/>
  </si>
  <si>
    <t>项目</t>
    <phoneticPr fontId="233" type="noConversion"/>
  </si>
  <si>
    <t>龙湖外环路东、龙翔八街北</t>
    <phoneticPr fontId="233" type="noConversion"/>
  </si>
  <si>
    <t>祭城路南、东风渠北</t>
    <phoneticPr fontId="233" type="noConversion"/>
  </si>
  <si>
    <t>建设用地面积</t>
    <phoneticPr fontId="233" type="noConversion"/>
  </si>
  <si>
    <t>规划建设用地面积</t>
    <phoneticPr fontId="233" type="noConversion"/>
  </si>
  <si>
    <t>容积率</t>
    <phoneticPr fontId="233" type="noConversion"/>
  </si>
  <si>
    <t>成交时间</t>
    <phoneticPr fontId="233" type="noConversion"/>
  </si>
  <si>
    <t>成交价</t>
    <phoneticPr fontId="233" type="noConversion"/>
  </si>
  <si>
    <t>楼面价</t>
    <phoneticPr fontId="233" type="noConversion"/>
  </si>
  <si>
    <t>广汇项目</t>
    <phoneticPr fontId="3" type="noConversion"/>
  </si>
  <si>
    <t>郑州市鸿宝南路南、姚店堤西路东</t>
    <phoneticPr fontId="3" type="noConversion"/>
  </si>
  <si>
    <t>正常</t>
  </si>
  <si>
    <t>70</t>
    <phoneticPr fontId="26" type="noConversion"/>
  </si>
  <si>
    <t>项目地址</t>
    <phoneticPr fontId="233" type="noConversion"/>
  </si>
  <si>
    <t>售价</t>
  </si>
  <si>
    <t>售价</t>
    <phoneticPr fontId="233" type="noConversion"/>
  </si>
  <si>
    <t>项目规模</t>
    <phoneticPr fontId="233" type="noConversion"/>
  </si>
  <si>
    <t>正商善水上境</t>
    <phoneticPr fontId="233" type="noConversion"/>
  </si>
  <si>
    <t>茉莉公馆</t>
    <phoneticPr fontId="233" type="noConversion"/>
  </si>
  <si>
    <t>恒大悦龙台</t>
    <phoneticPr fontId="233" type="noConversion"/>
  </si>
  <si>
    <t>龙湖外环路与龙翔八街交会处</t>
    <phoneticPr fontId="233" type="noConversion"/>
  </si>
  <si>
    <t>龙湖外环路与龙翔六街交汇处</t>
    <phoneticPr fontId="233" type="noConversion"/>
  </si>
  <si>
    <t>平安大道东风南路向东1000米路南</t>
    <phoneticPr fontId="233" type="noConversion"/>
  </si>
  <si>
    <t>住宅</t>
    <phoneticPr fontId="21" type="noConversion"/>
  </si>
  <si>
    <t>60-70（含）</t>
  </si>
  <si>
    <t>一般</t>
  </si>
  <si>
    <t>较好</t>
  </si>
  <si>
    <t>住宅</t>
    <phoneticPr fontId="6" type="noConversion"/>
  </si>
  <si>
    <t>剩余法-待开发</t>
  </si>
  <si>
    <t>比较法-住宅、综合</t>
  </si>
  <si>
    <t>规则</t>
    <phoneticPr fontId="26" type="noConversion"/>
  </si>
  <si>
    <t>七通</t>
  </si>
  <si>
    <t>高层楼宇</t>
  </si>
  <si>
    <t>高层楼宇</t>
    <phoneticPr fontId="21" type="noConversion"/>
  </si>
  <si>
    <t>低层楼宇</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</si>
  <si>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</si>
  <si>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</si>
  <si>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</si>
  <si>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</si>
  <si>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</si>
  <si>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</si>
  <si>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</si>
  <si>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</si>
  <si>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</si>
  <si>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</si>
  <si>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</si>
  <si>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</si>
  <si>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</si>
  <si>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七通</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</si>
  <si>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</si>
  <si>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</si>
  <si>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</si>
  <si>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</si>
  <si>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</si>
  <si>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</si>
  <si>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较规则</t>
  </si>
  <si>
    <t>较规则</t>
    <phoneticPr fontId="26" type="noConversion"/>
  </si>
  <si>
    <t>一般</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</si>
  <si>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</si>
  <si>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</si>
  <si>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</si>
  <si>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</si>
  <si>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</si>
  <si>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</si>
  <si>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</si>
  <si>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</si>
  <si>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</si>
  <si>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较差</t>
    <phoneticPr fontId="26" type="noConversion"/>
  </si>
  <si>
    <t>差</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</si>
  <si>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</si>
  <si>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</si>
  <si>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</si>
  <si>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</si>
  <si>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</si>
  <si>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龙湖外环路西、龙翔七街南</t>
    <phoneticPr fontId="233" type="noConversion"/>
  </si>
  <si>
    <t>土地</t>
  </si>
  <si>
    <t>项目全部</t>
  </si>
  <si>
    <t>多面临街</t>
  </si>
  <si>
    <t>单面临街</t>
  </si>
  <si>
    <t>双面临街</t>
  </si>
  <si>
    <t>龙湖外环东路</t>
    <phoneticPr fontId="26" type="noConversion"/>
  </si>
  <si>
    <t>高速路</t>
    <phoneticPr fontId="26" type="noConversion"/>
  </si>
  <si>
    <t>城市快速路</t>
  </si>
  <si>
    <t>城市快速路</t>
    <phoneticPr fontId="26" type="noConversion"/>
  </si>
  <si>
    <t>主干道</t>
  </si>
  <si>
    <t>主干道</t>
    <phoneticPr fontId="26" type="noConversion"/>
  </si>
  <si>
    <t>次干道</t>
    <phoneticPr fontId="26" type="noConversion"/>
  </si>
  <si>
    <t>支路</t>
    <phoneticPr fontId="26" type="noConversion"/>
  </si>
  <si>
    <t>平安大道</t>
    <phoneticPr fontId="26" type="noConversion"/>
  </si>
  <si>
    <t>京深线</t>
    <phoneticPr fontId="26" type="noConversion"/>
  </si>
  <si>
    <t>中信信托有限责任公司</t>
    <phoneticPr fontId="6" type="noConversion"/>
  </si>
  <si>
    <t>出让</t>
  </si>
  <si>
    <t>无</t>
  </si>
  <si>
    <t>郑州泰禾置业集团有限公司</t>
    <phoneticPr fontId="6" type="noConversion"/>
  </si>
  <si>
    <t>2017-1-0942-P01DYGJ2</t>
    <phoneticPr fontId="6" type="noConversion"/>
  </si>
  <si>
    <t>较差</t>
  </si>
  <si>
    <t>三级</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</si>
</sst>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4" fontId="0" fillId="0" borderId="0" xfId="0" applyNumberFormat="1">
      <alignment vertical="center"/>
    </xf>
    <xf numFmtId="14" fontId="145" fillId="0" borderId="0" xfId="0" applyNumberFormat="1" applyFont="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8" borderId="71" xfId="0" applyNumberFormat="1" applyFont="1" applyFill="1" applyBorder="1" applyAlignment="1" applyProtection="1">
      <alignment horizontal="center" vertical="center" wrapText="1"/>
      <protection locked="0"/>
    </xf>
    <xf numFmtId="0" fontId="84" fillId="8" borderId="71" xfId="0" applyNumberFormat="1" applyFont="1" applyFill="1" applyBorder="1" applyAlignment="1" applyProtection="1">
      <alignment horizontal="center" vertical="center" wrapText="1"/>
      <protection locked="0"/>
    </xf>
    <xf numFmtId="0" fontId="71" fillId="8" borderId="44" xfId="0" applyNumberFormat="1" applyFont="1" applyFill="1" applyBorder="1" applyAlignment="1" applyProtection="1">
      <alignment horizontal="center" vertical="center" wrapText="1"/>
      <protection locked="0"/>
    </xf>
    <xf numFmtId="0" fontId="84" fillId="8" borderId="44" xfId="0" applyNumberFormat="1" applyFont="1" applyFill="1" applyBorder="1" applyAlignment="1" applyProtection="1">
      <alignment horizontal="center" vertical="center" wrapText="1"/>
      <protection locked="0"/>
    </xf>
    <xf numFmtId="177" fontId="76" fillId="8" borderId="2" xfId="2" applyNumberFormat="1" applyFont="1" applyFill="1" applyBorder="1" applyAlignment="1" applyProtection="1">
      <alignment horizontal="center" vertical="center"/>
      <protection locked="0"/>
    </xf>
    <xf numFmtId="9" fontId="76" fillId="8" borderId="5" xfId="0" applyNumberFormat="1" applyFont="1" applyFill="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8" fillId="2" borderId="20"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6</xdr:row>
      <xdr:rowOff>1</xdr:rowOff>
    </xdr:from>
    <xdr:to>
      <xdr:col>4</xdr:col>
      <xdr:colOff>676275</xdr:colOff>
      <xdr:row>32</xdr:row>
      <xdr:rowOff>150273</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4300" y="1028701"/>
          <a:ext cx="5324475" cy="4607972"/>
        </a:xfrm>
        <a:prstGeom prst="rect">
          <a:avLst/>
        </a:prstGeom>
        <a:noFill/>
        <a:ln w="1">
          <a:noFill/>
          <a:miter lim="800000"/>
          <a:headEnd/>
          <a:tailEnd type="none" w="med" len="med"/>
        </a:ln>
        <a:effectLst/>
      </xdr:spPr>
    </xdr:pic>
    <xdr:clientData/>
  </xdr:twoCellAnchor>
  <xdr:twoCellAnchor editAs="oneCell">
    <xdr:from>
      <xdr:col>0</xdr:col>
      <xdr:colOff>161925</xdr:colOff>
      <xdr:row>32</xdr:row>
      <xdr:rowOff>142875</xdr:rowOff>
    </xdr:from>
    <xdr:to>
      <xdr:col>4</xdr:col>
      <xdr:colOff>781050</xdr:colOff>
      <xdr:row>59</xdr:row>
      <xdr:rowOff>160298</xdr:rowOff>
    </xdr:to>
    <xdr:pic>
      <xdr:nvPicPr>
        <xdr:cNvPr id="5427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61925" y="5629275"/>
          <a:ext cx="5381625" cy="4646573"/>
        </a:xfrm>
        <a:prstGeom prst="rect">
          <a:avLst/>
        </a:prstGeom>
        <a:noFill/>
        <a:ln w="1">
          <a:noFill/>
          <a:miter lim="800000"/>
          <a:headEnd/>
          <a:tailEnd type="none" w="med" len="med"/>
        </a:ln>
        <a:effectLst/>
      </xdr:spPr>
    </xdr:pic>
    <xdr:clientData/>
  </xdr:twoCellAnchor>
  <xdr:twoCellAnchor editAs="oneCell">
    <xdr:from>
      <xdr:col>4</xdr:col>
      <xdr:colOff>476250</xdr:colOff>
      <xdr:row>4</xdr:row>
      <xdr:rowOff>95250</xdr:rowOff>
    </xdr:from>
    <xdr:to>
      <xdr:col>12</xdr:col>
      <xdr:colOff>428168</xdr:colOff>
      <xdr:row>34</xdr:row>
      <xdr:rowOff>76200</xdr:rowOff>
    </xdr:to>
    <xdr:pic>
      <xdr:nvPicPr>
        <xdr:cNvPr id="542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5238750" y="781050"/>
          <a:ext cx="5638343" cy="5124450"/>
        </a:xfrm>
        <a:prstGeom prst="rect">
          <a:avLst/>
        </a:prstGeom>
        <a:noFill/>
        <a:ln w="1">
          <a:noFill/>
          <a:miter lim="800000"/>
          <a:headEnd/>
          <a:tailEnd type="none" w="med" len="med"/>
        </a:ln>
        <a:effectLst/>
      </xdr:spPr>
    </xdr:pic>
    <xdr:clientData/>
  </xdr:twoCellAnchor>
  <xdr:twoCellAnchor editAs="oneCell">
    <xdr:from>
      <xdr:col>0</xdr:col>
      <xdr:colOff>219075</xdr:colOff>
      <xdr:row>46</xdr:row>
      <xdr:rowOff>95250</xdr:rowOff>
    </xdr:from>
    <xdr:to>
      <xdr:col>12</xdr:col>
      <xdr:colOff>152400</xdr:colOff>
      <xdr:row>83</xdr:row>
      <xdr:rowOff>0</xdr:rowOff>
    </xdr:to>
    <xdr:pic>
      <xdr:nvPicPr>
        <xdr:cNvPr id="6" name="图片 5"/>
        <xdr:cNvPicPr/>
      </xdr:nvPicPr>
      <xdr:blipFill>
        <a:blip xmlns:r="http://schemas.openxmlformats.org/officeDocument/2006/relationships" r:embed="rId4"/>
        <a:srcRect/>
        <a:stretch>
          <a:fillRect/>
        </a:stretch>
      </xdr:blipFill>
      <xdr:spPr bwMode="auto">
        <a:xfrm>
          <a:off x="219075" y="7981950"/>
          <a:ext cx="10382250" cy="6248400"/>
        </a:xfrm>
        <a:prstGeom prst="rect">
          <a:avLst/>
        </a:prstGeom>
        <a:noFill/>
        <a:ln w="1">
          <a:noFill/>
          <a:miter lim="800000"/>
          <a:headEnd/>
          <a:tailEnd type="none" w="med" len="med"/>
        </a:ln>
        <a:effectLst/>
      </xdr:spPr>
    </xdr:pic>
    <xdr:clientData/>
  </xdr:twoCellAnchor>
  <xdr:twoCellAnchor editAs="oneCell">
    <xdr:from>
      <xdr:col>3</xdr:col>
      <xdr:colOff>238125</xdr:colOff>
      <xdr:row>14</xdr:row>
      <xdr:rowOff>133350</xdr:rowOff>
    </xdr:from>
    <xdr:to>
      <xdr:col>10</xdr:col>
      <xdr:colOff>581025</xdr:colOff>
      <xdr:row>45</xdr:row>
      <xdr:rowOff>123825</xdr:rowOff>
    </xdr:to>
    <xdr:pic>
      <xdr:nvPicPr>
        <xdr:cNvPr id="7" name="图片 6"/>
        <xdr:cNvPicPr/>
      </xdr:nvPicPr>
      <xdr:blipFill>
        <a:blip xmlns:r="http://schemas.openxmlformats.org/officeDocument/2006/relationships" r:embed="rId5"/>
        <a:srcRect/>
        <a:stretch>
          <a:fillRect/>
        </a:stretch>
      </xdr:blipFill>
      <xdr:spPr bwMode="auto">
        <a:xfrm>
          <a:off x="4314825" y="2533650"/>
          <a:ext cx="5343525" cy="53054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114301</xdr:rowOff>
    </xdr:from>
    <xdr:to>
      <xdr:col>8</xdr:col>
      <xdr:colOff>95250</xdr:colOff>
      <xdr:row>18</xdr:row>
      <xdr:rowOff>14881</xdr:rowOff>
    </xdr:to>
    <xdr:pic>
      <xdr:nvPicPr>
        <xdr:cNvPr id="573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71551"/>
          <a:ext cx="7477125" cy="212943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8</xdr:col>
      <xdr:colOff>95250</xdr:colOff>
      <xdr:row>30</xdr:row>
      <xdr:rowOff>96675</xdr:rowOff>
    </xdr:to>
    <xdr:pic>
      <xdr:nvPicPr>
        <xdr:cNvPr id="573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477125" cy="2154075"/>
        </a:xfrm>
        <a:prstGeom prst="rect">
          <a:avLst/>
        </a:prstGeom>
        <a:noFill/>
        <a:ln w="1">
          <a:noFill/>
          <a:miter lim="800000"/>
          <a:headEnd/>
          <a:tailEnd type="none" w="med" len="med"/>
        </a:ln>
        <a:effectLst/>
      </xdr:spPr>
    </xdr:pic>
    <xdr:clientData/>
  </xdr:twoCellAnchor>
  <xdr:twoCellAnchor editAs="oneCell">
    <xdr:from>
      <xdr:col>0</xdr:col>
      <xdr:colOff>1</xdr:colOff>
      <xdr:row>30</xdr:row>
      <xdr:rowOff>66675</xdr:rowOff>
    </xdr:from>
    <xdr:to>
      <xdr:col>8</xdr:col>
      <xdr:colOff>123826</xdr:colOff>
      <xdr:row>43</xdr:row>
      <xdr:rowOff>132</xdr:rowOff>
    </xdr:to>
    <xdr:pic>
      <xdr:nvPicPr>
        <xdr:cNvPr id="5734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5210175"/>
          <a:ext cx="7505700" cy="2162307"/>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10</xdr:col>
      <xdr:colOff>123825</xdr:colOff>
      <xdr:row>22</xdr:row>
      <xdr:rowOff>85725</xdr:rowOff>
    </xdr:to>
    <xdr:pic>
      <xdr:nvPicPr>
        <xdr:cNvPr id="583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4300" y="0"/>
          <a:ext cx="6867525" cy="3857625"/>
        </a:xfrm>
        <a:prstGeom prst="rect">
          <a:avLst/>
        </a:prstGeom>
        <a:noFill/>
        <a:ln w="1">
          <a:noFill/>
          <a:miter lim="800000"/>
          <a:headEnd/>
          <a:tailEnd type="none" w="med" len="med"/>
        </a:ln>
        <a:effectLst/>
      </xdr:spPr>
    </xdr:pic>
    <xdr:clientData/>
  </xdr:twoCellAnchor>
  <xdr:twoCellAnchor editAs="oneCell">
    <xdr:from>
      <xdr:col>0</xdr:col>
      <xdr:colOff>0</xdr:colOff>
      <xdr:row>23</xdr:row>
      <xdr:rowOff>95250</xdr:rowOff>
    </xdr:from>
    <xdr:to>
      <xdr:col>10</xdr:col>
      <xdr:colOff>19050</xdr:colOff>
      <xdr:row>32</xdr:row>
      <xdr:rowOff>114300</xdr:rowOff>
    </xdr:to>
    <xdr:pic>
      <xdr:nvPicPr>
        <xdr:cNvPr id="583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038600"/>
          <a:ext cx="6877050" cy="15621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10</xdr:col>
      <xdr:colOff>352425</xdr:colOff>
      <xdr:row>45</xdr:row>
      <xdr:rowOff>133350</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485900"/>
          <a:ext cx="7210425" cy="6362700"/>
        </a:xfrm>
        <a:prstGeom prst="rect">
          <a:avLst/>
        </a:prstGeom>
        <a:noFill/>
        <a:ln w="1">
          <a:noFill/>
          <a:miter lim="800000"/>
          <a:headEnd/>
          <a:tailEnd type="none" w="med" len="med"/>
        </a:ln>
        <a:effectLst/>
      </xdr:spPr>
    </xdr:pic>
    <xdr:clientData/>
  </xdr:twoCellAnchor>
  <xdr:twoCellAnchor editAs="oneCell">
    <xdr:from>
      <xdr:col>0</xdr:col>
      <xdr:colOff>28575</xdr:colOff>
      <xdr:row>0</xdr:row>
      <xdr:rowOff>19050</xdr:rowOff>
    </xdr:from>
    <xdr:to>
      <xdr:col>9</xdr:col>
      <xdr:colOff>266700</xdr:colOff>
      <xdr:row>8</xdr:row>
      <xdr:rowOff>123825</xdr:rowOff>
    </xdr:to>
    <xdr:pic>
      <xdr:nvPicPr>
        <xdr:cNvPr id="5939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8575" y="19050"/>
          <a:ext cx="6410325" cy="1476375"/>
        </a:xfrm>
        <a:prstGeom prst="rect">
          <a:avLst/>
        </a:prstGeom>
        <a:noFill/>
        <a:ln w="1">
          <a:noFill/>
          <a:miter lim="800000"/>
          <a:headEnd/>
          <a:tailEnd type="none" w="med" len="med"/>
        </a:ln>
        <a:effectLst/>
      </xdr:spPr>
    </xdr:pic>
    <xdr:clientData/>
  </xdr:twoCellAnchor>
  <xdr:twoCellAnchor editAs="oneCell">
    <xdr:from>
      <xdr:col>9</xdr:col>
      <xdr:colOff>66675</xdr:colOff>
      <xdr:row>0</xdr:row>
      <xdr:rowOff>142875</xdr:rowOff>
    </xdr:from>
    <xdr:to>
      <xdr:col>17</xdr:col>
      <xdr:colOff>323850</xdr:colOff>
      <xdr:row>14</xdr:row>
      <xdr:rowOff>152400</xdr:rowOff>
    </xdr:to>
    <xdr:pic>
      <xdr:nvPicPr>
        <xdr:cNvPr id="5939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6238875" y="142875"/>
          <a:ext cx="5743575" cy="240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16" zoomScale="80" zoomScaleNormal="80" workbookViewId="0">
      <selection activeCell="B26" sqref="B2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2664</v>
      </c>
      <c r="B1" s="2923" t="s">
        <v>2761</v>
      </c>
    </row>
    <row r="2" spans="1:55" s="2927" customFormat="1" ht="15" thickTop="1">
      <c r="A2" s="2925" t="s">
        <v>2668</v>
      </c>
      <c r="B2" s="2926" t="str">
        <f>'预评函-封皮'!B37</f>
        <v>郑州市鸿宝南路南、姚店堤西路东出让国有建设用地使用权抵押价格预评估</v>
      </c>
      <c r="AX2" s="2928"/>
      <c r="AZ2" s="2928"/>
      <c r="BA2" s="2929"/>
      <c r="BC2" s="2929"/>
    </row>
    <row r="3" spans="1:55" s="2930" customFormat="1">
      <c r="A3" s="2909" t="s">
        <v>2669</v>
      </c>
      <c r="B3" s="2912" t="str">
        <f>'预评函-封皮'!B40</f>
        <v>中信信托有限责任公司</v>
      </c>
    </row>
    <row r="4" spans="1:55" s="2911" customFormat="1">
      <c r="A4" s="2909" t="s">
        <v>2670</v>
      </c>
      <c r="B4" s="2910" t="str">
        <f>'预评函-封皮'!B46</f>
        <v>吴薇、刘梅</v>
      </c>
      <c r="N4" s="2911" t="str">
        <f>'预评函-1'!A28</f>
        <v>本次估价的“抵押净值”是指估价对象“抵押价格”减去估价对象在估价期日以“土地销售收入”为基数计算的预计抵押权实现进行处置时需缴纳的各项费用、税金等相关费用后的价格。</v>
      </c>
    </row>
    <row r="5" spans="1:55" s="2924" customFormat="1" ht="15" thickBot="1">
      <c r="A5" s="2931" t="s">
        <v>2671</v>
      </c>
      <c r="B5" s="2932" t="str">
        <f>'预评函-封皮'!B49</f>
        <v>康正预评字2017-1-0942-P01DYGJ2号</v>
      </c>
    </row>
    <row r="6" spans="1:55" s="2933" customFormat="1" ht="15" thickTop="1">
      <c r="A6" s="2925" t="s">
        <v>2713</v>
      </c>
      <c r="B6" s="2926" t="str">
        <f>'预评函-1'!A4</f>
        <v>受贵公司委托，我公司对郑州市鸿宝南路南、姚店堤西路东出让国有建设用地使用权抵押价格进行了预评估。</v>
      </c>
      <c r="AM6" s="2934"/>
    </row>
    <row r="7" spans="1:55" s="2908" customFormat="1">
      <c r="A7" s="2909" t="s">
        <v>2665</v>
      </c>
      <c r="B7" s="2910" t="str">
        <f>'预评函-1'!A6</f>
        <v>估价对象为河南嘉智置业有限公司使用的、位于郑州市鸿宝南路南、姚店堤西路东出让国有建设用地使用权。根据《不动产权证》[豫（2017）郑州市不动产权第0125580号]，估价对象（分摊）出让国有建设用地使用权面积为54313.53平方米。根据《建设工程规划许可证》[]、《出让合同》[]，估价对象规划建筑面积为114058.41平方米。</v>
      </c>
    </row>
    <row r="8" spans="1:55" s="2908" customFormat="1">
      <c r="A8" s="2909" t="s">
        <v>2666</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2716</v>
      </c>
      <c r="B9" s="2910" t="str">
        <f>'预评函-1'!A9</f>
        <v>郑州泰禾置业集团有限公司拟使用郑州市鸿宝南路南、姚店堤西路东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8" customFormat="1">
      <c r="A10" s="2909" t="s">
        <v>2667</v>
      </c>
      <c r="B10" s="2910" t="str">
        <f>'预评函-1'!A11</f>
        <v>2017年10月13日（评估专业人员勘察现场之日）</v>
      </c>
    </row>
    <row r="11" spans="1:55" s="2908" customFormat="1">
      <c r="A11" s="2909" t="s">
        <v>2673</v>
      </c>
      <c r="B11" s="2910" t="str">
        <f>'预评函-1'!A14</f>
        <v>根据《不动产权证》[豫（2017）郑州市不动产权第0125580号]，本次评估估价对象证载（地类）用途为城镇住宅用地。</v>
      </c>
    </row>
    <row r="12" spans="1:55" s="2908" customFormat="1">
      <c r="A12" s="2909" t="s">
        <v>2674</v>
      </c>
      <c r="B12" s="2910" t="str">
        <f>'预评函-1'!A15</f>
        <v>本次评估设定用途即为证载用途城镇住宅用地。</v>
      </c>
    </row>
    <row r="13" spans="1:55" s="2908" customFormat="1">
      <c r="A13" s="2909" t="s">
        <v>2675</v>
      </c>
      <c r="B13" s="2910" t="str">
        <f>'预评函-1'!A17</f>
        <v>根据委托估价方介绍及评估专业人员现场勘查，本次评估估价对象实际土地开发程度为红线外市政基础设施达“六通”（即通路、通电、通讯、通上水、通下水、——）、宗地红线内场地平整。</v>
      </c>
    </row>
    <row r="14" spans="1:55" s="2908" customFormat="1">
      <c r="A14" s="2909" t="s">
        <v>2676</v>
      </c>
      <c r="B14" s="2910" t="str">
        <f>'预评函-1'!A18</f>
        <v>本次评估设定土地开发程度为红线外市政基础设施达“六通”、宗地红线内场地平整。</v>
      </c>
    </row>
    <row r="15" spans="1:55" s="2908" customFormat="1">
      <c r="A15" s="2909" t="s">
        <v>2672</v>
      </c>
      <c r="B15" s="2910" t="str">
        <f>'预评函-1'!A20</f>
        <v>根据《不动产权证》[豫（2017）郑州市不动产权第0125580号]，估价对象（分摊）出让国有建设用地使用权面积为54313.53平方米。根据《建设工程规划许可证》[]、《出让合同》[]，估价对象规划建筑面积为114058.41平方米。</v>
      </c>
    </row>
    <row r="16" spans="1:55" s="2908" customFormat="1">
      <c r="A16" s="2909" t="s">
        <v>2677</v>
      </c>
      <c r="B16" s="2910" t="str">
        <f>'预评函-1'!A22</f>
        <v>本次估价对象为出让国有建设用地使用权，《不动产权证》[豫（2017）郑州市不动产权第0125580号]证载土地终止日期为住宅2087年8月8日。截至估价期日，出让国有建设用地使用权剩余土地使用年限为住宅70年。</v>
      </c>
    </row>
    <row r="17" spans="1:48" s="2908" customFormat="1">
      <c r="A17" s="2909" t="s">
        <v>2678</v>
      </c>
      <c r="B17" s="2910" t="str">
        <f>'预评函-1'!A23</f>
        <v>本次评估设定估价对象剩余土地使用年限为住宅70年。</v>
      </c>
    </row>
    <row r="18" spans="1:48" s="2908" customFormat="1">
      <c r="A18" s="2909" t="s">
        <v>2679</v>
      </c>
      <c r="B18" s="2910" t="str">
        <f>'预评函-1'!A25</f>
        <v>本次估价的“出让国有建设用地使用权价格”是指在估价对象土地所有权为国家所有，使用权性质为出让，在公开市场条件下、于估价期日2017年10月13日，在规划利用条件下、设定土地开发程度为红线外“六通”、宗地内场地平整，设定用途为城镇住宅用地，剩余土地使用年限为住宅70年的出让国有建设用地使用权价格。</v>
      </c>
    </row>
    <row r="19" spans="1:48" s="2908" customFormat="1">
      <c r="A19" s="2909" t="s">
        <v>2680</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2681</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2682</v>
      </c>
      <c r="B21" s="293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0" t="s">
        <v>2683</v>
      </c>
      <c r="B22" s="292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9" t="s">
        <v>2684</v>
      </c>
      <c r="B23" s="2910" t="str">
        <f>'预评函-2'!K2</f>
        <v>估价期日：2017年10月13日</v>
      </c>
    </row>
    <row r="24" spans="1:48">
      <c r="A24" s="2909" t="s">
        <v>2685</v>
      </c>
      <c r="B24" s="2910" t="str">
        <f>'预评函-2'!R2</f>
        <v>估价期日的国有建设用地使用权性质：出让</v>
      </c>
    </row>
    <row r="25" spans="1:48">
      <c r="A25" s="2909" t="s">
        <v>2741</v>
      </c>
      <c r="B25" s="2910" t="str">
        <f>'预评函-2'!A3</f>
        <v>估价期日土地使用者</v>
      </c>
    </row>
    <row r="26" spans="1:48">
      <c r="A26" s="2909" t="s">
        <v>2717</v>
      </c>
      <c r="B26" s="2910" t="str">
        <f>'预评函-2'!A5</f>
        <v>中信开发</v>
      </c>
    </row>
    <row r="27" spans="1:48">
      <c r="A27" s="2909" t="s">
        <v>2742</v>
      </c>
      <c r="B27" s="2910" t="str">
        <f>'预评函-2'!B3</f>
        <v>宗地编号/不动产单元号</v>
      </c>
    </row>
    <row r="28" spans="1:48">
      <c r="A28" s="2909" t="s">
        <v>2718</v>
      </c>
      <c r="B28" s="2910" t="str">
        <f>'预评函-2'!B5</f>
        <v>11111111111</v>
      </c>
    </row>
    <row r="29" spans="1:48">
      <c r="A29" s="2909" t="s">
        <v>2744</v>
      </c>
      <c r="B29" s="2910">
        <f>'预评函-2'!C5</f>
        <v>22</v>
      </c>
    </row>
    <row r="30" spans="1:48">
      <c r="A30" s="2909" t="s">
        <v>2745</v>
      </c>
      <c r="B30" s="2910" t="str">
        <f>'预评函-2'!D3</f>
        <v>土地使用证编号/不动产权证书编号</v>
      </c>
    </row>
    <row r="31" spans="1:48">
      <c r="A31" s="2909" t="s">
        <v>2719</v>
      </c>
      <c r="B31" s="2910" t="str">
        <f>'预评函-2'!D5</f>
        <v>京国土字第111号</v>
      </c>
    </row>
    <row r="32" spans="1:48">
      <c r="A32" s="2909" t="s">
        <v>2720</v>
      </c>
      <c r="B32" s="2910" t="str">
        <f>'预评函-2'!E5</f>
        <v>城镇住宅用地</v>
      </c>
      <c r="AV32" s="2914"/>
    </row>
    <row r="33" spans="1:2">
      <c r="A33" s="2909" t="s">
        <v>2721</v>
      </c>
      <c r="B33" s="2910">
        <f>'预评函-2'!F5</f>
        <v>258</v>
      </c>
    </row>
    <row r="34" spans="1:2">
      <c r="A34" s="2909" t="s">
        <v>2722</v>
      </c>
      <c r="B34" s="2910" t="str">
        <f>'预评函-2'!G5</f>
        <v>城镇住宅用地</v>
      </c>
    </row>
    <row r="35" spans="1:2">
      <c r="A35" s="2909" t="s">
        <v>2723</v>
      </c>
      <c r="B35" s="2910">
        <f>'预评函-2'!H5</f>
        <v>1.5</v>
      </c>
    </row>
    <row r="36" spans="1:2">
      <c r="A36" s="2909" t="s">
        <v>2724</v>
      </c>
      <c r="B36" s="2910">
        <f>'预评函-2'!I5</f>
        <v>1.5</v>
      </c>
    </row>
    <row r="37" spans="1:2">
      <c r="A37" s="2909" t="s">
        <v>2725</v>
      </c>
      <c r="B37" s="2910">
        <f>'预评函-2'!J5</f>
        <v>1.5</v>
      </c>
    </row>
    <row r="38" spans="1:2">
      <c r="A38" s="2909" t="s">
        <v>2726</v>
      </c>
      <c r="B38" s="2910" t="str">
        <f>'预评函-2'!K5</f>
        <v>红线外六通、宗地红线内场地平整</v>
      </c>
    </row>
    <row r="39" spans="1:2">
      <c r="A39" s="2909" t="s">
        <v>2727</v>
      </c>
      <c r="B39" s="2910" t="str">
        <f>'预评函-2'!L5</f>
        <v>红线外六通、宗地红线内场地平整</v>
      </c>
    </row>
    <row r="40" spans="1:2">
      <c r="A40" s="2909" t="s">
        <v>2746</v>
      </c>
      <c r="B40" s="2910" t="str">
        <f>'预评函-2'!M3</f>
        <v>（剩余）土地使用年限/年</v>
      </c>
    </row>
    <row r="41" spans="1:2">
      <c r="A41" s="2909" t="s">
        <v>2728</v>
      </c>
      <c r="B41" s="2910" t="str">
        <f>'预评函-2'!M5</f>
        <v>住宅70年</v>
      </c>
    </row>
    <row r="42" spans="1:2">
      <c r="A42" s="2909" t="s">
        <v>2747</v>
      </c>
      <c r="B42" s="2910" t="str">
        <f>'预评函-2'!N3</f>
        <v>（分摊）出让国有建设用地使用权面积/㎡</v>
      </c>
    </row>
    <row r="43" spans="1:2">
      <c r="A43" s="2909" t="s">
        <v>2729</v>
      </c>
      <c r="B43" s="2910">
        <f>'预评函-2'!N5</f>
        <v>54313.53</v>
      </c>
    </row>
    <row r="44" spans="1:2">
      <c r="A44" s="2909" t="s">
        <v>2748</v>
      </c>
      <c r="B44" s="2910" t="str">
        <f>'预评函-2'!O3</f>
        <v>规划建筑面积/㎡</v>
      </c>
    </row>
    <row r="45" spans="1:2">
      <c r="A45" s="2909" t="s">
        <v>2730</v>
      </c>
      <c r="B45" s="2910">
        <f>'预评函-2'!O5</f>
        <v>114058.41</v>
      </c>
    </row>
    <row r="46" spans="1:2">
      <c r="A46" s="2909" t="s">
        <v>2731</v>
      </c>
      <c r="B46" s="2910">
        <f ca="1">'预评函-2'!P5</f>
        <v>31009</v>
      </c>
    </row>
    <row r="47" spans="1:2">
      <c r="A47" s="2909" t="s">
        <v>2732</v>
      </c>
      <c r="B47" s="2910">
        <f ca="1">'预评函-2'!Q5</f>
        <v>14766</v>
      </c>
    </row>
    <row r="48" spans="1:2">
      <c r="A48" s="2909" t="s">
        <v>2733</v>
      </c>
      <c r="B48" s="2910">
        <f ca="1">'预评函-2'!R5</f>
        <v>168423</v>
      </c>
    </row>
    <row r="49" spans="1:2">
      <c r="A49" s="2909" t="s">
        <v>2749</v>
      </c>
      <c r="B49" s="2910" t="str">
        <f>'预评函-2'!A6</f>
        <v>抵押价格</v>
      </c>
    </row>
    <row r="50" spans="1:2">
      <c r="A50" s="2909" t="s">
        <v>2734</v>
      </c>
      <c r="B50" s="2910">
        <f ca="1">'预评函-2'!R6</f>
        <v>168423</v>
      </c>
    </row>
    <row r="51" spans="1:2">
      <c r="A51" s="2909" t="s">
        <v>2750</v>
      </c>
      <c r="B51" s="2910" t="str">
        <f>'预评函-2'!A7</f>
        <v>——</v>
      </c>
    </row>
    <row r="52" spans="1:2">
      <c r="A52" s="2909" t="s">
        <v>2735</v>
      </c>
      <c r="B52" s="2910" t="str">
        <f>'预评函-2'!R7</f>
        <v>——</v>
      </c>
    </row>
    <row r="53" spans="1:2">
      <c r="A53" s="2909" t="s">
        <v>2751</v>
      </c>
      <c r="B53" s="2910" t="str">
        <f>'预评函-2'!A8</f>
        <v>抵押净值</v>
      </c>
    </row>
    <row r="54" spans="1:2" s="2924" customFormat="1" ht="15" thickBot="1">
      <c r="A54" s="2931" t="s">
        <v>2736</v>
      </c>
      <c r="B54" s="2932">
        <f ca="1">'预评函-2'!R8</f>
        <v>107440</v>
      </c>
    </row>
    <row r="55" spans="1:2" ht="15" thickTop="1">
      <c r="A55" s="2920" t="s">
        <v>2686</v>
      </c>
      <c r="B55" s="2921" t="str">
        <f>'预评函-3'!A2</f>
        <v>1.权利限制：根据估价对象《不动产权证书》原件、《国有土地使用权》——，截至估价期日，估价对象抵押权未见登记。未设定租赁等其他他项权利。</v>
      </c>
    </row>
    <row r="56" spans="1:2">
      <c r="A56" s="2909" t="s">
        <v>2687</v>
      </c>
      <c r="B56" s="2910" t="str">
        <f>'预评函-3'!A3</f>
        <v>2.基础设施条件：估价对象实际开发程度为红线外六通、宗地红线内场地平整；本次评估设定开发程度为红线外六通、宗地红线内场地平整。</v>
      </c>
    </row>
    <row r="57" spans="1:2">
      <c r="A57" s="2909" t="s">
        <v>2688</v>
      </c>
      <c r="B57" s="2910" t="str">
        <f>'预评函-3'!A4</f>
        <v>3.估价规划限制条件：详见《建设工程规划许可证》[]、《出让合同》[]。</v>
      </c>
    </row>
    <row r="58" spans="1:2" s="2924" customFormat="1" ht="15" thickBot="1">
      <c r="A58" s="2931" t="s">
        <v>2737</v>
      </c>
      <c r="B58" s="2932" t="str">
        <f>'预评函-3'!A5</f>
        <v>4.影响价格的其他限定条件：无。</v>
      </c>
    </row>
    <row r="59" spans="1:2" ht="15" thickTop="1">
      <c r="A59" s="2920" t="s">
        <v>2689</v>
      </c>
      <c r="B59" s="2921" t="str">
        <f>'预评函-3'!A8</f>
        <v>2.本《评估意见函》仅供金融机构进行内部审核使用，不做其他目的之用。</v>
      </c>
    </row>
    <row r="60" spans="1:2">
      <c r="A60" s="2909" t="s">
        <v>2690</v>
      </c>
      <c r="B60" s="2910" t="str">
        <f>'预评函-3'!A9</f>
        <v>3.抵押双方在办理抵押登记手续时，应使用本公司出具的正式《土地估价报告》，特提请报告使用者注意。</v>
      </c>
    </row>
    <row r="61" spans="1:2">
      <c r="A61" s="2909" t="s">
        <v>2692</v>
      </c>
      <c r="B61" s="2910" t="str">
        <f>'预评函-3'!A10</f>
        <v>4.估价师所知悉的法定优先受偿款情况为：</v>
      </c>
    </row>
    <row r="62" spans="1:2">
      <c r="A62" s="2909" t="s">
        <v>2691</v>
      </c>
      <c r="B62" s="2910" t="str">
        <f>'预评函-3'!A11</f>
        <v>（1）根据估价对象《不动产权证书》原件、《国有土地使用权》——，截至估价期日，估价对象抵押权未见登记。</v>
      </c>
    </row>
    <row r="63" spans="1:2">
      <c r="A63" s="2909" t="s">
        <v>2693</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2694</v>
      </c>
      <c r="B64" s="2915" t="str">
        <f>'预评函-3'!A13</f>
        <v>（3）。</v>
      </c>
    </row>
    <row r="65" spans="1:2">
      <c r="A65" s="2909" t="s">
        <v>2695</v>
      </c>
      <c r="B65" s="2916" t="str">
        <f>'预评函-3'!A14</f>
        <v>综上，本次评估不存在估价师知悉的法定优先受偿款</v>
      </c>
    </row>
    <row r="66" spans="1:2">
      <c r="A66" s="2909" t="s">
        <v>2696</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2697</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2700</v>
      </c>
      <c r="B68" s="2935">
        <f>'预评函-3'!D30</f>
        <v>42558</v>
      </c>
    </row>
    <row r="69" spans="1:2" ht="15" thickTop="1">
      <c r="A69" s="2920" t="s">
        <v>2698</v>
      </c>
      <c r="B69" s="2921" t="str">
        <f>'预评函-3'!A20</f>
        <v>吴薇</v>
      </c>
    </row>
    <row r="70" spans="1:2">
      <c r="A70" s="2909" t="s">
        <v>2698</v>
      </c>
      <c r="B70" s="2916">
        <f ca="1">'预评函-3'!B20</f>
        <v>2002110125</v>
      </c>
    </row>
    <row r="71" spans="1:2">
      <c r="A71" s="2909" t="s">
        <v>2699</v>
      </c>
      <c r="B71" s="2910" t="str">
        <f>'预评函-3'!A21</f>
        <v>刘梅</v>
      </c>
    </row>
    <row r="72" spans="1:2" s="2924" customFormat="1" ht="15" thickBot="1">
      <c r="A72" s="2931" t="s">
        <v>2699</v>
      </c>
      <c r="B72" s="2937">
        <f ca="1">'预评函-3'!B21</f>
        <v>2008110059</v>
      </c>
    </row>
    <row r="73" spans="1:2" ht="15" thickTop="1">
      <c r="A73" s="2920" t="s">
        <v>2758</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2759</v>
      </c>
      <c r="B74" s="2917" t="str">
        <f>'预评函-1 (储备)'!A18</f>
        <v>由于本次评估估价目的是评估储备国有建设用地使用权的“抵押价格”，因此本次评估设定土地开发程度为红线外市政基础设施达“六通”、宗地红线内场地平整。</v>
      </c>
    </row>
    <row r="75" spans="1:2" s="2924" customFormat="1" ht="15" thickBot="1">
      <c r="A75" s="2931" t="s">
        <v>2760</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2795</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9" zoomScale="90" zoomScaleSheetLayoutView="90" workbookViewId="0">
      <selection activeCell="H44" sqref="H44"/>
    </sheetView>
  </sheetViews>
  <sheetFormatPr defaultColWidth="10" defaultRowHeight="14.25"/>
  <cols>
    <col min="1" max="1" width="15.375" style="1694" customWidth="1"/>
    <col min="2" max="2" width="11.375" style="1694" customWidth="1"/>
    <col min="3" max="3" width="12.625" style="1694" customWidth="1"/>
    <col min="4" max="4" width="10.875"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5"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26" t="str">
        <f>IF(B10="北京市","北京市",C10)&amp;F10&amp;B16&amp;"国有建设用地使用权"&amp;B9&amp;"预评估"</f>
        <v>郑州市鸿宝南路南、姚店堤西路东出让国有建设用地使用权抵押价格预评估</v>
      </c>
      <c r="C1" s="3227"/>
      <c r="D1" s="3227"/>
      <c r="E1" s="3227"/>
      <c r="F1" s="3227"/>
      <c r="G1" s="3227"/>
      <c r="H1" s="3227"/>
      <c r="I1" s="3228"/>
      <c r="J1" s="1697"/>
      <c r="K1" s="2482" t="str">
        <f>IF(B10="北京市","北京市",C10)&amp;F10&amp;B16&amp;"国有建设用地使用权"&amp;B9</f>
        <v>郑州市鸿宝南路南、姚店堤西路东出让国有建设用地使用权抵押价格</v>
      </c>
      <c r="L1" s="1725"/>
      <c r="M1" s="1725"/>
      <c r="N1" s="1697"/>
      <c r="O1" s="1698"/>
      <c r="P1" s="1697"/>
      <c r="Q1" s="1697"/>
      <c r="R1" s="1697"/>
      <c r="S1" s="1697"/>
      <c r="T1" s="1697"/>
      <c r="U1" s="1697"/>
    </row>
    <row r="2" spans="1:21">
      <c r="A2" s="1663" t="s">
        <v>1942</v>
      </c>
      <c r="B2" s="1844" t="s">
        <v>3104</v>
      </c>
      <c r="D2" s="1697"/>
      <c r="E2" s="1697"/>
      <c r="F2" s="1697"/>
      <c r="G2" s="1697"/>
      <c r="H2" s="1663"/>
      <c r="I2" s="1698"/>
      <c r="J2" s="1697"/>
      <c r="K2" s="2482" t="str">
        <f>IF(B10="北京市","北京市",C10)&amp;F10&amp;B16&amp;"国有建设用地使用权"</f>
        <v>郑州市鸿宝南路南、姚店堤西路东出让国有建设用地使用权</v>
      </c>
      <c r="L2" s="1725"/>
      <c r="M2" s="1725"/>
      <c r="N2" s="1697"/>
      <c r="O2" s="1698"/>
      <c r="P2" s="1697"/>
      <c r="Q2" s="1697"/>
      <c r="R2" s="1697"/>
      <c r="S2" s="1697"/>
      <c r="T2" s="1697"/>
      <c r="U2" s="1697"/>
    </row>
    <row r="3" spans="1:21">
      <c r="A3" s="1664" t="s">
        <v>1943</v>
      </c>
      <c r="B3" s="1665">
        <v>43021</v>
      </c>
      <c r="C3" s="1666" t="s">
        <v>1999</v>
      </c>
      <c r="D3" s="1665">
        <v>43021</v>
      </c>
      <c r="E3" s="1697"/>
      <c r="F3" s="1697"/>
      <c r="G3" s="1697"/>
      <c r="H3" s="1663"/>
      <c r="I3" s="1698"/>
      <c r="J3" s="1697"/>
      <c r="K3" s="1776"/>
      <c r="L3" s="1725"/>
      <c r="M3" s="1725"/>
      <c r="N3" s="1697"/>
      <c r="O3" s="1698"/>
      <c r="P3" s="1697"/>
      <c r="Q3" s="1697"/>
      <c r="R3" s="1697"/>
      <c r="S3" s="1697"/>
      <c r="T3" s="1697"/>
      <c r="U3" s="1697"/>
    </row>
    <row r="4" spans="1:21" ht="15" thickBot="1">
      <c r="A4" s="1667" t="s">
        <v>1944</v>
      </c>
      <c r="B4" s="1845" t="s">
        <v>2977</v>
      </c>
      <c r="C4" s="1848">
        <f ca="1">SUMIF(土地估价师,B4,估价师及机构信息!E3:E24)</f>
        <v>2002110125</v>
      </c>
      <c r="D4" s="1845" t="s">
        <v>2978</v>
      </c>
      <c r="E4" s="1848">
        <f ca="1">SUMIF(土地估价师,D4,估价师及机构信息!E3:E24)</f>
        <v>2008110059</v>
      </c>
      <c r="F4" s="1845" t="s">
        <v>953</v>
      </c>
      <c r="G4" s="1848">
        <f>SUMIF(土地估价师,F4,估价师及机构信息!E3:E24)</f>
        <v>0</v>
      </c>
      <c r="H4" s="1845" t="s">
        <v>953</v>
      </c>
      <c r="I4" s="1848">
        <f>SUMIF(土地估价师,H4,估价师及机构信息!E3:E24)</f>
        <v>0</v>
      </c>
      <c r="J4" s="1697"/>
      <c r="K4" s="2482" t="str">
        <f>IF(AND(F4="——",H4="——"),B4&amp;"、"&amp;D4,IF(AND(F4&lt;&gt;"——",H4="——"),B4&amp;"、"&amp;D4&amp;"、"&amp;F4,B4&amp;"、"&amp;D4&amp;"、"&amp;F4&amp;"、"&amp;H4))</f>
        <v>吴薇、刘梅</v>
      </c>
      <c r="L4" s="1725"/>
      <c r="M4" s="1725"/>
      <c r="N4" s="1697"/>
      <c r="O4" s="1698"/>
      <c r="P4" s="1697"/>
      <c r="Q4" s="1697"/>
      <c r="R4" s="1697"/>
      <c r="S4" s="1697"/>
      <c r="T4" s="1697"/>
      <c r="U4" s="1697"/>
    </row>
    <row r="5" spans="1:21" ht="15" thickTop="1">
      <c r="A5" s="1668" t="s">
        <v>1945</v>
      </c>
      <c r="B5" s="1791" t="s">
        <v>3100</v>
      </c>
      <c r="C5" s="1669"/>
      <c r="D5" s="1670"/>
      <c r="E5" s="1697"/>
      <c r="F5" s="1697"/>
      <c r="G5" s="1697"/>
      <c r="H5" s="1663"/>
      <c r="I5" s="1698"/>
      <c r="J5" s="1697"/>
      <c r="K5" s="1776"/>
      <c r="L5" s="1725"/>
      <c r="M5" s="1725"/>
      <c r="N5" s="1697"/>
      <c r="O5" s="1698"/>
      <c r="P5" s="1697"/>
      <c r="Q5" s="1697"/>
      <c r="R5" s="1697"/>
      <c r="S5" s="1697"/>
      <c r="T5" s="1697"/>
      <c r="U5" s="1697"/>
    </row>
    <row r="6" spans="1:21" ht="26.25">
      <c r="A6" s="1666" t="s">
        <v>2714</v>
      </c>
      <c r="B6" s="1791" t="s">
        <v>3100</v>
      </c>
      <c r="C6" s="1763"/>
      <c r="D6" s="1671"/>
      <c r="E6" s="1697"/>
      <c r="F6" s="1697"/>
      <c r="G6" s="1697"/>
      <c r="H6" s="1663"/>
      <c r="I6" s="1698"/>
      <c r="J6" s="1697"/>
      <c r="K6" s="3087" t="str">
        <f>IF(COUNTIF(B6,"*上海银行*"),"上海银行","")</f>
        <v/>
      </c>
      <c r="L6" s="1725"/>
      <c r="M6" s="1725"/>
      <c r="N6" s="1697"/>
      <c r="O6" s="1698"/>
      <c r="P6" s="1697"/>
      <c r="Q6" s="1697"/>
      <c r="R6" s="1697"/>
      <c r="S6" s="1697"/>
      <c r="T6" s="1697"/>
      <c r="U6" s="1697"/>
    </row>
    <row r="7" spans="1:21">
      <c r="A7" s="1672" t="s">
        <v>2715</v>
      </c>
      <c r="B7" s="1791" t="s">
        <v>3103</v>
      </c>
      <c r="C7" s="1763"/>
      <c r="D7" s="1671"/>
      <c r="E7" s="1697"/>
      <c r="F7" s="1697"/>
      <c r="G7" s="1697"/>
      <c r="H7" s="1663"/>
      <c r="I7" s="1698"/>
      <c r="J7" s="1697"/>
      <c r="K7" s="1776"/>
      <c r="L7" s="1725"/>
      <c r="M7" s="1725"/>
      <c r="N7" s="1697"/>
      <c r="O7" s="1698"/>
      <c r="P7" s="1697"/>
      <c r="Q7" s="1697"/>
      <c r="R7" s="1697"/>
      <c r="S7" s="1697"/>
      <c r="T7" s="1697"/>
      <c r="U7" s="1697"/>
    </row>
    <row r="8" spans="1:21">
      <c r="A8" s="1672" t="s">
        <v>1946</v>
      </c>
      <c r="B8" s="1673" t="s">
        <v>2979</v>
      </c>
      <c r="C8" s="1674"/>
      <c r="D8" s="3232" t="s">
        <v>1948</v>
      </c>
      <c r="E8" s="1846" t="s">
        <v>2980</v>
      </c>
      <c r="F8" s="1675"/>
      <c r="G8" s="1663"/>
      <c r="H8" s="1663"/>
      <c r="I8" s="1710"/>
      <c r="J8" s="1697"/>
      <c r="K8" s="1776"/>
      <c r="L8" s="1725"/>
      <c r="M8" s="1725"/>
      <c r="N8" s="1697"/>
      <c r="O8" s="1698"/>
      <c r="P8" s="1697"/>
      <c r="Q8" s="1697"/>
      <c r="R8" s="1697"/>
      <c r="S8" s="1697"/>
      <c r="T8" s="1697"/>
      <c r="U8" s="1697"/>
    </row>
    <row r="9" spans="1:21" ht="15" thickBot="1">
      <c r="A9" s="1676" t="s">
        <v>1947</v>
      </c>
      <c r="B9" s="1677" t="s">
        <v>2980</v>
      </c>
      <c r="C9" s="1678"/>
      <c r="D9" s="3233"/>
      <c r="E9" s="1677" t="s">
        <v>2862</v>
      </c>
      <c r="F9" s="1749"/>
      <c r="G9" s="1744"/>
      <c r="H9" s="1744"/>
      <c r="I9" s="1745"/>
      <c r="J9" s="1697"/>
      <c r="K9" s="1776"/>
      <c r="L9" s="1725"/>
      <c r="M9" s="1725"/>
      <c r="N9" s="1697"/>
      <c r="O9" s="1698"/>
      <c r="P9" s="1697"/>
      <c r="Q9" s="1697"/>
      <c r="R9" s="1697"/>
      <c r="S9" s="1697"/>
      <c r="T9" s="1697"/>
      <c r="U9" s="1697"/>
    </row>
    <row r="10" spans="1:21" ht="15" thickTop="1">
      <c r="A10" s="1746" t="s">
        <v>2003</v>
      </c>
      <c r="B10" s="3166" t="s">
        <v>2981</v>
      </c>
      <c r="C10" s="1679" t="s">
        <v>2982</v>
      </c>
      <c r="D10" s="1670"/>
      <c r="E10" s="1680" t="s">
        <v>1950</v>
      </c>
      <c r="F10" s="1681" t="s">
        <v>2983</v>
      </c>
      <c r="G10" s="1747"/>
      <c r="H10" s="1748"/>
      <c r="I10" s="1670"/>
      <c r="J10" s="1697"/>
      <c r="K10" s="1776"/>
      <c r="L10" s="1725"/>
      <c r="M10" s="1725"/>
      <c r="N10" s="1697"/>
      <c r="O10" s="1698"/>
      <c r="P10" s="1697"/>
      <c r="Q10" s="1697"/>
      <c r="R10" s="1697"/>
      <c r="S10" s="1697"/>
      <c r="T10" s="1697"/>
      <c r="U10" s="1697"/>
    </row>
    <row r="11" spans="1:21" ht="28.5">
      <c r="A11" s="1700" t="s">
        <v>2004</v>
      </c>
      <c r="B11" s="1701" t="s">
        <v>2984</v>
      </c>
      <c r="C11" s="1682" t="s">
        <v>2985</v>
      </c>
      <c r="D11" s="1764"/>
      <c r="E11" s="1663"/>
      <c r="F11" s="1663"/>
      <c r="G11" s="1663"/>
      <c r="H11" s="1663"/>
      <c r="I11" s="1663"/>
      <c r="J11" s="1697"/>
      <c r="K11" s="1776"/>
      <c r="L11" s="1725"/>
      <c r="M11" s="1725"/>
      <c r="N11" s="1697"/>
      <c r="O11" s="1698"/>
      <c r="P11" s="1697"/>
      <c r="Q11" s="1697"/>
      <c r="R11" s="1697"/>
      <c r="S11" s="1697"/>
      <c r="T11" s="1697"/>
      <c r="U11" s="1697"/>
    </row>
    <row r="12" spans="1:21">
      <c r="A12" s="1787" t="s">
        <v>2062</v>
      </c>
      <c r="B12" s="3229" t="s">
        <v>2986</v>
      </c>
      <c r="C12" s="3230"/>
      <c r="D12" s="3231"/>
      <c r="E12" s="1702" t="s">
        <v>2065</v>
      </c>
      <c r="F12" s="3247" t="s">
        <v>2987</v>
      </c>
      <c r="G12" s="3248"/>
      <c r="H12" s="3248"/>
      <c r="I12" s="3249"/>
      <c r="J12" s="1697"/>
      <c r="K12" s="1776"/>
      <c r="L12" s="1725"/>
      <c r="M12" s="1725"/>
      <c r="N12" s="1697"/>
      <c r="O12" s="1698"/>
      <c r="P12" s="1697"/>
      <c r="Q12" s="1697"/>
      <c r="R12" s="1697"/>
      <c r="S12" s="1697"/>
      <c r="T12" s="1697"/>
      <c r="U12" s="1697"/>
    </row>
    <row r="13" spans="1:21">
      <c r="A13" s="1690" t="s">
        <v>2063</v>
      </c>
      <c r="B13" s="3229" t="s">
        <v>2986</v>
      </c>
      <c r="C13" s="3230"/>
      <c r="D13" s="3231"/>
      <c r="E13" s="1702" t="s">
        <v>2065</v>
      </c>
      <c r="F13" s="3247" t="s">
        <v>2897</v>
      </c>
      <c r="G13" s="3248"/>
      <c r="H13" s="3248"/>
      <c r="I13" s="3249"/>
      <c r="J13" s="1697"/>
      <c r="K13" s="1776"/>
      <c r="L13" s="1725"/>
      <c r="M13" s="1725"/>
      <c r="N13" s="1697"/>
      <c r="O13" s="1698"/>
      <c r="P13" s="1697"/>
      <c r="Q13" s="1697"/>
      <c r="R13" s="1697"/>
      <c r="S13" s="1697"/>
      <c r="T13" s="1697"/>
      <c r="U13" s="1697"/>
    </row>
    <row r="14" spans="1:21">
      <c r="A14" s="1664" t="s">
        <v>2066</v>
      </c>
      <c r="B14" s="1702"/>
      <c r="C14" s="1847" t="s">
        <v>2988</v>
      </c>
      <c r="D14" s="1735" t="str">
        <f>IF(C14="不一致","是否符合证载地类范围","")</f>
        <v/>
      </c>
      <c r="E14" s="1702"/>
      <c r="F14" s="1792" t="s">
        <v>2989</v>
      </c>
      <c r="G14" s="1730"/>
      <c r="H14" s="1730"/>
      <c r="I14" s="1839"/>
      <c r="J14" s="1697"/>
      <c r="K14" s="1776"/>
      <c r="L14" s="1725"/>
      <c r="M14" s="1725"/>
      <c r="N14" s="1697"/>
      <c r="O14" s="1698"/>
      <c r="P14" s="1697"/>
      <c r="Q14" s="1697"/>
      <c r="R14" s="1697"/>
      <c r="S14" s="1697"/>
      <c r="T14" s="1697"/>
      <c r="U14" s="1697"/>
    </row>
    <row r="15" spans="1:21" hidden="1">
      <c r="A15" s="2673"/>
      <c r="B15" s="1666"/>
      <c r="C15" s="1666"/>
      <c r="D15" s="1768" t="s">
        <v>1953</v>
      </c>
      <c r="E15" s="1768" t="s">
        <v>1954</v>
      </c>
      <c r="F15" s="1768" t="s">
        <v>1955</v>
      </c>
      <c r="G15" s="1689" t="s">
        <v>1956</v>
      </c>
      <c r="H15" s="1689" t="s">
        <v>1957</v>
      </c>
      <c r="I15" s="1689" t="s">
        <v>1958</v>
      </c>
      <c r="J15" s="1697"/>
      <c r="K15" s="1776"/>
      <c r="L15" s="1725"/>
      <c r="M15" s="1725"/>
      <c r="N15" s="1697"/>
      <c r="O15" s="1698"/>
      <c r="P15" s="1697"/>
      <c r="Q15" s="1697"/>
      <c r="R15" s="1697"/>
      <c r="S15" s="1697"/>
      <c r="T15" s="1697"/>
      <c r="U15" s="1697"/>
    </row>
    <row r="16" spans="1:21" ht="28.5">
      <c r="A16" s="1683" t="s">
        <v>1951</v>
      </c>
      <c r="B16" s="1684" t="s">
        <v>3101</v>
      </c>
      <c r="C16" s="1702" t="s">
        <v>1952</v>
      </c>
      <c r="D16" s="2674" t="s">
        <v>1953</v>
      </c>
      <c r="E16" s="1724"/>
      <c r="F16" s="1724"/>
      <c r="G16" s="1724"/>
      <c r="H16" s="1724"/>
      <c r="I16" s="1689" t="s">
        <v>1958</v>
      </c>
      <c r="J16" s="1697"/>
      <c r="K16" s="2483" t="str">
        <f>IF(D17="","",D16&amp;TEXT(D17,"yyyy年m月d日;;"))</f>
        <v>住宅2087年8月8日</v>
      </c>
      <c r="L16" s="1702" t="str">
        <f>IF(OR(K16="",M16=""),"","、")</f>
        <v/>
      </c>
      <c r="M16" s="2483" t="str">
        <f>IF(E17="","",E16&amp;TEXT(E17,"yyyy年m月d日;;"))</f>
        <v/>
      </c>
      <c r="N16" s="1702" t="str">
        <f>IF(OR(M16="",O16=""),"","、")</f>
        <v/>
      </c>
      <c r="O16" s="2483" t="str">
        <f>IF(F17="","",F16&amp;TEXT(F17,"yyyy年m月d日;;"))</f>
        <v/>
      </c>
      <c r="P16" s="1702" t="str">
        <f>IF(OR(O16="",Q16=""),"","、")</f>
        <v/>
      </c>
      <c r="Q16" s="2483" t="str">
        <f>IF(G17="","",G16&amp;TEXT(G17,"yyyy年m月d日;;"))</f>
        <v/>
      </c>
      <c r="R16" s="1702" t="str">
        <f>IF(OR(Q16="",S16=""),"","、")</f>
        <v/>
      </c>
      <c r="S16" s="2483" t="str">
        <f>IF(H17="","",H16&amp;TEXT(H17,"yyyy年m月d日;;"))</f>
        <v/>
      </c>
      <c r="T16" s="1702" t="str">
        <f>IF(OR(S16="",U16=""),"","、")</f>
        <v/>
      </c>
      <c r="U16" s="2483" t="str">
        <f>IF(I17="","",I16&amp;TEXT(I17,"yyyy年m月d日;;"))</f>
        <v/>
      </c>
    </row>
    <row r="17" spans="1:21">
      <c r="A17" s="1765"/>
      <c r="B17" s="1685"/>
      <c r="C17" s="1686" t="s">
        <v>1959</v>
      </c>
      <c r="D17" s="1703">
        <v>68522</v>
      </c>
      <c r="E17" s="1703"/>
      <c r="F17" s="1703"/>
      <c r="G17" s="1703"/>
      <c r="H17" s="1703"/>
      <c r="I17" s="1703"/>
      <c r="J17" s="1697"/>
      <c r="K17" s="2482" t="str">
        <f>CONCATENATE(K16,L16,M16,N16,O16,P16,Q16,R16,S16,T16,,U16)</f>
        <v>住宅2087年8月8日</v>
      </c>
      <c r="L17" s="1725"/>
      <c r="M17" s="1725"/>
      <c r="N17" s="1697"/>
      <c r="O17" s="1698"/>
      <c r="P17" s="1697"/>
      <c r="Q17" s="1697"/>
      <c r="R17" s="1697"/>
      <c r="S17" s="1697"/>
      <c r="T17" s="1697"/>
      <c r="U17" s="1697"/>
    </row>
    <row r="18" spans="1:21">
      <c r="A18" s="1765"/>
      <c r="B18" s="1685"/>
      <c r="C18" s="1686" t="s">
        <v>1960</v>
      </c>
      <c r="D18" s="1687">
        <v>70</v>
      </c>
      <c r="E18" s="1687"/>
      <c r="F18" s="1687"/>
      <c r="G18" s="1687"/>
      <c r="H18" s="1687"/>
      <c r="I18" s="1687"/>
      <c r="J18" s="1697"/>
      <c r="K18" s="1776"/>
      <c r="L18" s="1725"/>
      <c r="M18" s="1725"/>
      <c r="N18" s="1697"/>
      <c r="O18" s="1698"/>
      <c r="P18" s="1697"/>
      <c r="Q18" s="1697"/>
      <c r="R18" s="1697"/>
      <c r="S18" s="1697"/>
      <c r="T18" s="1697"/>
      <c r="U18" s="1697"/>
    </row>
    <row r="19" spans="1:21">
      <c r="A19" s="1765"/>
      <c r="B19" s="1685"/>
      <c r="C19" s="1663" t="s">
        <v>1961</v>
      </c>
      <c r="D19" s="1760">
        <f>IF(B16="出让",IF(D17="","",ROUNDDOWN(MIN((D17-$D$3)/365,D18),2)),D18)</f>
        <v>69.86</v>
      </c>
      <c r="E19" s="1688" t="str">
        <f>IF(B16="出让",IF(E17="","",ROUNDDOWN(MIN((E17-$D$3)/365,E18),2)),E18)</f>
        <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6"/>
      <c r="L19" s="1725"/>
      <c r="M19" s="1725"/>
      <c r="N19" s="1697"/>
      <c r="O19" s="1698"/>
      <c r="P19" s="1697"/>
      <c r="Q19" s="1697"/>
      <c r="R19" s="1697"/>
      <c r="S19" s="1697"/>
      <c r="T19" s="1697"/>
      <c r="U19" s="1697"/>
    </row>
    <row r="20" spans="1:21">
      <c r="A20" s="1788"/>
      <c r="B20" s="1789"/>
      <c r="C20" s="1790" t="s">
        <v>2064</v>
      </c>
      <c r="D20" s="3244" t="s">
        <v>2990</v>
      </c>
      <c r="E20" s="3245"/>
      <c r="F20" s="3245"/>
      <c r="G20" s="3245"/>
      <c r="H20" s="3245"/>
      <c r="I20" s="3246"/>
      <c r="J20" s="1697"/>
      <c r="K20" s="1776"/>
      <c r="L20" s="1725"/>
      <c r="M20" s="1725"/>
      <c r="N20" s="1697"/>
      <c r="O20" s="1698"/>
      <c r="P20" s="1697"/>
      <c r="Q20" s="1697"/>
      <c r="R20" s="1697"/>
      <c r="S20" s="1697"/>
      <c r="T20" s="1697"/>
      <c r="U20" s="1697"/>
    </row>
    <row r="21" spans="1:21">
      <c r="A21" s="1765" t="s">
        <v>1962</v>
      </c>
      <c r="B21" s="1766" t="s">
        <v>1963</v>
      </c>
      <c r="C21" s="1761">
        <f>'数据-汇总表'!E3</f>
        <v>114058.41</v>
      </c>
      <c r="D21" s="1762" t="s">
        <v>1964</v>
      </c>
      <c r="E21" s="3234" t="s">
        <v>2002</v>
      </c>
      <c r="F21" s="3235"/>
      <c r="G21" s="3235"/>
      <c r="H21" s="3235"/>
      <c r="I21" s="3236"/>
      <c r="J21" s="1697"/>
      <c r="K21" s="1776"/>
      <c r="L21" s="1725"/>
      <c r="M21" s="1725"/>
      <c r="N21" s="1697"/>
      <c r="O21" s="1698"/>
      <c r="P21" s="1697"/>
      <c r="Q21" s="1697"/>
      <c r="R21" s="1697"/>
      <c r="S21" s="1697"/>
      <c r="T21" s="1697"/>
      <c r="U21" s="1697"/>
    </row>
    <row r="22" spans="1:21">
      <c r="A22" s="2665" t="s">
        <v>953</v>
      </c>
      <c r="B22" s="1664" t="s">
        <v>1965</v>
      </c>
      <c r="C22" s="1689">
        <f>'数据-汇总表'!D3</f>
        <v>54313.53</v>
      </c>
      <c r="D22" s="1690" t="s">
        <v>1964</v>
      </c>
      <c r="E22" s="3234" t="s">
        <v>2991</v>
      </c>
      <c r="F22" s="3235"/>
      <c r="G22" s="3235"/>
      <c r="H22" s="3235"/>
      <c r="I22" s="3236"/>
      <c r="J22" s="1697"/>
      <c r="K22" s="1776"/>
      <c r="L22" s="1725"/>
      <c r="M22" s="1725"/>
      <c r="N22" s="1697"/>
      <c r="O22" s="1698"/>
      <c r="P22" s="1697"/>
      <c r="Q22" s="1697"/>
      <c r="R22" s="1697"/>
      <c r="S22" s="1697"/>
      <c r="T22" s="1697"/>
      <c r="U22" s="1697"/>
    </row>
    <row r="23" spans="1:21" ht="43.5" thickBot="1">
      <c r="A23" s="1767" t="s">
        <v>1966</v>
      </c>
      <c r="B23" s="1704" t="s">
        <v>1967</v>
      </c>
      <c r="C23" s="1705" t="s">
        <v>2993</v>
      </c>
      <c r="D23" s="1706" t="s">
        <v>1968</v>
      </c>
      <c r="E23" s="1707" t="s">
        <v>2993</v>
      </c>
      <c r="F23" s="1708" t="str">
        <f>IF(AND(C23="是",E23="否"),"是否提供他项权证或相关说明","")</f>
        <v/>
      </c>
      <c r="G23" s="1709"/>
      <c r="H23" s="1697"/>
      <c r="I23" s="1710"/>
      <c r="J23" s="1697"/>
      <c r="K23" s="1776"/>
      <c r="L23" s="1725"/>
      <c r="M23" s="1725"/>
      <c r="N23" s="1697"/>
      <c r="O23" s="1698"/>
      <c r="P23" s="1697"/>
      <c r="Q23" s="1697"/>
      <c r="R23" s="1697"/>
      <c r="S23" s="1697"/>
      <c r="T23" s="1697"/>
      <c r="U23" s="1697"/>
    </row>
    <row r="24" spans="1:21">
      <c r="A24" s="1752" t="s">
        <v>1969</v>
      </c>
      <c r="B24" s="3237" t="s">
        <v>1970</v>
      </c>
      <c r="C24" s="3238"/>
      <c r="D24" s="3239" t="s">
        <v>1971</v>
      </c>
      <c r="E24" s="3240"/>
      <c r="F24" s="1711" t="s">
        <v>1972</v>
      </c>
      <c r="G24" s="1697"/>
      <c r="H24" s="1697"/>
      <c r="I24" s="1710"/>
      <c r="J24" s="1697"/>
      <c r="K24" s="3225" t="s">
        <v>1973</v>
      </c>
      <c r="L24" s="2484"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5"/>
      <c r="N24" s="1697"/>
      <c r="O24" s="1698"/>
      <c r="P24" s="1697"/>
      <c r="Q24" s="1697"/>
      <c r="R24" s="1697"/>
      <c r="S24" s="1697"/>
      <c r="T24" s="1697"/>
      <c r="U24" s="1697"/>
    </row>
    <row r="25" spans="1:21" ht="28.5">
      <c r="A25" s="1753"/>
      <c r="B25" s="1750" t="s">
        <v>2329</v>
      </c>
      <c r="C25" s="1712" t="s">
        <v>1974</v>
      </c>
      <c r="D25" s="1713"/>
      <c r="E25" s="1714" t="s">
        <v>953</v>
      </c>
      <c r="F25" s="1715"/>
      <c r="G25" s="1697"/>
      <c r="H25" s="1697"/>
      <c r="I25" s="1710"/>
      <c r="J25" s="1697"/>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7"/>
      <c r="O25" s="1698"/>
      <c r="P25" s="1697"/>
      <c r="Q25" s="1697"/>
      <c r="R25" s="1697"/>
      <c r="S25" s="1697"/>
      <c r="T25" s="1697"/>
      <c r="U25" s="1697"/>
    </row>
    <row r="26" spans="1:21" ht="29.25" thickBot="1">
      <c r="A26" s="1754"/>
      <c r="B26" s="1751" t="s">
        <v>1975</v>
      </c>
      <c r="C26" s="1712" t="s">
        <v>953</v>
      </c>
      <c r="D26" s="1663"/>
      <c r="E26" s="1663"/>
      <c r="F26" s="1691"/>
      <c r="G26" s="1697"/>
      <c r="H26" s="1697"/>
      <c r="I26" s="1710"/>
      <c r="J26" s="1697"/>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7"/>
      <c r="O26" s="1698"/>
      <c r="P26" s="1697"/>
      <c r="Q26" s="1697"/>
      <c r="R26" s="1697"/>
      <c r="S26" s="1697"/>
      <c r="T26" s="1697"/>
      <c r="U26" s="1697"/>
    </row>
    <row r="27" spans="1:21">
      <c r="A27" s="1757" t="s">
        <v>1976</v>
      </c>
      <c r="B27" s="1755" t="s">
        <v>1977</v>
      </c>
      <c r="C27" s="1716"/>
      <c r="D27" s="2679" t="s">
        <v>1977</v>
      </c>
      <c r="E27" s="1717"/>
      <c r="F27" s="1691"/>
      <c r="G27" s="1697"/>
      <c r="H27" s="1697"/>
      <c r="I27" s="1710"/>
      <c r="J27" s="1697"/>
      <c r="K27" s="1776"/>
      <c r="L27" s="1725"/>
      <c r="M27" s="1725"/>
      <c r="N27" s="1697"/>
      <c r="O27" s="1698"/>
      <c r="P27" s="1697"/>
      <c r="Q27" s="1697"/>
      <c r="R27" s="1697"/>
      <c r="S27" s="1697"/>
      <c r="T27" s="1697"/>
      <c r="U27" s="1697"/>
    </row>
    <row r="28" spans="1:21">
      <c r="A28" s="1758"/>
      <c r="B28" s="1755" t="s">
        <v>1978</v>
      </c>
      <c r="C28" s="1718"/>
      <c r="D28" s="2680" t="s">
        <v>1978</v>
      </c>
      <c r="E28" s="1719"/>
      <c r="F28" s="1691"/>
      <c r="G28" s="1697"/>
      <c r="H28" s="1697"/>
      <c r="I28" s="1710"/>
      <c r="J28" s="1697"/>
      <c r="K28" s="1776"/>
      <c r="L28" s="1725"/>
      <c r="M28" s="1725"/>
      <c r="N28" s="1697"/>
      <c r="O28" s="1698"/>
      <c r="P28" s="1697"/>
      <c r="Q28" s="1697"/>
      <c r="R28" s="1697"/>
      <c r="S28" s="1697"/>
      <c r="T28" s="1697"/>
      <c r="U28" s="1697"/>
    </row>
    <row r="29" spans="1:21">
      <c r="A29" s="1758"/>
      <c r="B29" s="1755" t="s">
        <v>1979</v>
      </c>
      <c r="C29" s="1718"/>
      <c r="D29" s="2680" t="s">
        <v>1979</v>
      </c>
      <c r="E29" s="1719"/>
      <c r="F29" s="1691"/>
      <c r="G29" s="1697"/>
      <c r="H29" s="1697"/>
      <c r="I29" s="1710"/>
      <c r="J29" s="1697"/>
      <c r="K29" s="1776"/>
      <c r="L29" s="1725"/>
      <c r="M29" s="1725"/>
      <c r="N29" s="1697"/>
      <c r="O29" s="1698"/>
      <c r="P29" s="1697"/>
      <c r="Q29" s="1697"/>
      <c r="R29" s="1697"/>
      <c r="S29" s="1697"/>
      <c r="T29" s="1697"/>
      <c r="U29" s="1697"/>
    </row>
    <row r="30" spans="1:21" ht="15" thickBot="1">
      <c r="A30" s="1759"/>
      <c r="B30" s="1756" t="s">
        <v>1980</v>
      </c>
      <c r="C30" s="1720"/>
      <c r="D30" s="2681" t="s">
        <v>1980</v>
      </c>
      <c r="E30" s="1721"/>
      <c r="F30" s="1692"/>
      <c r="G30" s="1744"/>
      <c r="H30" s="1744"/>
      <c r="I30" s="1745"/>
      <c r="J30" s="1697"/>
      <c r="K30" s="1776"/>
      <c r="L30" s="1725"/>
      <c r="M30" s="1725"/>
      <c r="N30" s="1697"/>
      <c r="O30" s="1698"/>
      <c r="P30" s="1697"/>
      <c r="Q30" s="1697"/>
      <c r="R30" s="1697"/>
      <c r="S30" s="1697"/>
      <c r="T30" s="1697"/>
      <c r="U30" s="1697"/>
    </row>
    <row r="31" spans="1:21" ht="15" thickTop="1">
      <c r="A31" s="3211" t="s">
        <v>2005</v>
      </c>
      <c r="B31" s="1766" t="s">
        <v>2006</v>
      </c>
      <c r="C31" s="3250" t="s">
        <v>2992</v>
      </c>
      <c r="D31" s="3251"/>
      <c r="E31" s="1697"/>
      <c r="F31" s="1697"/>
      <c r="G31" s="1697"/>
      <c r="H31" s="1697"/>
      <c r="I31" s="1710"/>
      <c r="J31" s="1697"/>
      <c r="K31" s="2485"/>
      <c r="L31" s="1697"/>
      <c r="M31" s="1697"/>
      <c r="N31" s="1697"/>
      <c r="O31" s="1697"/>
      <c r="P31" s="1697"/>
      <c r="Q31" s="1697"/>
      <c r="R31" s="1697"/>
      <c r="S31" s="1697"/>
      <c r="T31" s="1697"/>
      <c r="U31" s="1697"/>
    </row>
    <row r="32" spans="1:21">
      <c r="A32" s="3211"/>
      <c r="B32" s="1664" t="s">
        <v>2007</v>
      </c>
      <c r="C32" s="3182" t="s">
        <v>3102</v>
      </c>
      <c r="D32" s="1722"/>
      <c r="E32" s="1697"/>
      <c r="F32" s="1697"/>
      <c r="G32" s="1697"/>
      <c r="H32" s="1697"/>
      <c r="I32" s="1710"/>
      <c r="J32" s="1697"/>
      <c r="K32" s="2485"/>
      <c r="L32" s="1697"/>
      <c r="M32" s="1697"/>
      <c r="N32" s="1697"/>
      <c r="O32" s="1697"/>
      <c r="P32" s="1697"/>
      <c r="Q32" s="1697"/>
      <c r="R32" s="1697"/>
      <c r="S32" s="1697"/>
      <c r="T32" s="1697"/>
      <c r="U32" s="1697"/>
    </row>
    <row r="33" spans="1:21">
      <c r="A33" s="3211"/>
      <c r="B33" s="1664" t="s">
        <v>2008</v>
      </c>
      <c r="C33" s="1723" t="s">
        <v>2993</v>
      </c>
      <c r="D33" s="1840"/>
      <c r="E33" s="1697"/>
      <c r="F33" s="1697"/>
      <c r="G33" s="1697"/>
      <c r="H33" s="1697"/>
      <c r="I33" s="1710"/>
      <c r="J33" s="1697"/>
      <c r="K33" s="2485"/>
      <c r="L33" s="1697"/>
      <c r="M33" s="1697"/>
      <c r="N33" s="1697"/>
      <c r="O33" s="1697"/>
      <c r="P33" s="1697"/>
      <c r="Q33" s="1697"/>
      <c r="R33" s="1697"/>
      <c r="S33" s="1697"/>
      <c r="T33" s="1697"/>
      <c r="U33" s="1697"/>
    </row>
    <row r="34" spans="1:21">
      <c r="A34" s="3212"/>
      <c r="B34" s="1664" t="s">
        <v>2009</v>
      </c>
      <c r="C34" s="3213"/>
      <c r="D34" s="3214"/>
      <c r="E34" s="1697"/>
      <c r="F34" s="1697"/>
      <c r="G34" s="1697"/>
      <c r="H34" s="1697"/>
      <c r="I34" s="1710"/>
      <c r="J34" s="1697"/>
      <c r="K34" s="2485"/>
      <c r="L34" s="1697"/>
      <c r="M34" s="1697"/>
      <c r="N34" s="1697"/>
      <c r="O34" s="1697"/>
      <c r="P34" s="1697"/>
      <c r="Q34" s="1697"/>
      <c r="R34" s="1697"/>
      <c r="S34" s="1697"/>
      <c r="T34" s="1697"/>
      <c r="U34" s="1697"/>
    </row>
    <row r="35" spans="1:21">
      <c r="A35" s="3215" t="s">
        <v>848</v>
      </c>
      <c r="B35" s="1724" t="s">
        <v>2994</v>
      </c>
      <c r="C35" s="1778" t="str">
        <f>IF(B35="场地平整","——","具体情况：")</f>
        <v>——</v>
      </c>
      <c r="D35" s="3217"/>
      <c r="E35" s="3218"/>
      <c r="F35" s="3218"/>
      <c r="G35" s="3218"/>
      <c r="H35" s="3218"/>
      <c r="I35" s="3219"/>
      <c r="J35" s="1697"/>
      <c r="K35" s="1777"/>
      <c r="L35" s="1725"/>
      <c r="M35" s="1725"/>
      <c r="N35" s="1697"/>
      <c r="O35" s="1698"/>
      <c r="P35" s="1697"/>
      <c r="Q35" s="1697"/>
      <c r="R35" s="1697"/>
      <c r="S35" s="1697"/>
      <c r="T35" s="1697"/>
      <c r="U35" s="1697"/>
    </row>
    <row r="36" spans="1:21">
      <c r="A36" s="3211"/>
      <c r="B36" s="3220" t="s">
        <v>2058</v>
      </c>
      <c r="C36" s="3221"/>
      <c r="D36" s="1794" t="s">
        <v>2995</v>
      </c>
      <c r="E36" s="3222"/>
      <c r="F36" s="3222"/>
      <c r="G36" s="1690" t="str">
        <f>IF(B35="场地未平整","估价结果处理","")</f>
        <v/>
      </c>
      <c r="H36" s="3223"/>
      <c r="I36" s="3223"/>
      <c r="J36" s="1697"/>
      <c r="K36" s="1777"/>
      <c r="L36" s="1725"/>
      <c r="M36" s="1725"/>
      <c r="N36" s="1697"/>
      <c r="O36" s="1698"/>
      <c r="P36" s="1697"/>
      <c r="Q36" s="1697"/>
      <c r="R36" s="1697"/>
      <c r="S36" s="1697"/>
      <c r="T36" s="1697"/>
      <c r="U36" s="1697"/>
    </row>
    <row r="37" spans="1:21" ht="28.5">
      <c r="A37" s="3211"/>
      <c r="B37" s="3241" t="s">
        <v>849</v>
      </c>
      <c r="C37" s="1726" t="s">
        <v>850</v>
      </c>
      <c r="D37" s="1727">
        <v>43232</v>
      </c>
      <c r="E37" s="1728"/>
      <c r="F37" s="1697"/>
      <c r="G37" s="1697"/>
      <c r="H37" s="1697"/>
      <c r="I37" s="1710"/>
      <c r="J37" s="1697"/>
      <c r="K37" s="1777"/>
      <c r="L37" s="1697"/>
      <c r="M37" s="1697"/>
      <c r="N37" s="1697"/>
      <c r="O37" s="1697"/>
      <c r="P37" s="1697"/>
      <c r="Q37" s="1697"/>
      <c r="R37" s="1697"/>
      <c r="S37" s="1697"/>
      <c r="T37" s="1697"/>
      <c r="U37" s="1697"/>
    </row>
    <row r="38" spans="1:21">
      <c r="A38" s="3211"/>
      <c r="B38" s="3242"/>
      <c r="C38" s="1672" t="s">
        <v>851</v>
      </c>
      <c r="D38" s="1793">
        <f>ROUNDDOWN(MIN(('数据-取费表'!$B$2-D37)/365,D34),1)</f>
        <v>-0.5</v>
      </c>
      <c r="E38" s="1729" t="s">
        <v>852</v>
      </c>
      <c r="F38" s="1697"/>
      <c r="G38" s="1697"/>
      <c r="H38" s="1697"/>
      <c r="I38" s="1710"/>
      <c r="J38" s="1697"/>
      <c r="K38" s="1777"/>
      <c r="L38" s="1697"/>
      <c r="M38" s="1697"/>
      <c r="N38" s="1697"/>
      <c r="O38" s="1697"/>
      <c r="P38" s="1697"/>
      <c r="Q38" s="1697"/>
      <c r="R38" s="1697"/>
      <c r="S38" s="1697"/>
      <c r="T38" s="1697"/>
      <c r="U38" s="1697"/>
    </row>
    <row r="39" spans="1:21">
      <c r="A39" s="3212"/>
      <c r="B39" s="3243"/>
      <c r="C39" s="1700" t="str">
        <f>IF(D38&lt;1,"不存在土地闲置",IF(B35="宗地内已开工建设","已开工，不存在土地闲置","估价对象已涉嫌土地闲置"))</f>
        <v>不存在土地闲置</v>
      </c>
      <c r="D39" s="1730"/>
      <c r="E39" s="1731"/>
      <c r="F39" s="1697"/>
      <c r="G39" s="1697"/>
      <c r="H39" s="1697"/>
      <c r="I39" s="1710"/>
      <c r="J39" s="1697"/>
      <c r="K39" s="1776"/>
      <c r="L39" s="1725"/>
      <c r="M39" s="1725"/>
      <c r="N39" s="1697"/>
      <c r="O39" s="1698"/>
      <c r="P39" s="1697"/>
      <c r="Q39" s="1697"/>
      <c r="R39" s="1697"/>
      <c r="S39" s="1697"/>
      <c r="T39" s="1697"/>
      <c r="U39" s="1697"/>
    </row>
    <row r="40" spans="1:21">
      <c r="A40" s="1690" t="s">
        <v>1981</v>
      </c>
      <c r="B40" s="1693" t="s">
        <v>2996</v>
      </c>
      <c r="C40" s="1693" t="s">
        <v>2997</v>
      </c>
      <c r="D40" s="1693" t="s">
        <v>2998</v>
      </c>
      <c r="E40" s="1693" t="s">
        <v>2999</v>
      </c>
      <c r="F40" s="1693" t="s">
        <v>3000</v>
      </c>
      <c r="G40" s="1693" t="s">
        <v>953</v>
      </c>
      <c r="H40" s="1693" t="s">
        <v>3001</v>
      </c>
      <c r="I40" s="1710"/>
      <c r="J40" s="1697"/>
      <c r="K40" s="1732">
        <f>COUNTIF(B40:H40,"——")</f>
        <v>1</v>
      </c>
      <c r="L40" s="1702" t="s">
        <v>1982</v>
      </c>
      <c r="M40" s="1699" t="s">
        <v>1983</v>
      </c>
      <c r="N40" s="1699" t="s">
        <v>1984</v>
      </c>
      <c r="O40" s="1699" t="s">
        <v>1985</v>
      </c>
      <c r="P40" s="1699" t="s">
        <v>1986</v>
      </c>
      <c r="Q40" s="1699" t="s">
        <v>1987</v>
      </c>
      <c r="R40" s="1699" t="s">
        <v>1988</v>
      </c>
      <c r="S40" s="3224" t="s">
        <v>1989</v>
      </c>
      <c r="T40" s="1733" t="str">
        <f>NUMBERSTRING(7-K40,1)&amp;"通"</f>
        <v>六通</v>
      </c>
      <c r="U40" s="1697"/>
    </row>
    <row r="41" spans="1:21">
      <c r="A41" s="1666"/>
      <c r="B41" s="3216" t="s">
        <v>1723</v>
      </c>
      <c r="C41" s="3216"/>
      <c r="D41" s="3216"/>
      <c r="E41" s="3216"/>
      <c r="F41" s="1734" t="str">
        <f>C10</f>
        <v>郑州市</v>
      </c>
      <c r="G41" s="1697"/>
      <c r="H41" s="1697"/>
      <c r="I41" s="1710"/>
      <c r="J41" s="1697"/>
      <c r="K41" s="1702"/>
      <c r="L41" s="1699"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v>
      </c>
      <c r="R41" s="1736" t="str">
        <f>B40&amp;"、"&amp;C40&amp;"、"&amp;D40&amp;"、"&amp;E40&amp;"、"&amp;F40&amp;"、"&amp;G40&amp;"、"&amp;H40</f>
        <v>通路、通电、通讯、通上水、通下水、——、燃气</v>
      </c>
      <c r="S41" s="3224"/>
      <c r="T41" s="1735" t="str">
        <f>IF(T40="一通",L41,IF(T40="二通",M41,IF(T40="三通",N41,IF(T40="四通",O41,IF(T40="五通",P41,IF(T40="六通",Q41,R41))))))</f>
        <v>通路、通电、通讯、通上水、通下水、——</v>
      </c>
      <c r="U41" s="1697"/>
    </row>
    <row r="42" spans="1:21">
      <c r="A42" s="1737"/>
      <c r="B42" s="1768" t="s">
        <v>1899</v>
      </c>
      <c r="C42" s="1768" t="s">
        <v>1900</v>
      </c>
      <c r="D42" s="1768" t="s">
        <v>1901</v>
      </c>
      <c r="E42" s="1702" t="s">
        <v>1902</v>
      </c>
      <c r="F42" s="1738" t="s">
        <v>3037</v>
      </c>
      <c r="G42" s="1697"/>
      <c r="H42" s="1697"/>
      <c r="I42" s="1710"/>
      <c r="J42" s="1697"/>
      <c r="K42" s="1776"/>
      <c r="L42" s="1725"/>
      <c r="M42" s="1725"/>
      <c r="N42" s="1697"/>
      <c r="O42" s="1698"/>
      <c r="P42" s="1697"/>
      <c r="Q42" s="1697"/>
      <c r="R42" s="1697"/>
      <c r="S42" s="1697"/>
      <c r="T42" s="1697"/>
      <c r="U42" s="1697"/>
    </row>
    <row r="43" spans="1:21">
      <c r="A43" s="1739" t="s">
        <v>1708</v>
      </c>
      <c r="B43" s="1740"/>
      <c r="C43" s="1740"/>
      <c r="D43" s="1740"/>
      <c r="E43" s="1740"/>
      <c r="F43" s="1741" t="s">
        <v>3106</v>
      </c>
      <c r="G43" s="1697"/>
      <c r="H43" s="1697"/>
      <c r="I43" s="1710"/>
      <c r="J43" s="1697"/>
      <c r="K43" s="1776"/>
      <c r="L43" s="1725"/>
      <c r="M43" s="1725"/>
      <c r="N43" s="1697"/>
      <c r="O43" s="1698"/>
      <c r="P43" s="1697"/>
      <c r="Q43" s="1697"/>
      <c r="R43" s="1697"/>
      <c r="S43" s="1697"/>
      <c r="T43" s="1697"/>
      <c r="U43" s="1697"/>
    </row>
    <row r="44" spans="1:21">
      <c r="A44" s="1739" t="s">
        <v>1709</v>
      </c>
      <c r="B44" s="1740"/>
      <c r="C44" s="1740"/>
      <c r="D44" s="1740"/>
      <c r="E44" s="1794"/>
      <c r="F44" s="1741"/>
      <c r="G44" s="1697"/>
      <c r="H44" s="1697"/>
      <c r="I44" s="1710"/>
      <c r="J44" s="1697"/>
      <c r="K44" s="1776"/>
      <c r="L44" s="1725"/>
      <c r="M44" s="1725"/>
      <c r="N44" s="1697"/>
      <c r="O44" s="1698"/>
      <c r="P44" s="1697"/>
      <c r="Q44" s="1697"/>
      <c r="R44" s="1697"/>
      <c r="S44" s="1697"/>
      <c r="T44" s="1697"/>
      <c r="U44" s="1697"/>
    </row>
    <row r="45" spans="1:21" s="3104" customFormat="1" ht="21" thickBot="1">
      <c r="A45" s="3105" t="s">
        <v>2898</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7"/>
      <c r="B46" s="1697"/>
      <c r="C46" s="1697"/>
      <c r="D46" s="1697"/>
      <c r="E46" s="1697"/>
      <c r="F46" s="1697"/>
      <c r="G46" s="1697"/>
      <c r="H46" s="1697"/>
      <c r="I46" s="1710"/>
      <c r="J46" s="1697"/>
      <c r="K46" s="1776"/>
      <c r="L46" s="1725"/>
      <c r="M46" s="1725"/>
      <c r="N46" s="1697"/>
      <c r="O46" s="1698"/>
      <c r="P46" s="1697"/>
      <c r="Q46" s="1697"/>
      <c r="R46" s="1697"/>
      <c r="S46" s="1697"/>
      <c r="T46" s="1697"/>
      <c r="U46" s="1697"/>
    </row>
    <row r="47" spans="1:21">
      <c r="A47" s="1742" t="s">
        <v>2010</v>
      </c>
      <c r="B47" s="1743"/>
      <c r="C47" s="1731"/>
      <c r="D47" s="1697"/>
      <c r="E47" s="1697"/>
      <c r="F47" s="1697"/>
      <c r="G47" s="1697"/>
      <c r="H47" s="1697"/>
      <c r="I47" s="1698"/>
      <c r="J47" s="1697"/>
      <c r="K47" s="1776"/>
      <c r="L47" s="1725"/>
      <c r="M47" s="1725"/>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4" t="s">
        <v>2020</v>
      </c>
      <c r="K48" s="1768" t="s">
        <v>2021</v>
      </c>
      <c r="L48" s="1768" t="s">
        <v>2022</v>
      </c>
      <c r="M48" s="1768" t="s">
        <v>2023</v>
      </c>
      <c r="N48" s="1689" t="s">
        <v>2024</v>
      </c>
      <c r="O48" s="1689" t="s">
        <v>2025</v>
      </c>
      <c r="P48" s="1689" t="s">
        <v>2026</v>
      </c>
      <c r="Q48" s="1702" t="s">
        <v>2027</v>
      </c>
      <c r="R48" s="1702" t="s">
        <v>2028</v>
      </c>
      <c r="S48" s="1697"/>
      <c r="T48" s="1697"/>
      <c r="U48" s="1697"/>
    </row>
    <row r="49" spans="1:21">
      <c r="A49" s="1699"/>
      <c r="B49" s="1732"/>
      <c r="C49" s="1732"/>
      <c r="D49" s="1732"/>
      <c r="E49" s="1732"/>
      <c r="F49" s="1732"/>
      <c r="G49" s="1732"/>
      <c r="H49" s="1732"/>
      <c r="I49" s="1732"/>
      <c r="J49" s="1841"/>
      <c r="K49" s="1842"/>
      <c r="L49" s="1842"/>
      <c r="M49" s="1732"/>
      <c r="N49" s="1732"/>
      <c r="O49" s="1732"/>
      <c r="P49" s="1732"/>
      <c r="Q49" s="1732"/>
      <c r="R49" s="1732"/>
      <c r="S49" s="1697"/>
      <c r="T49" s="1697"/>
      <c r="U49" s="1697"/>
    </row>
    <row r="50" spans="1:21">
      <c r="A50" s="1699"/>
      <c r="B50" s="1699"/>
      <c r="C50" s="1732"/>
      <c r="D50" s="1732"/>
      <c r="E50" s="1732"/>
      <c r="F50" s="1732"/>
      <c r="G50" s="1732"/>
      <c r="H50" s="1732"/>
      <c r="I50" s="1732"/>
      <c r="J50" s="1841"/>
      <c r="K50" s="1842"/>
      <c r="L50" s="1842"/>
      <c r="M50" s="1732"/>
      <c r="N50" s="1732"/>
      <c r="O50" s="1732"/>
      <c r="P50" s="1732"/>
      <c r="Q50" s="1732"/>
      <c r="R50" s="1732"/>
      <c r="S50" s="1697"/>
      <c r="T50" s="1697"/>
      <c r="U50" s="1697"/>
    </row>
    <row r="51" spans="1:21">
      <c r="A51" s="1699"/>
      <c r="B51" s="1699"/>
      <c r="C51" s="1732"/>
      <c r="D51" s="1732"/>
      <c r="E51" s="1732"/>
      <c r="F51" s="1732"/>
      <c r="G51" s="1732"/>
      <c r="H51" s="1732"/>
      <c r="I51" s="1732"/>
      <c r="J51" s="1841"/>
      <c r="K51" s="1842"/>
      <c r="L51" s="1842"/>
      <c r="M51" s="1732"/>
      <c r="N51" s="1732"/>
      <c r="O51" s="1732"/>
      <c r="P51" s="1732"/>
      <c r="Q51" s="1732"/>
      <c r="R51" s="1732"/>
      <c r="S51" s="1697"/>
      <c r="T51" s="1697"/>
      <c r="U51" s="1697"/>
    </row>
    <row r="52" spans="1:21">
      <c r="A52" s="1699"/>
      <c r="B52" s="1699"/>
      <c r="C52" s="1732"/>
      <c r="D52" s="1732"/>
      <c r="E52" s="1732"/>
      <c r="F52" s="1732"/>
      <c r="G52" s="1732"/>
      <c r="H52" s="1732"/>
      <c r="I52" s="1732"/>
      <c r="J52" s="1841"/>
      <c r="K52" s="1842"/>
      <c r="L52" s="1842"/>
      <c r="M52" s="1732"/>
      <c r="N52" s="1732"/>
      <c r="O52" s="1732"/>
      <c r="P52" s="1732"/>
      <c r="Q52" s="1732"/>
      <c r="R52" s="1732"/>
      <c r="S52" s="1697"/>
      <c r="T52" s="1697"/>
      <c r="U52" s="1697"/>
    </row>
    <row r="53" spans="1:21">
      <c r="A53" s="1699"/>
      <c r="B53" s="1699"/>
      <c r="C53" s="1732"/>
      <c r="D53" s="1732"/>
      <c r="E53" s="1732"/>
      <c r="F53" s="1732"/>
      <c r="G53" s="1732"/>
      <c r="H53" s="1732"/>
      <c r="I53" s="1732"/>
      <c r="J53" s="1841"/>
      <c r="K53" s="1842"/>
      <c r="L53" s="1842"/>
      <c r="M53" s="1732"/>
      <c r="N53" s="1732"/>
      <c r="O53" s="1732"/>
      <c r="P53" s="1732"/>
      <c r="Q53" s="1732"/>
      <c r="R53" s="1732"/>
      <c r="S53" s="1697"/>
      <c r="T53" s="1697"/>
      <c r="U53" s="1697"/>
    </row>
    <row r="54" spans="1:21">
      <c r="A54" s="1699"/>
      <c r="B54" s="1699"/>
      <c r="C54" s="1699"/>
      <c r="D54" s="1699"/>
      <c r="E54" s="1699"/>
      <c r="F54" s="1732"/>
      <c r="G54" s="1699"/>
      <c r="H54" s="1699"/>
      <c r="I54" s="1699"/>
      <c r="J54" s="1843"/>
      <c r="K54" s="1842"/>
      <c r="L54" s="1842"/>
      <c r="M54" s="1842"/>
      <c r="N54" s="1699"/>
      <c r="O54" s="1699"/>
      <c r="P54" s="1699"/>
      <c r="Q54" s="1699"/>
      <c r="R54" s="1699"/>
      <c r="S54" s="1697"/>
      <c r="T54" s="1697"/>
      <c r="U54" s="1697"/>
    </row>
    <row r="55" spans="1:21">
      <c r="A55" s="1699"/>
      <c r="B55" s="1699"/>
      <c r="C55" s="1699"/>
      <c r="D55" s="1699"/>
      <c r="E55" s="1699"/>
      <c r="F55" s="1732"/>
      <c r="G55" s="1699"/>
      <c r="H55" s="1699"/>
      <c r="I55" s="1699"/>
      <c r="J55" s="1843"/>
      <c r="K55" s="1842"/>
      <c r="L55" s="1842"/>
      <c r="M55" s="1842"/>
      <c r="N55" s="1699"/>
      <c r="O55" s="1699"/>
      <c r="P55" s="1699"/>
      <c r="Q55" s="1699"/>
      <c r="R55" s="1699"/>
      <c r="S55" s="1697"/>
      <c r="T55" s="1697"/>
      <c r="U55" s="1697"/>
    </row>
    <row r="56" spans="1:21">
      <c r="A56" s="1699"/>
      <c r="B56" s="1699"/>
      <c r="C56" s="1699"/>
      <c r="D56" s="1699"/>
      <c r="E56" s="1699"/>
      <c r="F56" s="1732"/>
      <c r="G56" s="1699"/>
      <c r="H56" s="1699"/>
      <c r="I56" s="1699"/>
      <c r="J56" s="1843"/>
      <c r="K56" s="1842"/>
      <c r="L56" s="1842"/>
      <c r="M56" s="1842"/>
      <c r="N56" s="1699"/>
      <c r="O56" s="1699"/>
      <c r="P56" s="1699"/>
      <c r="Q56" s="1699"/>
      <c r="R56" s="1699"/>
      <c r="S56" s="1697"/>
      <c r="T56" s="1697"/>
      <c r="U56" s="1697"/>
    </row>
    <row r="57" spans="1:21">
      <c r="A57" s="1699"/>
      <c r="B57" s="1699"/>
      <c r="C57" s="1699"/>
      <c r="D57" s="1699"/>
      <c r="E57" s="1699"/>
      <c r="F57" s="1732"/>
      <c r="G57" s="1699"/>
      <c r="H57" s="1699"/>
      <c r="I57" s="1699"/>
      <c r="J57" s="1843"/>
      <c r="K57" s="1842"/>
      <c r="L57" s="1842"/>
      <c r="M57" s="1842"/>
      <c r="N57" s="1699"/>
      <c r="O57" s="1699"/>
      <c r="P57" s="1699"/>
      <c r="Q57" s="1699"/>
      <c r="R57" s="1699"/>
      <c r="S57" s="1697"/>
      <c r="T57" s="1697"/>
      <c r="U57" s="1697"/>
    </row>
    <row r="58" spans="1:21">
      <c r="A58" s="1699"/>
      <c r="B58" s="1699"/>
      <c r="C58" s="1699"/>
      <c r="D58" s="1699"/>
      <c r="E58" s="1699"/>
      <c r="F58" s="1732"/>
      <c r="G58" s="1699"/>
      <c r="H58" s="1699"/>
      <c r="I58" s="1699"/>
      <c r="J58" s="1843"/>
      <c r="K58" s="1842"/>
      <c r="L58" s="1842"/>
      <c r="M58" s="1842"/>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2336</v>
      </c>
      <c r="BA2" s="2364" t="s">
        <v>2335</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54313.53</v>
      </c>
      <c r="B3" s="22">
        <f>IF(C3="否",G5-AT5,G5)</f>
        <v>114058.41</v>
      </c>
      <c r="C3" s="23" t="s">
        <v>1680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114058.41</v>
      </c>
      <c r="H5" s="27">
        <f t="shared" ref="H5:AT5" si="0">SUM(H13:H641)</f>
        <v>114058.41</v>
      </c>
      <c r="I5" s="27">
        <f t="shared" si="0"/>
        <v>114058.41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114058.41</v>
      </c>
      <c r="BA5" s="29">
        <f t="shared" si="1"/>
        <v>114058.41</v>
      </c>
      <c r="BB5" s="29">
        <f t="shared" si="1"/>
        <v>114058.41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54313.53</v>
      </c>
      <c r="F6" s="27" t="s">
        <v>1</v>
      </c>
      <c r="G6" s="27" t="s">
        <v>2</v>
      </c>
      <c r="H6" s="33">
        <f>SUMIF(I$12:AB$12,"总值",I6:AB6)</f>
        <v>54313.53</v>
      </c>
      <c r="I6" s="27">
        <f t="shared" ref="I6:AB6" si="2">ROUND($A$3*I5/$B$3,2)</f>
        <v>54313.53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54313.53</v>
      </c>
      <c r="AZ6" s="27" t="s">
        <v>3</v>
      </c>
      <c r="BA6" s="27">
        <f>ROUND($AY$6*BA5/$AZ$5,2)</f>
        <v>54313.53</v>
      </c>
      <c r="BB6" s="27">
        <f>ROUND($AY$6*BB5/$AZ$5,2)</f>
        <v>54313.53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0" t="s">
        <v>3002</v>
      </c>
      <c r="J9" s="51"/>
      <c r="K9" s="3050"/>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0" t="s">
        <v>924</v>
      </c>
      <c r="J10" s="51"/>
      <c r="K10" s="3052"/>
      <c r="L10" s="51"/>
      <c r="M10" s="3052"/>
      <c r="N10" s="51"/>
      <c r="O10" s="66"/>
      <c r="P10" s="51"/>
      <c r="Q10" s="66"/>
      <c r="R10" s="51"/>
      <c r="S10" s="66"/>
      <c r="T10" s="51"/>
      <c r="U10" s="66"/>
      <c r="V10" s="51"/>
      <c r="W10" s="66"/>
      <c r="X10" s="51"/>
      <c r="Y10" s="66"/>
      <c r="Z10" s="51"/>
      <c r="AA10" s="66"/>
      <c r="AB10" s="51"/>
      <c r="AC10" s="55"/>
      <c r="AD10" s="2317" t="s">
        <v>2321</v>
      </c>
      <c r="AE10" s="2339"/>
      <c r="AF10" s="2317" t="s">
        <v>2321</v>
      </c>
      <c r="AG10" s="2339"/>
      <c r="AH10" s="2317" t="s">
        <v>2322</v>
      </c>
      <c r="AI10" s="2339"/>
      <c r="AJ10" s="26" t="s">
        <v>2334</v>
      </c>
      <c r="AK10" s="2336"/>
      <c r="AL10" s="2317" t="s">
        <v>2323</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1" t="s">
        <v>3003</v>
      </c>
      <c r="J11" s="71"/>
      <c r="K11" s="3051"/>
      <c r="L11" s="71"/>
      <c r="M11" s="70"/>
      <c r="N11" s="71"/>
      <c r="O11" s="70"/>
      <c r="P11" s="71"/>
      <c r="Q11" s="70"/>
      <c r="R11" s="71"/>
      <c r="S11" s="70"/>
      <c r="T11" s="71"/>
      <c r="U11" s="70"/>
      <c r="V11" s="71"/>
      <c r="W11" s="70"/>
      <c r="X11" s="71"/>
      <c r="Y11" s="70"/>
      <c r="Z11" s="71"/>
      <c r="AA11" s="70"/>
      <c r="AB11" s="71"/>
      <c r="AC11" s="55"/>
      <c r="AD11" s="2337" t="s">
        <v>2333</v>
      </c>
      <c r="AE11" s="1005"/>
      <c r="AF11" s="2337" t="s">
        <v>2333</v>
      </c>
      <c r="AG11" s="1005"/>
      <c r="AH11" s="2337" t="s">
        <v>2332</v>
      </c>
      <c r="AI11" s="2338"/>
      <c r="AJ11" s="2337" t="s">
        <v>2332</v>
      </c>
      <c r="AK11" s="2336"/>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5"/>
      <c r="B13" s="3045"/>
      <c r="C13" s="3045" t="s">
        <v>3005</v>
      </c>
      <c r="D13" s="3046" t="s">
        <v>1680</v>
      </c>
      <c r="E13" s="27">
        <f t="shared" ref="E13:E20" si="6">IF($C$3="是",ROUND($A$3*G13/$B$3,2),ROUND($A$3*(G13-AT13)/$B$3,2))</f>
        <v>54313.53</v>
      </c>
      <c r="F13" s="81"/>
      <c r="G13" s="82">
        <f t="shared" ref="G13:G20" si="7">H13+AC13+AT13</f>
        <v>114058.41</v>
      </c>
      <c r="H13" s="33">
        <f t="shared" ref="H13:H20" si="8">SUMIF(I$12:AB$12,"总值",I13:AB13)</f>
        <v>114058.41</v>
      </c>
      <c r="I13" s="3049">
        <f>ROUND(A3*2.1,2)</f>
        <v>114058.41</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高层住宅</v>
      </c>
      <c r="AY13" s="999">
        <f t="shared" ref="AY13:AY20" si="11">ROUND($AY$6*AZ13/$AZ$5,2)</f>
        <v>54313.53</v>
      </c>
      <c r="AZ13" s="27">
        <f t="shared" ref="AZ13:AZ20" si="12">BA13+BL13</f>
        <v>114058.41</v>
      </c>
      <c r="BA13" s="27">
        <f t="shared" ref="BA13:BA20" si="13">SUM(BB13:BK13)</f>
        <v>114058.41</v>
      </c>
      <c r="BB13" s="27">
        <f t="shared" ref="BB13:BB20" si="14">IF($D13="是",I13-J13,0)</f>
        <v>114058.41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c r="D14" s="3046"/>
      <c r="E14" s="27">
        <f t="shared" si="6"/>
        <v>0</v>
      </c>
      <c r="F14" s="81"/>
      <c r="G14" s="82">
        <f t="shared" si="7"/>
        <v>0</v>
      </c>
      <c r="H14" s="33">
        <f t="shared" si="8"/>
        <v>0</v>
      </c>
      <c r="I14" s="3049"/>
      <c r="J14" s="3049"/>
      <c r="K14" s="3049"/>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63" t="s">
        <v>203</v>
      </c>
      <c r="B2" s="3263"/>
      <c r="C2" s="3263"/>
      <c r="D2" s="1978" t="s">
        <v>204</v>
      </c>
      <c r="E2" s="106" t="s">
        <v>205</v>
      </c>
      <c r="F2" s="1987"/>
      <c r="G2" s="1201"/>
      <c r="H2" s="1202"/>
      <c r="I2" s="1203" t="s">
        <v>858</v>
      </c>
      <c r="J2" s="1987"/>
      <c r="K2" s="1987"/>
      <c r="L2" s="1987"/>
    </row>
    <row r="3" spans="1:16" ht="15.75" thickBot="1">
      <c r="A3" s="3264" t="s">
        <v>206</v>
      </c>
      <c r="B3" s="3264"/>
      <c r="C3" s="3264"/>
      <c r="D3" s="107">
        <f>'数据-基础表'!AY6</f>
        <v>54313.53</v>
      </c>
      <c r="E3" s="107">
        <f>'数据-基础表'!AZ5</f>
        <v>114058.41</v>
      </c>
      <c r="F3" s="1987"/>
      <c r="G3" s="280" t="s">
        <v>859</v>
      </c>
      <c r="H3" s="275" t="s">
        <v>860</v>
      </c>
      <c r="I3" s="1979">
        <f>ROUND('数据-基础表'!B3/'数据-基础表'!A3,2)</f>
        <v>2.1</v>
      </c>
      <c r="J3" s="1987"/>
      <c r="K3" s="1987"/>
      <c r="L3" s="1987"/>
    </row>
    <row r="4" spans="1:16" ht="15">
      <c r="A4" s="3265"/>
      <c r="B4" s="3266"/>
      <c r="C4" s="3267"/>
      <c r="D4" s="108" t="s">
        <v>204</v>
      </c>
      <c r="E4" s="109" t="s">
        <v>205</v>
      </c>
      <c r="F4" s="1987"/>
      <c r="G4" s="1204"/>
      <c r="H4" s="275" t="s">
        <v>861</v>
      </c>
      <c r="I4" s="1979">
        <f>ROUND(SUMIF('数据-基础表'!I9:AS9,"地上",'数据-基础表'!I5:AS5)/'数据-基础表'!A3,2)</f>
        <v>2.1</v>
      </c>
      <c r="J4" s="1987"/>
      <c r="K4" s="1987"/>
      <c r="L4" s="1987"/>
    </row>
    <row r="5" spans="1:16">
      <c r="A5" s="110" t="s">
        <v>207</v>
      </c>
      <c r="B5" s="3268" t="s">
        <v>230</v>
      </c>
      <c r="C5" s="3268"/>
      <c r="D5" s="111">
        <f>ROUND($D$3*E5/$E$3,2)</f>
        <v>54313.53</v>
      </c>
      <c r="E5" s="112">
        <f>SUMIF('数据-基础表'!$11:$11,"住宅",'数据-基础表'!$5:$5)</f>
        <v>114058.41</v>
      </c>
      <c r="F5" s="1987"/>
      <c r="G5" s="280" t="s">
        <v>862</v>
      </c>
      <c r="H5" s="275" t="s">
        <v>860</v>
      </c>
      <c r="I5" s="1979">
        <f>ROUND(E31/D31,2)</f>
        <v>2.1</v>
      </c>
      <c r="J5" s="1987"/>
      <c r="K5" s="1987"/>
      <c r="L5" s="1987"/>
    </row>
    <row r="6" spans="1:16" ht="15" thickBot="1">
      <c r="A6" s="113"/>
      <c r="B6" s="3268" t="s">
        <v>208</v>
      </c>
      <c r="C6" s="3268"/>
      <c r="D6" s="111">
        <f>ROUND($D$3*E6/$E$3,2)</f>
        <v>0</v>
      </c>
      <c r="E6" s="112">
        <f>E3-E5</f>
        <v>0</v>
      </c>
      <c r="F6" s="1987"/>
      <c r="G6" s="1204"/>
      <c r="H6" s="275" t="s">
        <v>861</v>
      </c>
      <c r="I6" s="1979">
        <f>ROUND(F31/D31,2)</f>
        <v>2.1</v>
      </c>
      <c r="J6" s="1987"/>
      <c r="K6" s="1987"/>
      <c r="L6" s="1987"/>
    </row>
    <row r="7" spans="1:16" ht="15">
      <c r="A7" s="3260"/>
      <c r="B7" s="3261"/>
      <c r="C7" s="3262"/>
      <c r="D7" s="108" t="s">
        <v>204</v>
      </c>
      <c r="E7" s="114" t="s">
        <v>231</v>
      </c>
      <c r="F7" s="1987"/>
      <c r="G7" s="1159" t="s">
        <v>1647</v>
      </c>
      <c r="H7" s="1160"/>
      <c r="I7" s="1849"/>
      <c r="J7" s="1987"/>
      <c r="K7" s="1987"/>
      <c r="L7" s="1987"/>
    </row>
    <row r="8" spans="1:16">
      <c r="A8" s="110" t="s">
        <v>209</v>
      </c>
      <c r="B8" s="115" t="s">
        <v>210</v>
      </c>
      <c r="C8" s="111" t="s">
        <v>211</v>
      </c>
      <c r="D8" s="111">
        <f t="shared" ref="D8:D15" si="0">ROUND($D$3*E8/$E$3,2)</f>
        <v>54313.53</v>
      </c>
      <c r="E8" s="116">
        <f>SUMIF('数据-基础表'!BB10:BK10,"地上",'数据-基础表'!BB5:BK5)</f>
        <v>114058.41</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2330</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2337</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54313.53</v>
      </c>
      <c r="E16" s="120">
        <f>SUM(E8:E15)</f>
        <v>114058.41</v>
      </c>
      <c r="F16" s="1987"/>
      <c r="G16" s="1989"/>
      <c r="H16" s="971" t="s">
        <v>219</v>
      </c>
      <c r="I16" s="972"/>
      <c r="J16" s="1987"/>
      <c r="K16" s="3254" t="s">
        <v>2572</v>
      </c>
      <c r="L16" s="3255"/>
      <c r="M16" s="3255"/>
      <c r="N16" s="3255"/>
      <c r="O16" s="3255"/>
      <c r="P16" s="3256"/>
    </row>
    <row r="17" spans="1:19" ht="15">
      <c r="A17" s="121" t="s">
        <v>216</v>
      </c>
      <c r="B17" s="122" t="s">
        <v>217</v>
      </c>
      <c r="C17" s="2301" t="s">
        <v>2317</v>
      </c>
      <c r="D17" s="108" t="s">
        <v>204</v>
      </c>
      <c r="E17" s="124" t="s">
        <v>205</v>
      </c>
      <c r="F17" s="125"/>
      <c r="G17" s="1369"/>
      <c r="H17" s="973" t="s">
        <v>218</v>
      </c>
      <c r="I17" s="974" t="s">
        <v>2316</v>
      </c>
      <c r="J17" s="1987"/>
      <c r="K17" s="3257" t="s">
        <v>2573</v>
      </c>
      <c r="L17" s="3258"/>
      <c r="M17" s="3259"/>
      <c r="N17" s="3257" t="s">
        <v>2574</v>
      </c>
      <c r="O17" s="3258"/>
      <c r="P17" s="3259"/>
      <c r="R17" s="2302" t="s">
        <v>2315</v>
      </c>
      <c r="S17" s="144"/>
    </row>
    <row r="18" spans="1:19" ht="15">
      <c r="A18" s="117"/>
      <c r="B18" s="128"/>
      <c r="C18" s="129"/>
      <c r="D18" s="2670"/>
      <c r="E18" s="130" t="s">
        <v>220</v>
      </c>
      <c r="F18" s="131" t="s">
        <v>221</v>
      </c>
      <c r="G18" s="1370" t="s">
        <v>222</v>
      </c>
      <c r="H18" s="975" t="s">
        <v>223</v>
      </c>
      <c r="I18" s="976" t="s">
        <v>224</v>
      </c>
      <c r="J18" s="1987"/>
      <c r="K18" s="2632" t="s">
        <v>2575</v>
      </c>
      <c r="L18" s="2633" t="s">
        <v>2576</v>
      </c>
      <c r="M18" s="2634" t="s">
        <v>2577</v>
      </c>
      <c r="N18" s="2632" t="s">
        <v>2575</v>
      </c>
      <c r="O18" s="2633" t="s">
        <v>2576</v>
      </c>
      <c r="P18" s="2634" t="s">
        <v>2577</v>
      </c>
      <c r="R18" s="2303" t="s">
        <v>2313</v>
      </c>
      <c r="S18" s="2303" t="s">
        <v>2314</v>
      </c>
    </row>
    <row r="19" spans="1:19">
      <c r="A19" s="133"/>
      <c r="B19" s="115" t="s">
        <v>225</v>
      </c>
      <c r="C19" s="3056" t="s">
        <v>3006</v>
      </c>
      <c r="D19" s="111">
        <f t="shared" ref="D19:D26" si="1">ROUND($D$3*E19/$E$3,2)</f>
        <v>54313.53</v>
      </c>
      <c r="E19" s="134">
        <f t="shared" ref="E19:E26" si="2">SUM(F19:G19)</f>
        <v>114058.41</v>
      </c>
      <c r="F19" s="135">
        <f>'数据-基础表'!I13</f>
        <v>114058.41</v>
      </c>
      <c r="G19" s="1371"/>
      <c r="H19" s="977">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54313.53</v>
      </c>
      <c r="S19" s="2304">
        <f t="shared" si="5"/>
        <v>114058.41</v>
      </c>
    </row>
    <row r="20" spans="1:19">
      <c r="A20" s="138"/>
      <c r="B20" s="115" t="s">
        <v>226</v>
      </c>
      <c r="C20" s="3056"/>
      <c r="D20" s="111">
        <f t="shared" si="1"/>
        <v>0</v>
      </c>
      <c r="E20" s="134">
        <f t="shared" si="2"/>
        <v>0</v>
      </c>
      <c r="F20" s="135"/>
      <c r="G20" s="1371"/>
      <c r="H20" s="977">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0</v>
      </c>
      <c r="S20" s="2304">
        <f t="shared" si="5"/>
        <v>0</v>
      </c>
    </row>
    <row r="21" spans="1:19">
      <c r="A21" s="138"/>
      <c r="B21" s="115" t="s">
        <v>226</v>
      </c>
      <c r="C21" s="3056"/>
      <c r="D21" s="111">
        <f t="shared" si="1"/>
        <v>0</v>
      </c>
      <c r="E21" s="134">
        <f t="shared" si="2"/>
        <v>0</v>
      </c>
      <c r="F21" s="135"/>
      <c r="G21" s="1371"/>
      <c r="H21" s="977">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8"/>
      <c r="D22" s="111">
        <f t="shared" si="1"/>
        <v>0</v>
      </c>
      <c r="E22" s="134">
        <f t="shared" si="2"/>
        <v>0</v>
      </c>
      <c r="F22" s="140"/>
      <c r="G22" s="1372"/>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2"/>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2"/>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2"/>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2"/>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54313.53</v>
      </c>
      <c r="E27" s="143">
        <f>IF(SUM(E19:E26)='数据-基础表'!BA5,SUM(E19:E26),IF(F27="地上面积有误","面积有误","地下面积有误"))</f>
        <v>114058.41</v>
      </c>
      <c r="F27" s="134">
        <f>IF(SUM(F19:F26)=E8,SUM(F19:F26),"地上面积有误")</f>
        <v>114058.41</v>
      </c>
      <c r="G27" s="112">
        <f>SUM(G19:G26)</f>
        <v>0</v>
      </c>
      <c r="H27" s="978">
        <f>SUM(H19:H26)</f>
        <v>0</v>
      </c>
      <c r="I27" s="979">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54313.53</v>
      </c>
      <c r="S27" s="275">
        <f>IF(SUM(S19:S26)=$E$3,SUM(S19:S26),SUM(S19:S26)&amp;"误差"&amp;ROUND(SUM(S19:S26)-E3,2))</f>
        <v>114058.41</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3" t="s">
        <v>2326</v>
      </c>
      <c r="D31" s="1375">
        <f>D27+D30</f>
        <v>54313.53</v>
      </c>
      <c r="E31" s="1375">
        <f>E27+E30</f>
        <v>114058.41</v>
      </c>
      <c r="F31" s="1376">
        <f>F27+F30</f>
        <v>114058.41</v>
      </c>
      <c r="G31" s="1377">
        <f>G27+G30</f>
        <v>0</v>
      </c>
      <c r="H31" s="1987"/>
      <c r="I31" s="1987"/>
      <c r="J31" s="1987"/>
      <c r="K31" s="1987"/>
      <c r="L31" s="1987"/>
    </row>
    <row r="32" spans="1:19">
      <c r="A32" s="1987"/>
      <c r="B32" s="2366" t="s">
        <v>2325</v>
      </c>
      <c r="C32" s="2675"/>
      <c r="D32" s="1204"/>
      <c r="E32" s="1204">
        <f>SUMIF(C19:C26,"*住宅*",E19:E26)</f>
        <v>114058.41</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N6" sqref="N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43021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2836</v>
      </c>
      <c r="O5" s="163" t="s">
        <v>246</v>
      </c>
      <c r="P5" s="165" t="s">
        <v>247</v>
      </c>
      <c r="Q5" s="166" t="s">
        <v>248</v>
      </c>
      <c r="R5" s="167" t="s">
        <v>249</v>
      </c>
      <c r="S5" s="2648" t="s">
        <v>2578</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2377</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高层住宅</v>
      </c>
      <c r="B6" s="2340" t="str">
        <f>IF(A6=0,"","经营性")</f>
        <v>经营性</v>
      </c>
      <c r="C6" s="173" t="s">
        <v>924</v>
      </c>
      <c r="D6" s="2311">
        <f>SUMIF(项目基本情况!D$15:I$15,C6,项目基本情况!D$18:I$18)</f>
        <v>70</v>
      </c>
      <c r="E6" s="2312">
        <f>IF(B6="","",SUMIF(项目基本情况!D$15:I$15,C6,项目基本情况!D$17:I$17))</f>
        <v>68522</v>
      </c>
      <c r="F6" s="174">
        <f>SUMIF(项目基本情况!D$15:I$15,C6,项目基本情况!D$19:I$19)</f>
        <v>69.86</v>
      </c>
      <c r="G6" s="175">
        <f>IF(ISERROR(ROUND(POWER(1+H6,D6-F6)*(POWER(1+H6,F6)-1)/(POWER(1+H6,D6)-1),3)),0,ROUND(POWER(1+H6,D6-F6)*(POWER(1+H6,F6)-1)/(POWER(1+H6,D6)-1),3))</f>
        <v>1</v>
      </c>
      <c r="H6" s="3057">
        <v>4.4999999999999998E-2</v>
      </c>
      <c r="I6" s="3057">
        <v>0.05</v>
      </c>
      <c r="J6" s="176">
        <v>0.08</v>
      </c>
      <c r="K6" s="179">
        <f>SUMIF('数据-汇总表'!C$19:C$33,'数据-取费表'!A6,'数据-汇总表'!E$19:E$33)</f>
        <v>114058.41</v>
      </c>
      <c r="L6" s="3178">
        <v>2500</v>
      </c>
      <c r="M6" s="177">
        <f t="shared" ref="M6:M14" si="0">ROUND(K6*L6/10000,0)</f>
        <v>28515</v>
      </c>
      <c r="N6" s="3059">
        <v>0</v>
      </c>
      <c r="O6" s="177">
        <f>IF($N$5="成新度","——",ROUND(M6*N6,0))</f>
        <v>0</v>
      </c>
      <c r="P6" s="178">
        <f>IF($N$5="成新度","——",M6-O6)</f>
        <v>28515</v>
      </c>
      <c r="Q6" s="3179">
        <v>0.15</v>
      </c>
      <c r="R6" s="179">
        <f>SUMIF('数据-汇总表'!C$19:C$33,A6,'数据-汇总表'!R$19:R$33)</f>
        <v>54313.53</v>
      </c>
      <c r="S6" s="132">
        <f>IF('数据-汇总表'!$I$17="按面积比例",SUMIF('数据-汇总表'!C$19:C$33,A6,'数据-汇总表'!K$19:K$33),SUMIF('数据-汇总表'!C$19:C$33,A6,'数据-汇总表'!N$19:N$33))</f>
        <v>0</v>
      </c>
      <c r="T6" s="2237" t="str">
        <f>IF($T$4="按面积比例",IF(ISERROR(ROUND($M$14*S6/S$16,0)),"0",ROUND($M$14*S6/S$16,0)),"需自行计算录入")</f>
        <v>0</v>
      </c>
      <c r="U6" s="180"/>
      <c r="V6" s="181"/>
      <c r="W6" s="181"/>
      <c r="X6" s="2324"/>
      <c r="Y6" s="182"/>
      <c r="Z6" s="183"/>
      <c r="AA6" s="176"/>
      <c r="AB6" s="176"/>
      <c r="AC6" s="2327"/>
      <c r="AD6" s="184"/>
      <c r="AE6" s="975">
        <f ca="1">IF(AN6="",0,SUMIF(INDIRECT("'"&amp;AN6&amp;"'"&amp;"!E:E"),$AE$5,INDIRECT("'"&amp;AN6&amp;"'"&amp;"!F:F")))</f>
        <v>0</v>
      </c>
      <c r="AF6" s="141"/>
      <c r="AG6" s="1216">
        <f>IF(AF6="",0,AE6-AF6)</f>
        <v>0</v>
      </c>
      <c r="AH6" s="141"/>
      <c r="AI6" s="187"/>
      <c r="AJ6" s="188"/>
      <c r="AK6" s="189"/>
      <c r="AL6" s="190"/>
      <c r="AM6" s="3071"/>
      <c r="AN6" s="2419"/>
      <c r="AO6" s="2003"/>
      <c r="AP6" s="1207">
        <f>ROUND(1-1/(1+H6)^F6,3)</f>
        <v>0.95399999999999996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f>'数据-汇总表'!C20</f>
        <v>0</v>
      </c>
      <c r="B7" s="2340" t="str">
        <f t="shared" ref="B7:B13" si="1">IF(A7=0,"","经营性")</f>
        <v/>
      </c>
      <c r="C7" s="173"/>
      <c r="D7" s="2311">
        <f>SUMIF(项目基本情况!D$15:I$15,C7,项目基本情况!D$18:I$18)</f>
        <v>0</v>
      </c>
      <c r="E7" s="231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7"/>
      <c r="I7" s="3057"/>
      <c r="J7" s="176"/>
      <c r="K7" s="179">
        <f>SUMIF('数据-汇总表'!C$19:C$33,'数据-取费表'!A7,'数据-汇总表'!E$19:E$33)</f>
        <v>0</v>
      </c>
      <c r="L7" s="3058"/>
      <c r="M7" s="177">
        <f t="shared" si="0"/>
        <v>0</v>
      </c>
      <c r="N7" s="3059"/>
      <c r="O7" s="177">
        <f t="shared" ref="O7:O14" si="3">IF($N$5="成新度","——",ROUND(M7*N7,0))</f>
        <v>0</v>
      </c>
      <c r="P7" s="178">
        <f t="shared" ref="P7:P14" si="4">IF($N$5="成新度","——",M7-O7)</f>
        <v>0</v>
      </c>
      <c r="Q7" s="3060"/>
      <c r="R7" s="179">
        <f>SUMIF('数据-汇总表'!C$19:C$33,A7,'数据-汇总表'!R$19:R$33)</f>
        <v>0</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c r="AJ7" s="188"/>
      <c r="AK7" s="189"/>
      <c r="AL7" s="190"/>
      <c r="AM7" s="2417"/>
      <c r="AN7" s="2419"/>
      <c r="AO7" s="2003"/>
      <c r="AP7" s="1207">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f>'数据-汇总表'!C21</f>
        <v>0</v>
      </c>
      <c r="B8" s="2340" t="str">
        <f t="shared" si="1"/>
        <v/>
      </c>
      <c r="C8" s="173"/>
      <c r="D8" s="2311">
        <f>SUMIF(项目基本情况!D$15:I$15,C8,项目基本情况!D$18:I$18)</f>
        <v>0</v>
      </c>
      <c r="E8" s="2312"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2318</v>
      </c>
      <c r="B14" s="2309" t="s">
        <v>1681</v>
      </c>
      <c r="C14" s="2310" t="s">
        <v>2318</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7"/>
      <c r="V14" s="2323"/>
      <c r="W14" s="2323"/>
      <c r="X14" s="2324"/>
      <c r="Y14" s="2325"/>
      <c r="Z14" s="136"/>
      <c r="AA14" s="2326"/>
      <c r="AB14" s="2326"/>
      <c r="AC14" s="2327"/>
      <c r="AD14" s="2324"/>
      <c r="AE14" s="975"/>
      <c r="AF14" s="2299"/>
      <c r="AG14" s="1216"/>
      <c r="AH14" s="2299"/>
      <c r="AI14" s="1575"/>
      <c r="AJ14" s="1575"/>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2320</v>
      </c>
      <c r="B15" s="2309" t="s">
        <v>1681</v>
      </c>
      <c r="C15" s="2310" t="s">
        <v>2319</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5"/>
      <c r="AJ15" s="1575"/>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114058.41</v>
      </c>
      <c r="L16" s="206">
        <f>ROUND(M16*10000/SUM(K6:K14),0)</f>
        <v>2500</v>
      </c>
      <c r="M16" s="206">
        <f>SUM(M6:M14)</f>
        <v>28515</v>
      </c>
      <c r="N16" s="207">
        <f>ROUND(SUMPRODUCT(M6:M14,N6:N14)/M16,3)</f>
        <v>0</v>
      </c>
      <c r="O16" s="206">
        <f>SUM(O6:O14)</f>
        <v>0</v>
      </c>
      <c r="P16" s="206">
        <f>SUM(P6:P14)</f>
        <v>28515</v>
      </c>
      <c r="Q16" s="208">
        <f>ROUND(SUMPRODUCT(Q6:Q13,K6:K13)/SUMPRODUCT((Q6:Q13&gt;0)*(K6:K13)),2)</f>
        <v>0.15</v>
      </c>
      <c r="R16" s="2314">
        <f>SUM(R6:R13)</f>
        <v>54313.53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0.95399999999999996</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2339</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2338</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2341</v>
      </c>
      <c r="B27" s="227">
        <v>170</v>
      </c>
      <c r="C27" s="2370" t="s">
        <v>2345</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2342</v>
      </c>
      <c r="B28" s="229"/>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2340</v>
      </c>
      <c r="B29" s="232"/>
      <c r="C29" s="1556" t="s">
        <v>2343</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170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30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0.03</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0.03</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2461</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2462</v>
      </c>
      <c r="B40" s="2508">
        <f ca="1">存贷款利率!E2</f>
        <v>4.7500000000000001E-2</v>
      </c>
      <c r="C40" s="2368" t="s">
        <v>2344</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0</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v>
      </c>
      <c r="C42" s="3132">
        <f>IF(B2&lt;DATE(2016,5,1),0,B42)</f>
        <v>0</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0</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6"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0.04</v>
      </c>
      <c r="C48" s="3107"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7"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926</v>
      </c>
      <c r="C53" s="3108" t="s">
        <v>2910</v>
      </c>
      <c r="D53" s="3109"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2912</v>
      </c>
      <c r="B54" s="186">
        <v>18</v>
      </c>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2913</v>
      </c>
      <c r="B55" s="186">
        <v>12</v>
      </c>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2914</v>
      </c>
      <c r="B56" s="186">
        <v>8</v>
      </c>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2915</v>
      </c>
      <c r="B57" s="186">
        <v>3</v>
      </c>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2916</v>
      </c>
      <c r="B58" s="186"/>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2917</v>
      </c>
      <c r="B59" s="186"/>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2921</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69" t="s">
        <v>1665</v>
      </c>
      <c r="B1" s="3270"/>
      <c r="C1" s="3270"/>
      <c r="D1" s="3270"/>
      <c r="E1" s="3270"/>
      <c r="F1" s="3270"/>
      <c r="G1" s="3270"/>
      <c r="H1" s="2005"/>
      <c r="I1" s="2006"/>
      <c r="J1" s="2007"/>
      <c r="K1" s="2005"/>
      <c r="L1" s="2006"/>
      <c r="M1" s="2007"/>
      <c r="N1" s="2005"/>
      <c r="O1" s="2006"/>
      <c r="P1" s="2007"/>
      <c r="Q1" s="2008"/>
      <c r="R1" s="2009"/>
    </row>
    <row r="2" spans="1:18" ht="14.25" thickBot="1">
      <c r="A2" s="1224"/>
      <c r="B2" s="1225"/>
      <c r="C2" s="1226" t="s">
        <v>1666</v>
      </c>
      <c r="D2" s="1227"/>
      <c r="E2" s="1228"/>
      <c r="F2" s="1229"/>
      <c r="G2" s="1226" t="s">
        <v>1667</v>
      </c>
      <c r="H2" s="2011"/>
      <c r="I2" s="2011"/>
      <c r="J2" s="2011"/>
      <c r="K2" s="2011"/>
      <c r="L2" s="2011"/>
      <c r="M2" s="2011"/>
      <c r="N2" s="2011"/>
      <c r="O2" s="2011"/>
      <c r="P2" s="2011"/>
      <c r="Q2" s="2011"/>
      <c r="R2" s="2011"/>
    </row>
    <row r="3" spans="1:18" ht="54">
      <c r="A3" s="1230" t="s">
        <v>1668</v>
      </c>
      <c r="B3" s="1231" t="s">
        <v>1655</v>
      </c>
      <c r="C3" s="3113" t="s">
        <v>2928</v>
      </c>
      <c r="D3" s="2012"/>
      <c r="E3" s="1232" t="s">
        <v>1668</v>
      </c>
      <c r="F3" s="1233" t="s">
        <v>1656</v>
      </c>
      <c r="G3" s="3117" t="s">
        <v>2927</v>
      </c>
      <c r="H3" s="2011"/>
      <c r="I3" s="2011"/>
      <c r="J3" s="2011"/>
      <c r="K3" s="2011"/>
      <c r="L3" s="2011"/>
      <c r="M3" s="2011"/>
      <c r="N3" s="2011"/>
      <c r="O3" s="2011"/>
      <c r="P3" s="2011"/>
      <c r="Q3" s="2011"/>
      <c r="R3" s="2011"/>
    </row>
    <row r="4" spans="1:18" ht="41.25">
      <c r="A4" s="1232"/>
      <c r="B4" s="1234" t="s">
        <v>1669</v>
      </c>
      <c r="C4" s="3114" t="s">
        <v>2929</v>
      </c>
      <c r="D4" s="2012"/>
      <c r="E4" s="1235"/>
      <c r="F4" s="1236" t="s">
        <v>1670</v>
      </c>
      <c r="G4" s="3115" t="s">
        <v>2924</v>
      </c>
      <c r="H4" s="2011"/>
      <c r="I4" s="2011"/>
      <c r="J4" s="2011"/>
      <c r="K4" s="2011"/>
      <c r="L4" s="2011"/>
      <c r="M4" s="2011"/>
      <c r="N4" s="2011"/>
      <c r="O4" s="2011"/>
      <c r="P4" s="2011"/>
      <c r="Q4" s="2011"/>
      <c r="R4" s="2011"/>
    </row>
    <row r="5" spans="1:18" ht="41.25">
      <c r="A5" s="1232"/>
      <c r="B5" s="1234" t="s">
        <v>1671</v>
      </c>
      <c r="C5" s="3114" t="s">
        <v>2930</v>
      </c>
      <c r="D5" s="2012"/>
      <c r="E5" s="1235"/>
      <c r="F5" s="1234" t="s">
        <v>2552</v>
      </c>
      <c r="G5" s="3115" t="s">
        <v>2925</v>
      </c>
      <c r="H5" s="2011"/>
      <c r="I5" s="2011"/>
      <c r="J5" s="2011"/>
      <c r="K5" s="2011"/>
      <c r="L5" s="2011"/>
      <c r="M5" s="2011"/>
      <c r="N5" s="2011"/>
      <c r="O5" s="2011"/>
      <c r="P5" s="2011"/>
      <c r="Q5" s="2011"/>
      <c r="R5" s="2011"/>
    </row>
    <row r="6" spans="1:18" ht="54">
      <c r="A6" s="1232"/>
      <c r="B6" s="1234" t="s">
        <v>1657</v>
      </c>
      <c r="C6" s="3115" t="s">
        <v>2924</v>
      </c>
      <c r="D6" s="2012"/>
      <c r="E6" s="1235"/>
      <c r="F6" s="1234" t="s">
        <v>2553</v>
      </c>
      <c r="G6" s="3115" t="s">
        <v>2922</v>
      </c>
      <c r="H6" s="2011"/>
      <c r="I6" s="2011"/>
      <c r="J6" s="2011"/>
      <c r="K6" s="2011"/>
      <c r="L6" s="2011"/>
      <c r="M6" s="2011"/>
      <c r="N6" s="2011"/>
      <c r="O6" s="2011"/>
      <c r="P6" s="2011"/>
      <c r="Q6" s="2011"/>
      <c r="R6" s="2011"/>
    </row>
    <row r="7" spans="1:18" ht="41.25" thickBot="1">
      <c r="A7" s="1232"/>
      <c r="B7" s="1234" t="s">
        <v>2552</v>
      </c>
      <c r="C7" s="3115" t="s">
        <v>2925</v>
      </c>
      <c r="D7" s="2013"/>
      <c r="E7" s="1237"/>
      <c r="F7" s="1238" t="s">
        <v>1672</v>
      </c>
      <c r="G7" s="3118" t="s">
        <v>2926</v>
      </c>
      <c r="H7" s="2011"/>
      <c r="I7" s="2011"/>
      <c r="J7" s="2011"/>
      <c r="K7" s="2011"/>
      <c r="L7" s="2011"/>
      <c r="M7" s="2011"/>
      <c r="N7" s="2011"/>
      <c r="O7" s="2011"/>
      <c r="P7" s="2011"/>
      <c r="Q7" s="2011"/>
      <c r="R7" s="2011"/>
    </row>
    <row r="8" spans="1:18" ht="27">
      <c r="A8" s="1232"/>
      <c r="B8" s="1234" t="s">
        <v>2553</v>
      </c>
      <c r="C8" s="3115" t="s">
        <v>2922</v>
      </c>
      <c r="D8" s="2013"/>
      <c r="E8" s="2013"/>
      <c r="F8" s="1557"/>
      <c r="G8" s="1557"/>
      <c r="H8" s="2011"/>
      <c r="I8" s="2011"/>
      <c r="J8" s="2011"/>
      <c r="K8" s="2011"/>
      <c r="L8" s="2011"/>
      <c r="M8" s="2011"/>
      <c r="N8" s="2011"/>
      <c r="O8" s="2011"/>
      <c r="P8" s="2011"/>
      <c r="Q8" s="2011"/>
      <c r="R8" s="2011"/>
    </row>
    <row r="9" spans="1:18" ht="40.5">
      <c r="A9" s="1232"/>
      <c r="B9" s="1234" t="s">
        <v>1658</v>
      </c>
      <c r="C9" s="3114" t="s">
        <v>2923</v>
      </c>
      <c r="D9" s="2012"/>
      <c r="E9" s="2013"/>
      <c r="F9" s="1557"/>
      <c r="G9" s="1557"/>
      <c r="H9" s="2011"/>
      <c r="I9" s="2011"/>
      <c r="J9" s="2011"/>
      <c r="K9" s="2011"/>
      <c r="L9" s="2011"/>
      <c r="M9" s="2011"/>
      <c r="N9" s="2011"/>
      <c r="O9" s="2011"/>
      <c r="P9" s="2011"/>
      <c r="Q9" s="2011"/>
      <c r="R9" s="2011"/>
    </row>
    <row r="10" spans="1:18" s="2019" customFormat="1" ht="15" thickBot="1">
      <c r="A10" s="1239"/>
      <c r="B10" s="1240" t="s">
        <v>1673</v>
      </c>
      <c r="C10" s="3116"/>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7"/>
      <c r="E13" s="2605"/>
      <c r="F13" s="2605"/>
      <c r="G13" s="2605"/>
    </row>
    <row r="14" spans="1:18" ht="14.25" thickBot="1">
      <c r="A14" s="1241"/>
      <c r="B14" s="1242"/>
      <c r="C14" s="1243" t="s">
        <v>1666</v>
      </c>
      <c r="D14" s="2012"/>
      <c r="E14" s="1244"/>
      <c r="F14" s="1244"/>
      <c r="G14" s="1226" t="s">
        <v>1667</v>
      </c>
    </row>
    <row r="15" spans="1:18" ht="54">
      <c r="A15" s="2615" t="s">
        <v>1659</v>
      </c>
      <c r="B15" s="1245" t="s">
        <v>1655</v>
      </c>
      <c r="C15" s="1246" t="str">
        <f>C3</f>
        <v>估价对象周边居住用地比例、居住小区规模和社区发展完善程度，综合评价居住社区成熟度一般</v>
      </c>
      <c r="D15" s="2012"/>
      <c r="E15" s="2612" t="s">
        <v>1660</v>
      </c>
      <c r="F15" s="1245" t="s">
        <v>1675</v>
      </c>
      <c r="G15" s="1247" t="str">
        <f>G3</f>
        <v>估价对象位于XX开发区，园区建设成熟度XX，产业集聚程度XX</v>
      </c>
    </row>
    <row r="16" spans="1:18" ht="40.5">
      <c r="A16" s="2616"/>
      <c r="B16" s="1248" t="s">
        <v>1669</v>
      </c>
      <c r="C16" s="1249" t="str">
        <f>C4</f>
        <v>估价对象位于XX商圈，周边商业氛围成熟，人流量大，商业繁华度好</v>
      </c>
      <c r="D16" s="2012"/>
      <c r="E16" s="2613"/>
      <c r="F16" s="1250" t="s">
        <v>1670</v>
      </c>
      <c r="G16" s="1008" t="str">
        <f>G4</f>
        <v>估价对象周边道路状况、公共交通通达情况、停车便捷程度，综合评价交通便捷度较好</v>
      </c>
    </row>
    <row r="17" spans="1:7" ht="40.5">
      <c r="A17" s="2616"/>
      <c r="B17" s="1248" t="s">
        <v>1671</v>
      </c>
      <c r="C17" s="1249" t="str">
        <f>C5</f>
        <v>估价对象位于XX商圈，周边办公楼项目较多，入驻率高，办公集聚程度较好</v>
      </c>
      <c r="D17" s="2013"/>
      <c r="E17" s="2613"/>
      <c r="F17" s="1250" t="s">
        <v>1676</v>
      </c>
      <c r="G17" s="2825"/>
    </row>
    <row r="18" spans="1:7" ht="54">
      <c r="A18" s="2616"/>
      <c r="B18" s="1250" t="s">
        <v>1657</v>
      </c>
      <c r="C18" s="1008" t="str">
        <f>C6</f>
        <v>估价对象周边道路状况、公共交通通达情况、停车便捷程度，综合评价交通便捷度较好</v>
      </c>
      <c r="D18" s="2013"/>
      <c r="E18" s="2613"/>
      <c r="F18" s="1250" t="s">
        <v>1672</v>
      </c>
      <c r="G18" s="1008" t="str">
        <f>G7</f>
        <v>该园区内是否有污染型企业，绿化情况，卫生条件，整体环境状况判断</v>
      </c>
    </row>
    <row r="19" spans="1:7" ht="27">
      <c r="A19" s="2616"/>
      <c r="B19" s="1250" t="s">
        <v>1661</v>
      </c>
      <c r="C19" s="2825"/>
      <c r="D19" s="2012"/>
      <c r="E19" s="2613"/>
      <c r="F19" s="1234" t="s">
        <v>2552</v>
      </c>
      <c r="G19" s="1008" t="str">
        <f>G5</f>
        <v>估价对象所在区域公共配套设施齐备情况</v>
      </c>
    </row>
    <row r="20" spans="1:7" ht="40.5">
      <c r="A20" s="2616"/>
      <c r="B20" s="1250" t="s">
        <v>1662</v>
      </c>
      <c r="C20" s="1249" t="str">
        <f>C9</f>
        <v>区域自然环境：；人文环境；综合评价环境状况一般</v>
      </c>
      <c r="D20" s="2013"/>
      <c r="E20" s="2613"/>
      <c r="F20" s="1234" t="s">
        <v>2553</v>
      </c>
      <c r="G20" s="1008" t="str">
        <f>G6</f>
        <v>估价对象所在区域基础设施水平</v>
      </c>
    </row>
    <row r="21" spans="1:7" ht="27">
      <c r="A21" s="2616"/>
      <c r="B21" s="1234" t="s">
        <v>2552</v>
      </c>
      <c r="C21" s="1008" t="str">
        <f>C7</f>
        <v>估价对象所在区域公共配套设施齐备情况</v>
      </c>
      <c r="D21" s="2012"/>
      <c r="E21" s="2613"/>
      <c r="F21" s="1250" t="s">
        <v>1663</v>
      </c>
      <c r="G21" s="3119"/>
    </row>
    <row r="22" spans="1:7" ht="27">
      <c r="A22" s="2616"/>
      <c r="B22" s="1234" t="s">
        <v>2553</v>
      </c>
      <c r="C22" s="1008" t="str">
        <f>C8</f>
        <v>估价对象所在区域基础设施水平</v>
      </c>
      <c r="D22" s="2012"/>
      <c r="E22" s="2613"/>
      <c r="F22" s="1250" t="s">
        <v>1673</v>
      </c>
      <c r="G22" s="2825"/>
    </row>
    <row r="23" spans="1:7" ht="15" thickBot="1">
      <c r="A23" s="2616"/>
      <c r="B23" s="1250" t="s">
        <v>1663</v>
      </c>
      <c r="C23" s="3119"/>
      <c r="E23" s="2614"/>
      <c r="F23" s="1251" t="s">
        <v>1677</v>
      </c>
      <c r="G23" s="3120"/>
    </row>
    <row r="24" spans="1:7" ht="14.25" thickBot="1">
      <c r="A24" s="2617"/>
      <c r="B24" s="1251" t="s">
        <v>1664</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2852</v>
      </c>
      <c r="B1" s="3077">
        <f>SUM(B14:B23)</f>
        <v>114058.41</v>
      </c>
      <c r="C1" s="3078"/>
      <c r="D1" s="3078"/>
      <c r="E1" s="3078"/>
      <c r="F1" s="3078"/>
    </row>
    <row r="2" spans="1:9" ht="16.5">
      <c r="A2" s="3077" t="s">
        <v>2853</v>
      </c>
      <c r="B2" s="3077">
        <f>SUM(C14:C23)</f>
        <v>54313.53</v>
      </c>
      <c r="C2" s="3078"/>
      <c r="D2" s="3078"/>
      <c r="E2" s="3078"/>
      <c r="F2" s="3078"/>
    </row>
    <row r="3" spans="1:9" ht="16.5">
      <c r="A3" s="3077" t="s">
        <v>2854</v>
      </c>
      <c r="B3" s="3079">
        <f>项目基本情况!D3</f>
        <v>43021</v>
      </c>
      <c r="C3" s="3078"/>
      <c r="D3" s="3078"/>
      <c r="E3" s="3078"/>
      <c r="F3" s="3078"/>
    </row>
    <row r="4" spans="1:9" ht="33">
      <c r="A4" s="3077" t="s">
        <v>2855</v>
      </c>
      <c r="B4" s="3077" t="s">
        <v>2856</v>
      </c>
      <c r="C4" s="3077" t="s">
        <v>2857</v>
      </c>
      <c r="D4" s="3077" t="s">
        <v>2858</v>
      </c>
      <c r="E4" s="3078"/>
      <c r="F4" s="3078"/>
    </row>
    <row r="5" spans="1:9" ht="16.5">
      <c r="A5" s="3077" t="s">
        <v>2859</v>
      </c>
      <c r="B5" s="3077">
        <f ca="1">SUM(D14:D23)</f>
        <v>168423</v>
      </c>
      <c r="C5" s="3077">
        <f ca="1">ROUND(B5*10000/$B$1,0)</f>
        <v>14766</v>
      </c>
      <c r="D5" s="3077">
        <f ca="1">ROUND(B5*10000/$B$2,0)</f>
        <v>31009</v>
      </c>
      <c r="E5" s="3078"/>
      <c r="F5" s="3078"/>
    </row>
    <row r="6" spans="1:9" ht="16.5">
      <c r="A6" s="3077" t="s">
        <v>2860</v>
      </c>
      <c r="B6" s="3077">
        <f ca="1">SUM(G14:G23)</f>
        <v>168423</v>
      </c>
      <c r="C6" s="3077">
        <f t="shared" ref="C6:C8" ca="1" si="0">ROUND(B6*10000/$B$1,0)</f>
        <v>14766</v>
      </c>
      <c r="D6" s="3077">
        <f t="shared" ref="D6:D8" ca="1" si="1">ROUND(B6*10000/$B$2,0)</f>
        <v>31009</v>
      </c>
      <c r="E6" s="3078"/>
      <c r="F6" s="3078"/>
    </row>
    <row r="7" spans="1:9" ht="16.5">
      <c r="A7" s="3077" t="s">
        <v>2861</v>
      </c>
      <c r="B7" s="3077">
        <f>SUM(H14:H23)</f>
        <v>0</v>
      </c>
      <c r="C7" s="3077">
        <f t="shared" si="0"/>
        <v>0</v>
      </c>
      <c r="D7" s="3077">
        <f t="shared" si="1"/>
        <v>0</v>
      </c>
      <c r="E7" s="3078"/>
      <c r="F7" s="3078"/>
    </row>
    <row r="8" spans="1:9" ht="16.5">
      <c r="A8" s="3077" t="s">
        <v>2862</v>
      </c>
      <c r="B8" s="3077">
        <f ca="1">SUM(I14:I23)</f>
        <v>107440</v>
      </c>
      <c r="C8" s="3077">
        <f t="shared" ca="1" si="0"/>
        <v>9420</v>
      </c>
      <c r="D8" s="3077">
        <f t="shared" ca="1" si="1"/>
        <v>19781</v>
      </c>
      <c r="E8" s="3078"/>
      <c r="F8" s="3078"/>
    </row>
    <row r="9" spans="1:9" ht="16.5">
      <c r="A9" s="3077" t="s">
        <v>2863</v>
      </c>
      <c r="B9" s="3080"/>
      <c r="C9" s="3078"/>
      <c r="D9" s="3078"/>
      <c r="E9" s="3078"/>
      <c r="F9" s="3078"/>
    </row>
    <row r="10" spans="1:9" ht="16.5">
      <c r="A10" s="3077" t="s">
        <v>2864</v>
      </c>
      <c r="B10" s="3080"/>
      <c r="C10" s="3078"/>
      <c r="D10" s="3078"/>
      <c r="E10" s="3078"/>
      <c r="F10" s="3078"/>
    </row>
    <row r="11" spans="1:9" ht="16.5">
      <c r="A11" s="3077" t="s">
        <v>2881</v>
      </c>
      <c r="B11" s="3080"/>
      <c r="C11" s="3078"/>
      <c r="D11" s="3078"/>
      <c r="E11" s="3078"/>
      <c r="F11" s="3078"/>
    </row>
    <row r="12" spans="1:9" ht="16.5">
      <c r="A12" s="3078"/>
      <c r="B12" s="3078"/>
      <c r="C12" s="3078"/>
      <c r="D12" s="3078"/>
      <c r="E12" s="3078"/>
      <c r="F12" s="3078"/>
    </row>
    <row r="13" spans="1:9" ht="33">
      <c r="A13" s="3083" t="s">
        <v>2880</v>
      </c>
      <c r="B13" s="3081" t="s">
        <v>2852</v>
      </c>
      <c r="C13" s="3081" t="s">
        <v>2853</v>
      </c>
      <c r="D13" s="3081" t="s">
        <v>2865</v>
      </c>
      <c r="E13" s="3077" t="s">
        <v>2879</v>
      </c>
      <c r="F13" s="3077" t="s">
        <v>2858</v>
      </c>
      <c r="G13" s="3081" t="s">
        <v>2866</v>
      </c>
      <c r="H13" s="3081" t="s">
        <v>2867</v>
      </c>
      <c r="I13" s="3081" t="s">
        <v>2868</v>
      </c>
    </row>
    <row r="14" spans="1:9" ht="16.5">
      <c r="A14" s="3084" t="s">
        <v>2878</v>
      </c>
      <c r="B14" s="3081">
        <f>'数据-汇总表'!E3</f>
        <v>114058.41</v>
      </c>
      <c r="C14" s="3081">
        <f>'数据-汇总表'!D3</f>
        <v>54313.53</v>
      </c>
      <c r="D14" s="3081">
        <f ca="1">结果表!C42</f>
        <v>168423</v>
      </c>
      <c r="E14" s="3081">
        <f ca="1">ROUND(D14*10000/B14,0)</f>
        <v>14766</v>
      </c>
      <c r="F14" s="3081">
        <f ca="1">ROUND(D14*10000/C14,0)</f>
        <v>31009</v>
      </c>
      <c r="G14" s="3081">
        <f ca="1">结果表!C44</f>
        <v>168423</v>
      </c>
      <c r="H14" s="3081" t="str">
        <f>结果表!C45</f>
        <v>——</v>
      </c>
      <c r="I14" s="3081">
        <f ca="1">结果表!C46</f>
        <v>107440</v>
      </c>
    </row>
    <row r="15" spans="1:9" ht="16.5">
      <c r="A15" s="3084" t="s">
        <v>2869</v>
      </c>
      <c r="B15" s="3085"/>
      <c r="C15" s="3085"/>
      <c r="D15" s="3085"/>
      <c r="E15" s="3081" t="e">
        <f t="shared" ref="E15:E23" si="2">ROUND(D15*10000/B15,0)</f>
        <v>#DIV/0!</v>
      </c>
      <c r="F15" s="3081" t="e">
        <f t="shared" ref="F15:F23" si="3">ROUND(D15*10000/C15,0)</f>
        <v>#DIV/0!</v>
      </c>
      <c r="G15" s="3082"/>
      <c r="H15" s="3082"/>
      <c r="I15" s="3085"/>
    </row>
    <row r="16" spans="1:9" ht="16.5">
      <c r="A16" s="3084" t="s">
        <v>2870</v>
      </c>
      <c r="B16" s="3085"/>
      <c r="C16" s="3085"/>
      <c r="D16" s="3085"/>
      <c r="E16" s="3081" t="e">
        <f t="shared" si="2"/>
        <v>#DIV/0!</v>
      </c>
      <c r="F16" s="3081" t="e">
        <f t="shared" si="3"/>
        <v>#DIV/0!</v>
      </c>
      <c r="G16" s="3082"/>
      <c r="H16" s="3082"/>
      <c r="I16" s="3085"/>
    </row>
    <row r="17" spans="1:9" ht="16.5">
      <c r="A17" s="3084" t="s">
        <v>2871</v>
      </c>
      <c r="B17" s="3085"/>
      <c r="C17" s="3085"/>
      <c r="D17" s="3085"/>
      <c r="E17" s="3081" t="e">
        <f t="shared" si="2"/>
        <v>#DIV/0!</v>
      </c>
      <c r="F17" s="3081" t="e">
        <f t="shared" si="3"/>
        <v>#DIV/0!</v>
      </c>
      <c r="G17" s="3082"/>
      <c r="H17" s="3082"/>
      <c r="I17" s="3085"/>
    </row>
    <row r="18" spans="1:9" ht="16.5">
      <c r="A18" s="3084" t="s">
        <v>2872</v>
      </c>
      <c r="B18" s="3085"/>
      <c r="C18" s="3085"/>
      <c r="D18" s="3085"/>
      <c r="E18" s="3081" t="e">
        <f t="shared" si="2"/>
        <v>#DIV/0!</v>
      </c>
      <c r="F18" s="3081" t="e">
        <f t="shared" si="3"/>
        <v>#DIV/0!</v>
      </c>
      <c r="G18" s="3085"/>
      <c r="H18" s="3085"/>
      <c r="I18" s="3085"/>
    </row>
    <row r="19" spans="1:9" ht="16.5">
      <c r="A19" s="3084" t="s">
        <v>2873</v>
      </c>
      <c r="B19" s="3085"/>
      <c r="C19" s="3085"/>
      <c r="D19" s="3085"/>
      <c r="E19" s="3081" t="e">
        <f t="shared" si="2"/>
        <v>#DIV/0!</v>
      </c>
      <c r="F19" s="3081" t="e">
        <f t="shared" si="3"/>
        <v>#DIV/0!</v>
      </c>
      <c r="G19" s="3085"/>
      <c r="H19" s="3085"/>
      <c r="I19" s="3085"/>
    </row>
    <row r="20" spans="1:9" ht="16.5">
      <c r="A20" s="3084" t="s">
        <v>2874</v>
      </c>
      <c r="B20" s="3085"/>
      <c r="C20" s="3085"/>
      <c r="D20" s="3085"/>
      <c r="E20" s="3081" t="e">
        <f t="shared" si="2"/>
        <v>#DIV/0!</v>
      </c>
      <c r="F20" s="3081" t="e">
        <f t="shared" si="3"/>
        <v>#DIV/0!</v>
      </c>
      <c r="G20" s="3085"/>
      <c r="H20" s="3085"/>
      <c r="I20" s="3085"/>
    </row>
    <row r="21" spans="1:9" ht="16.5">
      <c r="A21" s="3084" t="s">
        <v>2875</v>
      </c>
      <c r="B21" s="3085"/>
      <c r="C21" s="3085"/>
      <c r="D21" s="3085"/>
      <c r="E21" s="3081" t="e">
        <f t="shared" si="2"/>
        <v>#DIV/0!</v>
      </c>
      <c r="F21" s="3081" t="e">
        <f t="shared" si="3"/>
        <v>#DIV/0!</v>
      </c>
      <c r="G21" s="3085"/>
      <c r="H21" s="3085"/>
      <c r="I21" s="3085"/>
    </row>
    <row r="22" spans="1:9" ht="16.5">
      <c r="A22" s="3084" t="s">
        <v>2876</v>
      </c>
      <c r="B22" s="3085"/>
      <c r="C22" s="3085"/>
      <c r="D22" s="3085"/>
      <c r="E22" s="3081" t="e">
        <f t="shared" si="2"/>
        <v>#DIV/0!</v>
      </c>
      <c r="F22" s="3081" t="e">
        <f t="shared" si="3"/>
        <v>#DIV/0!</v>
      </c>
      <c r="G22" s="3085"/>
      <c r="H22" s="3085"/>
      <c r="I22" s="3085"/>
    </row>
    <row r="23" spans="1:9" ht="16.5">
      <c r="A23" s="3084" t="s">
        <v>2877</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G27" sqref="G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3086</v>
      </c>
      <c r="E1" s="1808" t="s">
        <v>2061</v>
      </c>
      <c r="F1" s="1810" t="s">
        <v>3085</v>
      </c>
      <c r="G1" s="314"/>
      <c r="H1" s="314"/>
      <c r="I1" s="314"/>
      <c r="J1" s="2032"/>
      <c r="K1" s="2032"/>
      <c r="L1" s="2032"/>
      <c r="M1" s="2032"/>
      <c r="N1" s="2032"/>
      <c r="O1" s="2032"/>
      <c r="P1" s="2032"/>
      <c r="Q1" s="2032"/>
      <c r="R1" s="2032"/>
      <c r="S1" s="2032"/>
      <c r="T1" s="2032"/>
      <c r="U1" s="2032"/>
      <c r="V1" s="2032"/>
    </row>
    <row r="2" spans="1:22" ht="21.75" customHeight="1" thickBot="1">
      <c r="A2" s="3307" t="str">
        <f>项目基本情况!K2</f>
        <v>郑州市鸿宝南路南、姚店堤西路东出让国有建设用地使用权</v>
      </c>
      <c r="B2" s="3308"/>
      <c r="C2" s="3309"/>
      <c r="D2" s="3309"/>
      <c r="E2" s="3309"/>
      <c r="F2" s="3309"/>
      <c r="G2" s="3308"/>
      <c r="H2" s="3308"/>
      <c r="I2" s="3310"/>
      <c r="J2" s="2033"/>
      <c r="K2" s="2032"/>
      <c r="L2" s="2032"/>
      <c r="M2" s="2032"/>
      <c r="N2" s="2032"/>
      <c r="O2" s="2032"/>
      <c r="P2" s="2032"/>
      <c r="Q2" s="2032"/>
      <c r="R2" s="2032"/>
      <c r="S2" s="2032"/>
      <c r="T2" s="2032"/>
      <c r="U2" s="2032"/>
      <c r="V2" s="2032"/>
    </row>
    <row r="3" spans="1:22" ht="14.25">
      <c r="A3" s="3300" t="s">
        <v>298</v>
      </c>
      <c r="B3" s="3301"/>
      <c r="C3" s="3301"/>
      <c r="D3" s="3301"/>
      <c r="E3" s="3301"/>
      <c r="F3" s="3301"/>
      <c r="G3" s="3301"/>
      <c r="H3" s="3301"/>
      <c r="I3" s="3301"/>
      <c r="J3" s="2033"/>
      <c r="K3" s="2032"/>
      <c r="L3" s="2032"/>
      <c r="M3" s="2032"/>
      <c r="N3" s="2032"/>
      <c r="O3" s="2032"/>
      <c r="P3" s="2032"/>
      <c r="Q3" s="2032"/>
      <c r="R3" s="2032"/>
      <c r="S3" s="2032"/>
      <c r="T3" s="2032"/>
      <c r="U3" s="2032"/>
      <c r="V3" s="2032"/>
    </row>
    <row r="4" spans="1:22" ht="14.25">
      <c r="A4" s="258" t="s">
        <v>299</v>
      </c>
      <c r="B4" s="259" t="s">
        <v>300</v>
      </c>
      <c r="C4" s="260" t="s">
        <v>3038</v>
      </c>
      <c r="D4" s="260" t="s">
        <v>3039</v>
      </c>
      <c r="E4" s="3272" t="s">
        <v>301</v>
      </c>
      <c r="F4" s="3273"/>
      <c r="G4" s="3273"/>
      <c r="H4" s="3273"/>
      <c r="I4" s="3302"/>
      <c r="J4" s="2033"/>
      <c r="K4" s="2032"/>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271" t="s">
        <v>302</v>
      </c>
      <c r="B5" s="3297">
        <v>25</v>
      </c>
      <c r="C5" s="3295"/>
      <c r="D5" s="3299"/>
      <c r="E5" s="261" t="s">
        <v>303</v>
      </c>
      <c r="F5" s="262"/>
      <c r="G5" s="262"/>
      <c r="H5" s="262"/>
      <c r="I5" s="263"/>
      <c r="J5" s="2033"/>
      <c r="K5" s="2032"/>
      <c r="L5" s="2032"/>
      <c r="M5" s="2032"/>
      <c r="N5" s="2032"/>
      <c r="O5" s="2032"/>
      <c r="P5" s="2032"/>
      <c r="Q5" s="2032"/>
      <c r="R5" s="2032"/>
      <c r="S5" s="2032"/>
      <c r="T5" s="2032"/>
      <c r="U5" s="2032"/>
      <c r="V5" s="2032"/>
    </row>
    <row r="6" spans="1:22" ht="14.25">
      <c r="A6" s="3271"/>
      <c r="B6" s="3297"/>
      <c r="C6" s="3298"/>
      <c r="D6" s="3299"/>
      <c r="E6" s="261" t="s">
        <v>304</v>
      </c>
      <c r="F6" s="262"/>
      <c r="G6" s="262"/>
      <c r="H6" s="262"/>
      <c r="I6" s="263"/>
      <c r="J6" s="2033"/>
      <c r="K6" s="2032"/>
      <c r="L6" s="2032"/>
      <c r="M6" s="2032"/>
      <c r="N6" s="2032"/>
      <c r="O6" s="2032"/>
      <c r="P6" s="2032"/>
      <c r="Q6" s="2032"/>
      <c r="R6" s="2032"/>
      <c r="S6" s="2032"/>
      <c r="T6" s="2032"/>
      <c r="U6" s="2032"/>
      <c r="V6" s="2032"/>
    </row>
    <row r="7" spans="1:22" ht="14.25">
      <c r="A7" s="3271"/>
      <c r="B7" s="3297"/>
      <c r="C7" s="3296"/>
      <c r="D7" s="3299"/>
      <c r="E7" s="261" t="s">
        <v>305</v>
      </c>
      <c r="F7" s="262"/>
      <c r="G7" s="262"/>
      <c r="H7" s="262"/>
      <c r="I7" s="263"/>
      <c r="J7" s="2033"/>
      <c r="K7" s="2032"/>
      <c r="L7" s="2032"/>
      <c r="M7" s="2032"/>
      <c r="N7" s="2032"/>
      <c r="O7" s="2032"/>
      <c r="P7" s="2032"/>
      <c r="Q7" s="2032"/>
      <c r="R7" s="2032"/>
      <c r="S7" s="2032"/>
      <c r="T7" s="2032"/>
      <c r="U7" s="2032"/>
      <c r="V7" s="2032"/>
    </row>
    <row r="8" spans="1:22" ht="14.25">
      <c r="A8" s="3271" t="s">
        <v>306</v>
      </c>
      <c r="B8" s="3297">
        <v>15</v>
      </c>
      <c r="C8" s="3295"/>
      <c r="D8" s="3299"/>
      <c r="E8" s="261" t="s">
        <v>307</v>
      </c>
      <c r="F8" s="262"/>
      <c r="G8" s="262"/>
      <c r="H8" s="262"/>
      <c r="I8" s="263"/>
      <c r="J8" s="2033"/>
      <c r="K8" s="2032"/>
      <c r="L8" s="2032"/>
      <c r="M8" s="2032"/>
      <c r="N8" s="2032"/>
      <c r="O8" s="2032"/>
      <c r="P8" s="2032"/>
      <c r="Q8" s="2032"/>
      <c r="R8" s="2032"/>
      <c r="S8" s="2032"/>
      <c r="T8" s="2032"/>
      <c r="U8" s="2032"/>
      <c r="V8" s="2032"/>
    </row>
    <row r="9" spans="1:22" ht="14.25">
      <c r="A9" s="3271"/>
      <c r="B9" s="3297"/>
      <c r="C9" s="3296"/>
      <c r="D9" s="3299"/>
      <c r="E9" s="261" t="s">
        <v>308</v>
      </c>
      <c r="F9" s="262"/>
      <c r="G9" s="262"/>
      <c r="H9" s="262"/>
      <c r="I9" s="263"/>
      <c r="J9" s="2033"/>
      <c r="K9" s="2032"/>
      <c r="L9" s="2032"/>
      <c r="M9" s="2032"/>
      <c r="N9" s="2032"/>
      <c r="O9" s="2032"/>
      <c r="P9" s="2032"/>
      <c r="Q9" s="2032"/>
      <c r="R9" s="2032"/>
      <c r="S9" s="2032"/>
      <c r="T9" s="2032"/>
      <c r="U9" s="2032"/>
      <c r="V9" s="2032"/>
    </row>
    <row r="10" spans="1:22" ht="14.25">
      <c r="A10" s="3271" t="s">
        <v>309</v>
      </c>
      <c r="B10" s="3297">
        <v>15</v>
      </c>
      <c r="C10" s="3295"/>
      <c r="D10" s="3299"/>
      <c r="E10" s="261" t="s">
        <v>310</v>
      </c>
      <c r="F10" s="262"/>
      <c r="G10" s="262"/>
      <c r="H10" s="262"/>
      <c r="I10" s="263"/>
      <c r="J10" s="2033"/>
      <c r="K10" s="2032"/>
      <c r="L10" s="2032"/>
      <c r="M10" s="2032"/>
      <c r="N10" s="2032"/>
      <c r="O10" s="2032"/>
      <c r="P10" s="2032"/>
      <c r="Q10" s="2032"/>
      <c r="R10" s="2032"/>
      <c r="S10" s="2032"/>
      <c r="T10" s="2032"/>
      <c r="U10" s="2032"/>
      <c r="V10" s="2032"/>
    </row>
    <row r="11" spans="1:22" ht="14.25">
      <c r="A11" s="3271"/>
      <c r="B11" s="3297"/>
      <c r="C11" s="3296"/>
      <c r="D11" s="3299"/>
      <c r="E11" s="261" t="s">
        <v>311</v>
      </c>
      <c r="F11" s="262"/>
      <c r="G11" s="262"/>
      <c r="H11" s="262"/>
      <c r="I11" s="263"/>
      <c r="J11" s="2033"/>
      <c r="K11" s="2032"/>
      <c r="L11" s="2032"/>
      <c r="M11" s="2032"/>
      <c r="N11" s="2032"/>
      <c r="O11" s="2032"/>
      <c r="P11" s="2032"/>
      <c r="Q11" s="2032"/>
      <c r="R11" s="2032"/>
      <c r="S11" s="2032"/>
      <c r="T11" s="2032"/>
      <c r="U11" s="2032"/>
      <c r="V11" s="2032"/>
    </row>
    <row r="12" spans="1:22" ht="14.25">
      <c r="A12" s="3271" t="s">
        <v>312</v>
      </c>
      <c r="B12" s="3297">
        <v>15</v>
      </c>
      <c r="C12" s="3295"/>
      <c r="D12" s="3299"/>
      <c r="E12" s="261" t="s">
        <v>313</v>
      </c>
      <c r="F12" s="262"/>
      <c r="G12" s="262"/>
      <c r="H12" s="262"/>
      <c r="I12" s="263"/>
      <c r="J12" s="2033"/>
      <c r="K12" s="2032"/>
      <c r="L12" s="2032"/>
      <c r="M12" s="2032"/>
      <c r="N12" s="2032"/>
      <c r="O12" s="2032"/>
      <c r="P12" s="2032"/>
      <c r="Q12" s="2032"/>
      <c r="R12" s="2032"/>
      <c r="S12" s="2032"/>
      <c r="T12" s="2032"/>
      <c r="U12" s="2032"/>
      <c r="V12" s="2032"/>
    </row>
    <row r="13" spans="1:22" ht="14.25">
      <c r="A13" s="3271"/>
      <c r="B13" s="3297"/>
      <c r="C13" s="3296"/>
      <c r="D13" s="3299"/>
      <c r="E13" s="261" t="s">
        <v>314</v>
      </c>
      <c r="F13" s="262"/>
      <c r="G13" s="262"/>
      <c r="H13" s="262"/>
      <c r="I13" s="263"/>
      <c r="J13" s="2033"/>
      <c r="K13" s="2032"/>
      <c r="L13" s="2032"/>
      <c r="M13" s="2032"/>
      <c r="N13" s="2032"/>
      <c r="O13" s="2032"/>
      <c r="P13" s="2032"/>
      <c r="Q13" s="2032"/>
      <c r="R13" s="2032"/>
      <c r="S13" s="2032"/>
      <c r="T13" s="2032"/>
      <c r="U13" s="2032"/>
      <c r="V13" s="2032"/>
    </row>
    <row r="14" spans="1:22" ht="14.25">
      <c r="A14" s="3271" t="s">
        <v>315</v>
      </c>
      <c r="B14" s="3297">
        <v>30</v>
      </c>
      <c r="C14" s="3295">
        <v>4</v>
      </c>
      <c r="D14" s="3299">
        <v>6</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71"/>
      <c r="B15" s="3297"/>
      <c r="C15" s="3298"/>
      <c r="D15" s="3299"/>
      <c r="E15" s="261" t="s">
        <v>317</v>
      </c>
      <c r="F15" s="262"/>
      <c r="G15" s="262"/>
      <c r="H15" s="262"/>
      <c r="I15" s="263"/>
      <c r="J15" s="2033"/>
      <c r="K15" s="2032"/>
      <c r="L15" s="2032"/>
      <c r="M15" s="2032"/>
      <c r="N15" s="2032"/>
      <c r="O15" s="2032"/>
      <c r="P15" s="2032"/>
      <c r="Q15" s="2032"/>
      <c r="R15" s="2032"/>
      <c r="S15" s="2032"/>
      <c r="T15" s="2032"/>
      <c r="U15" s="2032"/>
      <c r="V15" s="2032"/>
    </row>
    <row r="16" spans="1:22" ht="14.25">
      <c r="A16" s="3271"/>
      <c r="B16" s="3297"/>
      <c r="C16" s="3296"/>
      <c r="D16" s="3299"/>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4</v>
      </c>
      <c r="D17" s="265">
        <f>SUM(D5:D16)</f>
        <v>6</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0.4</v>
      </c>
      <c r="D18" s="267">
        <f>1-C18</f>
        <v>0.6</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206821</v>
      </c>
      <c r="D19" s="271">
        <f ca="1">SUMIF(INDIRECT("'"&amp;D4&amp;"'"&amp;"!A:A"),结果表!B19,INDIRECT("'"&amp;D4&amp;"'"&amp;"!B:B"))</f>
        <v>142824</v>
      </c>
      <c r="E19" s="268" t="s">
        <v>323</v>
      </c>
      <c r="F19" s="269" t="s">
        <v>322</v>
      </c>
      <c r="G19" s="272">
        <f ca="1">ROUND(C19*$C$18+D19*$D$18,0)</f>
        <v>168423</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18133</v>
      </c>
      <c r="D20" s="277">
        <f ca="1">SUMIF(INDIRECT("'"&amp;D4&amp;"'"&amp;"!A:A"),结果表!B20,INDIRECT("'"&amp;D4&amp;"'"&amp;"!B:B"))</f>
        <v>12522</v>
      </c>
      <c r="E20" s="274"/>
      <c r="F20" s="275" t="s">
        <v>325</v>
      </c>
      <c r="G20" s="278">
        <f ca="1">ROUND(C20*$C$18+D20*$D$18,0)</f>
        <v>14766</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38079</v>
      </c>
      <c r="D21" s="151">
        <f ca="1">SUMIF(INDIRECT("'"&amp;D4&amp;"'"&amp;"!A:A"),结果表!B21,INDIRECT("'"&amp;D4&amp;"'"&amp;"!B:B"))</f>
        <v>26296</v>
      </c>
      <c r="E21" s="274"/>
      <c r="F21" s="280" t="s">
        <v>327</v>
      </c>
      <c r="G21" s="282">
        <f ca="1">ROUND(C21*$C$18+D21*$D$18,0)</f>
        <v>31009</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0.44808295524561692</v>
      </c>
      <c r="E22" s="284"/>
      <c r="F22" s="285"/>
      <c r="G22" s="286">
        <f ca="1">ROUND(G19/('数据-汇总表'!D3/666.67),0)</f>
        <v>2067</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77"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78"/>
      <c r="B25" s="1324" t="s">
        <v>331</v>
      </c>
      <c r="C25" s="290">
        <f>IF(B30=0,0,C30)</f>
        <v>0</v>
      </c>
      <c r="D25" s="291"/>
      <c r="E25" s="314"/>
      <c r="F25" s="314"/>
      <c r="G25" s="314"/>
      <c r="H25" s="314"/>
      <c r="I25" s="314"/>
      <c r="J25" s="2032"/>
      <c r="K25" s="1258" t="str">
        <f ca="1">项目基本情况!B16&amp;"国有建设用地使用权价格："&amp;O38&amp;"万元"</f>
        <v>出让国有建设用地使用权价格：168423万元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大写金额：人民币壹拾陆亿捌仟肆佰贰拾叁万元整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单位面积地价：31009元/平方米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楼面地价：14766元/平方米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抵押价格：168423万元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大写金额：人民币壹拾陆亿捌仟肆佰贰拾叁万元整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5" t="s">
        <v>1690</v>
      </c>
      <c r="C32" s="1386">
        <f ca="1">G19-C24</f>
        <v>168423</v>
      </c>
      <c r="D32" s="1387"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8" t="s">
        <v>1692</v>
      </c>
      <c r="C33" s="264">
        <f ca="1">ROUND(C32*10000/'数据-汇总表'!E3,0)</f>
        <v>14766</v>
      </c>
      <c r="D33" s="1389" t="s">
        <v>1693</v>
      </c>
      <c r="E33" s="3277" t="s">
        <v>338</v>
      </c>
      <c r="F33" s="299" t="s">
        <v>339</v>
      </c>
      <c r="G33" s="300"/>
      <c r="H33" s="983"/>
      <c r="I33" s="1262"/>
      <c r="J33" s="2032"/>
      <c r="K33" s="1261" t="str">
        <f ca="1">IF(项目基本情况!E9="——","——","抵押净值："&amp;C46&amp;"万元")</f>
        <v>抵押净值：107440万元</v>
      </c>
      <c r="L33" s="1255"/>
      <c r="M33" s="1255"/>
      <c r="N33" s="1255"/>
      <c r="O33" s="1254"/>
      <c r="P33" s="2032"/>
      <c r="V33" s="2032"/>
    </row>
    <row r="34" spans="1:26" s="1257" customFormat="1" ht="18.75" thickBot="1">
      <c r="A34" s="303"/>
      <c r="B34" s="1390" t="s">
        <v>1694</v>
      </c>
      <c r="C34" s="264">
        <f ca="1">ROUND(C32*10000/'数据-汇总表'!D3,0)</f>
        <v>31009</v>
      </c>
      <c r="D34" s="1391" t="s">
        <v>1693</v>
      </c>
      <c r="E34" s="3318"/>
      <c r="F34" s="127" t="s">
        <v>341</v>
      </c>
      <c r="G34" s="302"/>
      <c r="H34" s="105"/>
      <c r="I34" s="314"/>
      <c r="J34" s="2032"/>
      <c r="K34" s="1264" t="str">
        <f ca="1">IF(K33="——","——","大写金额：人民币"&amp;NUMBERSTRING(INT(O41*10000),2)&amp;"元整")</f>
        <v>大写金额：人民币壹拾亿柒仟肆佰肆拾万元整</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2067</v>
      </c>
      <c r="D35" s="1394" t="s">
        <v>1695</v>
      </c>
      <c r="E35" s="3319"/>
      <c r="F35" s="304" t="s">
        <v>342</v>
      </c>
      <c r="G35" s="985"/>
      <c r="H35" s="984" t="s">
        <v>343</v>
      </c>
      <c r="I35" s="314"/>
      <c r="J35" s="2032"/>
      <c r="K35" s="3292" t="s">
        <v>350</v>
      </c>
      <c r="L35" s="3292" t="s">
        <v>351</v>
      </c>
      <c r="M35" s="1267" t="s">
        <v>352</v>
      </c>
      <c r="N35" s="3292" t="s">
        <v>353</v>
      </c>
      <c r="O35" s="3292" t="s">
        <v>354</v>
      </c>
      <c r="P35" s="2032"/>
      <c r="V35" s="2032"/>
    </row>
    <row r="36" spans="1:26" ht="16.5" customHeight="1">
      <c r="A36" s="306" t="s">
        <v>344</v>
      </c>
      <c r="B36" s="307" t="s">
        <v>333</v>
      </c>
      <c r="C36" s="308" t="s">
        <v>345</v>
      </c>
      <c r="D36" s="308" t="s">
        <v>346</v>
      </c>
      <c r="E36" s="309" t="s">
        <v>347</v>
      </c>
      <c r="F36" s="314"/>
      <c r="G36" s="314"/>
      <c r="H36" s="314"/>
      <c r="I36" s="314"/>
      <c r="J36" s="2034"/>
      <c r="K36" s="3293"/>
      <c r="L36" s="3293"/>
      <c r="M36" s="1269" t="s">
        <v>355</v>
      </c>
      <c r="N36" s="3293"/>
      <c r="O36" s="3293"/>
      <c r="P36" s="2032"/>
      <c r="V36" s="2032"/>
    </row>
    <row r="37" spans="1:26" ht="16.5" customHeight="1" thickBot="1">
      <c r="A37" s="1263" t="s">
        <v>348</v>
      </c>
      <c r="B37" s="310"/>
      <c r="C37" s="294"/>
      <c r="D37" s="294"/>
      <c r="E37" s="295"/>
      <c r="F37" s="314"/>
      <c r="G37" s="314"/>
      <c r="H37" s="314"/>
      <c r="I37" s="314"/>
      <c r="J37" s="2034"/>
      <c r="K37" s="3294"/>
      <c r="L37" s="3294"/>
      <c r="M37" s="1270"/>
      <c r="N37" s="3294"/>
      <c r="O37" s="3294"/>
      <c r="P37" s="2032"/>
      <c r="V37" s="2032"/>
    </row>
    <row r="38" spans="1:26" ht="16.5" customHeight="1" thickBot="1">
      <c r="A38" s="1263" t="s">
        <v>349</v>
      </c>
      <c r="B38" s="310"/>
      <c r="C38" s="294"/>
      <c r="D38" s="294"/>
      <c r="E38" s="295"/>
      <c r="F38" s="314"/>
      <c r="G38" s="314"/>
      <c r="H38" s="314"/>
      <c r="I38" s="314"/>
      <c r="J38" s="2034"/>
      <c r="K38" s="1271">
        <f>'数据-汇总表'!D3</f>
        <v>54313.53</v>
      </c>
      <c r="L38" s="1272">
        <f>'数据-汇总表'!E3</f>
        <v>114058.41</v>
      </c>
      <c r="M38" s="1272">
        <f ca="1">C34</f>
        <v>31009</v>
      </c>
      <c r="N38" s="1272">
        <f ca="1">C33</f>
        <v>14766</v>
      </c>
      <c r="O38" s="1273">
        <f ca="1">C32</f>
        <v>168423</v>
      </c>
      <c r="P38" s="2032"/>
      <c r="V38" s="2032"/>
    </row>
    <row r="39" spans="1:26" ht="16.5" customHeight="1" thickBot="1">
      <c r="A39" s="1268"/>
      <c r="B39" s="311"/>
      <c r="C39" s="312"/>
      <c r="D39" s="312"/>
      <c r="E39" s="313"/>
      <c r="F39" s="314"/>
      <c r="G39" s="314"/>
      <c r="H39" s="314"/>
      <c r="I39" s="314"/>
      <c r="J39" s="2034"/>
      <c r="K39" s="3337" t="str">
        <f>MID(A44,3,LEN(A44)-2)</f>
        <v>抵押价格</v>
      </c>
      <c r="L39" s="3338"/>
      <c r="M39" s="3338"/>
      <c r="N39" s="3339"/>
      <c r="O39" s="1396">
        <f ca="1">C44</f>
        <v>168423</v>
      </c>
      <c r="P39" s="2032"/>
      <c r="V39" s="2032"/>
    </row>
    <row r="40" spans="1:26" ht="19.5" thickBot="1">
      <c r="A40" s="104" t="s">
        <v>874</v>
      </c>
      <c r="B40" s="314"/>
      <c r="C40" s="314"/>
      <c r="D40" s="314"/>
      <c r="E40" s="314"/>
      <c r="F40" s="314"/>
      <c r="G40" s="314"/>
      <c r="H40" s="314"/>
      <c r="I40" s="314"/>
      <c r="J40" s="2034"/>
      <c r="K40" s="3337" t="str">
        <f t="shared" ref="K40:K41" si="0">MID(A45,3,LEN(A45)-2)</f>
        <v/>
      </c>
      <c r="L40" s="3338"/>
      <c r="M40" s="3338"/>
      <c r="N40" s="3339"/>
      <c r="O40" s="1396" t="str">
        <f>C45</f>
        <v>——</v>
      </c>
      <c r="P40" s="2032"/>
      <c r="V40" s="2032"/>
    </row>
    <row r="41" spans="1:26" ht="16.5" thickBot="1">
      <c r="A41" s="315" t="s">
        <v>356</v>
      </c>
      <c r="B41" s="316"/>
      <c r="C41" s="317" t="s">
        <v>357</v>
      </c>
      <c r="D41" s="318" t="s">
        <v>358</v>
      </c>
      <c r="E41" s="318" t="s">
        <v>359</v>
      </c>
      <c r="F41" s="319" t="s">
        <v>360</v>
      </c>
      <c r="G41" s="314"/>
      <c r="H41" s="314"/>
      <c r="I41" s="314"/>
      <c r="J41" s="2034"/>
      <c r="K41" s="3337" t="str">
        <f t="shared" si="0"/>
        <v>抵押净值</v>
      </c>
      <c r="L41" s="3338"/>
      <c r="M41" s="3338"/>
      <c r="N41" s="3339"/>
      <c r="O41" s="1396">
        <f ca="1">C46</f>
        <v>107440</v>
      </c>
      <c r="P41" s="2032"/>
      <c r="V41" s="2032"/>
    </row>
    <row r="42" spans="1:26" ht="29.25">
      <c r="A42" s="3279" t="s">
        <v>2071</v>
      </c>
      <c r="B42" s="3280"/>
      <c r="C42" s="264">
        <f ca="1">C32</f>
        <v>168423</v>
      </c>
      <c r="D42" s="320">
        <f ca="1">C33</f>
        <v>14766</v>
      </c>
      <c r="E42" s="320">
        <f ca="1">C34</f>
        <v>31009</v>
      </c>
      <c r="F42" s="321">
        <f ca="1">C35</f>
        <v>2067</v>
      </c>
      <c r="G42" s="314"/>
      <c r="H42" s="314"/>
      <c r="I42" s="322"/>
      <c r="J42" s="2034"/>
      <c r="K42" s="1274" t="s">
        <v>361</v>
      </c>
      <c r="L42" s="2051" t="s">
        <v>362</v>
      </c>
      <c r="M42" s="1275" t="s">
        <v>363</v>
      </c>
      <c r="N42" s="2052" t="s">
        <v>364</v>
      </c>
      <c r="O42" s="2053" t="s">
        <v>365</v>
      </c>
      <c r="P42" s="2032"/>
      <c r="V42" s="2032"/>
    </row>
    <row r="43" spans="1:26" ht="30">
      <c r="A43" s="3290" t="s">
        <v>2738</v>
      </c>
      <c r="B43" s="3291"/>
      <c r="C43" s="264">
        <f>IF(H33="正常操作",G33+G34+G35,G34+G35)</f>
        <v>0</v>
      </c>
      <c r="D43" s="320" t="s">
        <v>43</v>
      </c>
      <c r="E43" s="320" t="s">
        <v>44</v>
      </c>
      <c r="F43" s="321" t="s">
        <v>44</v>
      </c>
      <c r="G43" s="2898" t="s">
        <v>953</v>
      </c>
      <c r="H43" s="314"/>
      <c r="I43" s="322"/>
      <c r="J43" s="2034"/>
      <c r="K43" s="1276" t="str">
        <f>C4</f>
        <v>剩余法-待开发</v>
      </c>
      <c r="L43" s="1277">
        <f ca="1">IF(L42="估价结果/万元",C19,C20)</f>
        <v>206821</v>
      </c>
      <c r="M43" s="1278">
        <f>C18</f>
        <v>0.4</v>
      </c>
      <c r="N43" s="1279">
        <f ca="1">IF(N42="测算结果/万元",G19,G20)</f>
        <v>168423</v>
      </c>
      <c r="O43" s="1280">
        <f ca="1">IF(O42="最终结果/万元",C32,C33)</f>
        <v>168423</v>
      </c>
      <c r="P43" s="2032"/>
      <c r="V43" s="2032"/>
    </row>
    <row r="44" spans="1:26" ht="30.75" thickBot="1">
      <c r="A44" s="3279" t="str">
        <f>IF(OR(项目基本情况!E8="抵押价格",项目基本情况!E8="已注销及未注销"),"3.抵押价格","——")</f>
        <v>3.抵押价格</v>
      </c>
      <c r="B44" s="3280"/>
      <c r="C44" s="264">
        <f ca="1">IF(A44="——","——",C42-C43)</f>
        <v>168423</v>
      </c>
      <c r="D44" s="320">
        <f ca="1">ROUND(C44*10000/'数据-汇总表'!E3,0)</f>
        <v>14766</v>
      </c>
      <c r="E44" s="320">
        <f ca="1">ROUND(C44*10000/'数据-汇总表'!D3,0)</f>
        <v>31009</v>
      </c>
      <c r="F44" s="321">
        <f ca="1">ROUND(C44/('数据-汇总表'!D3/666.67),0)</f>
        <v>2067</v>
      </c>
      <c r="G44" s="314"/>
      <c r="H44" s="314"/>
      <c r="I44" s="322"/>
      <c r="J44" s="2034"/>
      <c r="K44" s="1281" t="str">
        <f>D4</f>
        <v>比较法-住宅、综合</v>
      </c>
      <c r="L44" s="1282">
        <f ca="1">IF(L42="估价结果/万元",D19,D20)</f>
        <v>142824</v>
      </c>
      <c r="M44" s="1283">
        <f>D18</f>
        <v>0.6</v>
      </c>
      <c r="N44" s="1284"/>
      <c r="O44" s="1285"/>
      <c r="P44" s="2032"/>
      <c r="V44" s="2032"/>
    </row>
    <row r="45" spans="1:26" ht="15">
      <c r="A45" s="3285" t="str">
        <f>IF(项目基本情况!E8="已注销及未注销","4.抵押担保权已注销时的抵押价格",IF(项目基本情况!E8="已注销","3.抵押担保权已注销时的抵押价格","——"))</f>
        <v>——</v>
      </c>
      <c r="B45" s="3286"/>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281" t="str">
        <f>IF(项目基本情况!E9="抵押净值",IF(A45="——","4.抵押净值","5.抵押净值"),"——")</f>
        <v>4.抵押净值</v>
      </c>
      <c r="B46" s="3282"/>
      <c r="C46" s="323">
        <f ca="1">IF(A46="——","——",O79)</f>
        <v>107440</v>
      </c>
      <c r="D46" s="320">
        <f ca="1">ROUND(C46*10000/'数据-汇总表'!E3,0)</f>
        <v>9420</v>
      </c>
      <c r="E46" s="320">
        <f ca="1">ROUND(C46*10000/'数据-汇总表'!D3,0)</f>
        <v>19781</v>
      </c>
      <c r="F46" s="321">
        <f ca="1">ROUND(C46/('数据-汇总表'!D3/666.67),0)</f>
        <v>1319</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26" t="s">
        <v>374</v>
      </c>
      <c r="B63" s="3327"/>
      <c r="C63" s="3328"/>
      <c r="D63" s="344">
        <f ca="1">ROUND(C42*F63,0)</f>
        <v>101054</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287" t="s">
        <v>378</v>
      </c>
      <c r="B64" s="3288"/>
      <c r="C64" s="3288"/>
      <c r="D64" s="3288"/>
      <c r="E64" s="3288"/>
      <c r="F64" s="3288"/>
      <c r="G64" s="3289"/>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283" t="s">
        <v>386</v>
      </c>
      <c r="B66" s="3284"/>
      <c r="C66" s="3284"/>
      <c r="D66" s="261">
        <f ca="1">IF(H66="情况1",0,IF(H66="情况2",D70,IF(H66="情况3",D71,IF(H66="情况4",D72))))</f>
        <v>0</v>
      </c>
      <c r="E66" s="996" t="str">
        <f>IF(H66="情况4","(销售额-原购置价)×税（费）率","销售额×税（费）率")</f>
        <v>销售额×税（费）率</v>
      </c>
      <c r="F66" s="353">
        <f>IF(H66="情况1","免征",'数据-取费表'!B41)</f>
        <v>0</v>
      </c>
      <c r="G66" s="354" t="s">
        <v>387</v>
      </c>
      <c r="H66" s="191" t="s">
        <v>388</v>
      </c>
      <c r="I66" s="1291"/>
      <c r="J66" s="2038"/>
      <c r="K66" s="1294">
        <v>1</v>
      </c>
      <c r="L66" s="3341" t="s">
        <v>385</v>
      </c>
      <c r="M66" s="3342"/>
      <c r="N66" s="2486"/>
      <c r="O66" s="2487"/>
      <c r="P66" s="2488"/>
      <c r="Q66" s="2032"/>
      <c r="R66" s="2032"/>
      <c r="S66" s="2032"/>
      <c r="T66" s="2032"/>
      <c r="U66" s="2032"/>
      <c r="V66" s="2032"/>
    </row>
    <row r="67" spans="1:22" ht="25.5" customHeight="1">
      <c r="A67" s="355" t="s">
        <v>390</v>
      </c>
      <c r="B67" s="3274" t="s">
        <v>391</v>
      </c>
      <c r="C67" s="3274"/>
      <c r="D67" s="356">
        <v>0</v>
      </c>
      <c r="E67" s="41" t="s">
        <v>392</v>
      </c>
      <c r="F67" s="62" t="s">
        <v>21</v>
      </c>
      <c r="G67" s="3329"/>
      <c r="H67" s="314"/>
      <c r="I67" s="1295"/>
      <c r="J67" s="2039"/>
      <c r="K67" s="1980">
        <v>2</v>
      </c>
      <c r="L67" s="3340" t="s">
        <v>389</v>
      </c>
      <c r="M67" s="3340"/>
      <c r="N67" s="1328">
        <f>'数据-取费表'!B2</f>
        <v>43021</v>
      </c>
      <c r="O67" s="1328"/>
      <c r="P67" s="1328"/>
      <c r="Q67" s="2032"/>
      <c r="R67" s="2032"/>
      <c r="S67" s="2032"/>
      <c r="T67" s="2032"/>
      <c r="U67" s="2032"/>
      <c r="V67" s="2032"/>
    </row>
    <row r="68" spans="1:22" ht="25.5" customHeight="1">
      <c r="A68" s="357"/>
      <c r="B68" s="3274" t="s">
        <v>394</v>
      </c>
      <c r="C68" s="3274"/>
      <c r="D68" s="358"/>
      <c r="E68" s="77"/>
      <c r="F68" s="359"/>
      <c r="G68" s="3330"/>
      <c r="H68" s="314"/>
      <c r="I68" s="1295"/>
      <c r="J68" s="2039"/>
      <c r="K68" s="1980">
        <v>3</v>
      </c>
      <c r="L68" s="3340" t="s">
        <v>393</v>
      </c>
      <c r="M68" s="3340"/>
      <c r="N68" s="1296">
        <f ca="1">C42</f>
        <v>168423</v>
      </c>
      <c r="O68" s="1296"/>
      <c r="P68" s="1296"/>
      <c r="Q68" s="2032"/>
      <c r="R68" s="2032"/>
      <c r="S68" s="2032"/>
      <c r="T68" s="2032"/>
      <c r="U68" s="2032"/>
      <c r="V68" s="2032"/>
    </row>
    <row r="69" spans="1:22" ht="12" customHeight="1">
      <c r="A69" s="360"/>
      <c r="B69" s="3274" t="s">
        <v>395</v>
      </c>
      <c r="C69" s="3274"/>
      <c r="D69" s="361"/>
      <c r="E69" s="73"/>
      <c r="F69" s="359"/>
      <c r="G69" s="3331"/>
      <c r="H69" s="314"/>
      <c r="I69" s="1295"/>
      <c r="J69" s="2039"/>
      <c r="K69" s="1297">
        <v>4</v>
      </c>
      <c r="L69" s="3345" t="s">
        <v>2891</v>
      </c>
      <c r="M69" s="3346"/>
      <c r="N69" s="1298">
        <f ca="1">C44</f>
        <v>168423</v>
      </c>
      <c r="O69" s="1298"/>
      <c r="P69" s="1298"/>
      <c r="Q69" s="2032"/>
      <c r="R69" s="2032"/>
      <c r="S69" s="2032"/>
      <c r="T69" s="2032"/>
      <c r="U69" s="2032"/>
      <c r="V69" s="2032"/>
    </row>
    <row r="70" spans="1:22" ht="24" customHeight="1">
      <c r="A70" s="362" t="s">
        <v>396</v>
      </c>
      <c r="B70" s="3274" t="s">
        <v>397</v>
      </c>
      <c r="C70" s="3274"/>
      <c r="D70" s="361">
        <f ca="1">ROUND(D63*'数据-取费表'!B41/(1+'数据-取费表'!C42),0)</f>
        <v>0</v>
      </c>
      <c r="E70" s="17" t="s">
        <v>398</v>
      </c>
      <c r="F70" s="363">
        <f>'数据-取费表'!B41</f>
        <v>0</v>
      </c>
      <c r="G70" s="364"/>
      <c r="H70" s="314"/>
      <c r="I70" s="1295"/>
      <c r="J70" s="2039"/>
      <c r="K70" s="3094"/>
      <c r="L70" s="3095"/>
      <c r="M70" s="3095"/>
      <c r="N70" s="3096" t="s">
        <v>2896</v>
      </c>
      <c r="O70" s="3095"/>
      <c r="P70" s="3097"/>
      <c r="Q70" s="2032"/>
      <c r="R70" s="2032"/>
      <c r="S70" s="2032"/>
      <c r="T70" s="2032"/>
      <c r="U70" s="2032"/>
      <c r="V70" s="2032"/>
    </row>
    <row r="71" spans="1:22" ht="12" customHeight="1">
      <c r="A71" s="362" t="s">
        <v>404</v>
      </c>
      <c r="B71" s="3275" t="s">
        <v>405</v>
      </c>
      <c r="C71" s="3276"/>
      <c r="D71" s="361">
        <f ca="1">ROUND(D63*'数据-取费表'!B41/(1+'数据-取费表'!C42),0)</f>
        <v>0</v>
      </c>
      <c r="E71" s="17" t="s">
        <v>398</v>
      </c>
      <c r="F71" s="363">
        <f>'数据-取费表'!B41</f>
        <v>0</v>
      </c>
      <c r="G71" s="364"/>
      <c r="H71" s="314"/>
      <c r="I71" s="1295"/>
      <c r="J71" s="2039"/>
      <c r="K71" s="3093" t="s">
        <v>399</v>
      </c>
      <c r="L71" s="3347" t="s">
        <v>400</v>
      </c>
      <c r="M71" s="3347"/>
      <c r="N71" s="3093" t="s">
        <v>401</v>
      </c>
      <c r="O71" s="3093" t="s">
        <v>402</v>
      </c>
      <c r="P71" s="3093" t="s">
        <v>403</v>
      </c>
      <c r="Q71" s="2032"/>
      <c r="R71" s="2032"/>
      <c r="S71" s="2032"/>
      <c r="T71" s="2032"/>
      <c r="U71" s="2032"/>
      <c r="V71" s="2032"/>
    </row>
    <row r="72" spans="1:22" ht="12" customHeight="1">
      <c r="A72" s="362" t="s">
        <v>407</v>
      </c>
      <c r="B72" s="3275" t="s">
        <v>408</v>
      </c>
      <c r="C72" s="3276"/>
      <c r="D72" s="361">
        <f ca="1">C86</f>
        <v>0</v>
      </c>
      <c r="E72" s="73" t="s">
        <v>409</v>
      </c>
      <c r="F72" s="363">
        <f>'数据-取费表'!B41</f>
        <v>0</v>
      </c>
      <c r="G72" s="364"/>
      <c r="H72" s="1301"/>
      <c r="I72" s="1295"/>
      <c r="J72" s="2039"/>
      <c r="K72" s="1980">
        <v>1</v>
      </c>
      <c r="L72" s="3322" t="s">
        <v>406</v>
      </c>
      <c r="M72" s="3322"/>
      <c r="N72" s="1299">
        <f ca="1">D66</f>
        <v>0</v>
      </c>
      <c r="O72" s="1863" t="str">
        <f>E66</f>
        <v>销售额×税（费）率</v>
      </c>
      <c r="P72" s="1300">
        <f>F66</f>
        <v>0</v>
      </c>
      <c r="Q72" s="2032"/>
      <c r="R72" s="2032"/>
      <c r="S72" s="2032"/>
      <c r="T72" s="2032"/>
      <c r="U72" s="2032"/>
      <c r="V72" s="2032"/>
    </row>
    <row r="73" spans="1:22" ht="24" customHeight="1">
      <c r="A73" s="3316" t="s">
        <v>411</v>
      </c>
      <c r="B73" s="3284"/>
      <c r="C73" s="3284"/>
      <c r="D73" s="365">
        <f>IF(H73="个人住宅",0,ROUND(D63*I73,0))</f>
        <v>0</v>
      </c>
      <c r="E73" s="17" t="s">
        <v>412</v>
      </c>
      <c r="F73" s="363" t="str">
        <f>IF(H73="正常",I73,"免征")</f>
        <v>免征</v>
      </c>
      <c r="G73" s="364"/>
      <c r="H73" s="191" t="s">
        <v>2460</v>
      </c>
      <c r="I73" s="363">
        <f>'数据-取费表'!B49</f>
        <v>5.0000000000000001E-4</v>
      </c>
      <c r="J73" s="2039"/>
      <c r="K73" s="1980">
        <v>2</v>
      </c>
      <c r="L73" s="3322" t="s">
        <v>410</v>
      </c>
      <c r="M73" s="3322"/>
      <c r="N73" s="1299">
        <f t="shared" ref="N73:P74" si="1">D73</f>
        <v>0</v>
      </c>
      <c r="O73" s="1863" t="str">
        <f t="shared" si="1"/>
        <v>销售额×税（费）率</v>
      </c>
      <c r="P73" s="1300" t="str">
        <f t="shared" si="1"/>
        <v>免征</v>
      </c>
      <c r="Q73" s="2032"/>
      <c r="R73" s="2032"/>
      <c r="S73" s="2032"/>
      <c r="T73" s="2032"/>
      <c r="U73" s="2032"/>
      <c r="V73" s="2032"/>
    </row>
    <row r="74" spans="1:22" ht="24.75">
      <c r="A74" s="3316" t="s">
        <v>415</v>
      </c>
      <c r="B74" s="3284"/>
      <c r="C74" s="3284"/>
      <c r="D74" s="365">
        <f ca="1">IF(H74="个人住宅",D75,D76)</f>
        <v>59972</v>
      </c>
      <c r="E74" s="17" t="s">
        <v>416</v>
      </c>
      <c r="F74" s="363" t="str">
        <f>IF(H74="正常",F76,"免征")</f>
        <v>——</v>
      </c>
      <c r="G74" s="986" t="s">
        <v>417</v>
      </c>
      <c r="H74" s="366" t="s">
        <v>413</v>
      </c>
      <c r="I74" s="42"/>
      <c r="J74" s="2039"/>
      <c r="K74" s="1980">
        <v>3</v>
      </c>
      <c r="L74" s="3322" t="s">
        <v>414</v>
      </c>
      <c r="M74" s="3322"/>
      <c r="N74" s="1299">
        <f t="shared" ca="1" si="1"/>
        <v>59972</v>
      </c>
      <c r="O74" s="1863" t="str">
        <f t="shared" si="1"/>
        <v>增值额×税（费）率</v>
      </c>
      <c r="P74" s="1302" t="str">
        <f t="shared" si="1"/>
        <v>——</v>
      </c>
      <c r="Q74" s="2032"/>
      <c r="R74" s="2032"/>
      <c r="S74" s="2032"/>
      <c r="T74" s="2032"/>
      <c r="U74" s="2032"/>
      <c r="V74" s="2032"/>
    </row>
    <row r="75" spans="1:22" ht="24">
      <c r="A75" s="362" t="s">
        <v>418</v>
      </c>
      <c r="B75" s="3272" t="s">
        <v>419</v>
      </c>
      <c r="C75" s="3302"/>
      <c r="D75" s="367">
        <v>0</v>
      </c>
      <c r="E75" s="41" t="s">
        <v>420</v>
      </c>
      <c r="F75" s="368"/>
      <c r="G75" s="364"/>
      <c r="H75" s="42"/>
      <c r="I75" s="42"/>
      <c r="J75" s="2039"/>
      <c r="K75" s="3086">
        <f>IF(H77="非个人房产","",4)</f>
        <v>4</v>
      </c>
      <c r="L75" s="3322" t="str">
        <f>IF(H77="非个人房产","——","个人所得税")</f>
        <v>个人所得税</v>
      </c>
      <c r="M75" s="3322"/>
      <c r="N75" s="1303">
        <f ca="1">D77</f>
        <v>1011</v>
      </c>
      <c r="O75" s="1876" t="str">
        <f>E77</f>
        <v>销售额×税（费）率</v>
      </c>
      <c r="P75" s="1304">
        <f>F77</f>
        <v>0.01</v>
      </c>
      <c r="Q75" s="2032"/>
      <c r="R75" s="2032"/>
      <c r="S75" s="2032"/>
      <c r="T75" s="2032"/>
      <c r="U75" s="2032"/>
      <c r="V75" s="2032"/>
    </row>
    <row r="76" spans="1:22" ht="24.75">
      <c r="A76" s="362" t="s">
        <v>396</v>
      </c>
      <c r="B76" s="3272" t="s">
        <v>422</v>
      </c>
      <c r="C76" s="3273"/>
      <c r="D76" s="365">
        <f ca="1">IF(H76="转让取得",C99,C115)</f>
        <v>59972</v>
      </c>
      <c r="E76" s="17" t="s">
        <v>423</v>
      </c>
      <c r="F76" s="53" t="s">
        <v>21</v>
      </c>
      <c r="G76" s="364"/>
      <c r="H76" s="366" t="s">
        <v>424</v>
      </c>
      <c r="I76" s="42"/>
      <c r="J76" s="2039"/>
      <c r="K76" s="3086" t="str">
        <f>IF(项目基本情况!K6="上海银行",IF(K75="",4,K75+1),"")</f>
        <v/>
      </c>
      <c r="L76" s="3333" t="str">
        <f>IF(项目基本情况!K6="上海银行","其他处置费用","")</f>
        <v/>
      </c>
      <c r="M76" s="3334"/>
      <c r="N76" s="1299" t="str">
        <f>IF(项目基本情况!K6="上海银行",N89,"")</f>
        <v/>
      </c>
      <c r="O76" s="3335" t="str">
        <f>IF(项目基本情况!K6="上海银行","包含处置中涉及的律师、诉讼、拍卖、评估等费用","")</f>
        <v/>
      </c>
      <c r="P76" s="3336"/>
      <c r="Q76" s="2032"/>
      <c r="R76" s="2032"/>
      <c r="S76" s="2032"/>
      <c r="T76" s="2032"/>
      <c r="U76" s="2032"/>
      <c r="V76" s="2032"/>
    </row>
    <row r="77" spans="1:22" ht="26.25" thickBot="1">
      <c r="A77" s="3324" t="s">
        <v>426</v>
      </c>
      <c r="B77" s="3325"/>
      <c r="C77" s="3325"/>
      <c r="D77" s="369">
        <f ca="1">IF(H77="非个人房产","——",IF(H77="个人住宅",0,ROUND(D63*I77,0)))</f>
        <v>1011</v>
      </c>
      <c r="E77" s="370" t="str">
        <f>IF(H77="非个人房产","——","销售额×税（费）率")</f>
        <v>销售额×税（费）率</v>
      </c>
      <c r="F77" s="371">
        <f>IF(H77="非个人房产","——",IF(H77="个人住宅","免征",I77))</f>
        <v>0.01</v>
      </c>
      <c r="G77" s="987" t="s">
        <v>417</v>
      </c>
      <c r="H77" s="366" t="s">
        <v>2892</v>
      </c>
      <c r="I77" s="372">
        <v>0.01</v>
      </c>
      <c r="J77" s="2039"/>
      <c r="K77" s="3323">
        <f>IF(AND(K75="",K76=""),4,IF(项目基本情况!K6="上海银行",K76+1,K75+1))</f>
        <v>5</v>
      </c>
      <c r="L77" s="3322" t="s">
        <v>2893</v>
      </c>
      <c r="M77" s="3092" t="s">
        <v>421</v>
      </c>
      <c r="N77" s="1305"/>
      <c r="O77" s="1306">
        <f ca="1">SUMIF(N72:N76,"&lt;9e307")</f>
        <v>60983</v>
      </c>
      <c r="P77" s="1307"/>
      <c r="Q77" s="3090">
        <f ca="1">O77/N69</f>
        <v>0.3620823759225284</v>
      </c>
      <c r="R77" s="2032"/>
      <c r="S77" s="2032"/>
      <c r="T77" s="2032"/>
      <c r="U77" s="2032"/>
      <c r="V77" s="2032"/>
    </row>
    <row r="78" spans="1:22" ht="12" customHeight="1">
      <c r="A78" s="1308"/>
      <c r="B78" s="314"/>
      <c r="C78" s="314"/>
      <c r="D78" s="314"/>
      <c r="E78" s="42"/>
      <c r="F78" s="42"/>
      <c r="G78" s="42"/>
      <c r="H78" s="1006"/>
      <c r="I78" s="314"/>
      <c r="J78" s="2039"/>
      <c r="K78" s="3323"/>
      <c r="L78" s="3322"/>
      <c r="M78" s="3092" t="s">
        <v>425</v>
      </c>
      <c r="N78" s="1305"/>
      <c r="O78" s="1306" t="str">
        <f ca="1">NUMBERSTRING(INT(O77*10000),2)&amp;"元整"</f>
        <v>陆亿零玖佰捌拾叁万元整</v>
      </c>
      <c r="P78" s="1307"/>
      <c r="Q78" s="2032"/>
      <c r="R78" s="2032"/>
      <c r="S78" s="2032"/>
      <c r="T78" s="2032"/>
      <c r="U78" s="2032"/>
      <c r="V78" s="2032"/>
    </row>
    <row r="79" spans="1:22" ht="13.5" thickBot="1">
      <c r="A79" s="3317" t="s">
        <v>427</v>
      </c>
      <c r="B79" s="3317"/>
      <c r="C79" s="3317"/>
      <c r="D79" s="3317"/>
      <c r="E79" s="3317"/>
      <c r="F79" s="42"/>
      <c r="G79" s="42"/>
      <c r="H79" s="1006"/>
      <c r="I79" s="314"/>
      <c r="J79" s="2039"/>
      <c r="K79" s="3343">
        <f>K77+1</f>
        <v>6</v>
      </c>
      <c r="L79" s="3322" t="s">
        <v>2894</v>
      </c>
      <c r="M79" s="3092" t="s">
        <v>421</v>
      </c>
      <c r="N79" s="1305"/>
      <c r="O79" s="1306">
        <f ca="1">N69-O77</f>
        <v>107440</v>
      </c>
      <c r="P79" s="1307"/>
      <c r="Q79" s="2032"/>
      <c r="R79" s="2032"/>
      <c r="S79" s="2032"/>
      <c r="T79" s="2032"/>
      <c r="U79" s="2032"/>
      <c r="V79" s="2032"/>
    </row>
    <row r="80" spans="1:22" ht="25.5">
      <c r="A80" s="3312" t="s">
        <v>428</v>
      </c>
      <c r="B80" s="3313"/>
      <c r="C80" s="997"/>
      <c r="D80" s="997" t="s">
        <v>429</v>
      </c>
      <c r="E80" s="373" t="s">
        <v>430</v>
      </c>
      <c r="F80" s="42"/>
      <c r="G80" s="42"/>
      <c r="H80" s="1006"/>
      <c r="I80" s="314"/>
      <c r="J80" s="2032"/>
      <c r="K80" s="3344"/>
      <c r="L80" s="3322"/>
      <c r="M80" s="3092" t="s">
        <v>425</v>
      </c>
      <c r="N80" s="1305"/>
      <c r="O80" s="1306" t="str">
        <f ca="1">NUMBERSTRING(INT(O79*10000),2)&amp;"元整"</f>
        <v>壹拾亿柒仟肆佰肆拾万元整</v>
      </c>
      <c r="P80" s="1307"/>
      <c r="Q80" s="2032"/>
      <c r="R80" s="2032"/>
      <c r="S80" s="2032"/>
      <c r="T80" s="2032"/>
      <c r="U80" s="2032"/>
      <c r="V80" s="2032"/>
    </row>
    <row r="81" spans="1:26" ht="13.5" thickBot="1">
      <c r="A81" s="384" t="s">
        <v>1825</v>
      </c>
      <c r="B81" s="374" t="s">
        <v>431</v>
      </c>
      <c r="C81" s="375">
        <f ca="1">ROUND((C82+C83)/(1+'数据-取费表'!C42),0)</f>
        <v>101054</v>
      </c>
      <c r="D81" s="376"/>
      <c r="E81" s="377"/>
      <c r="F81" s="42"/>
      <c r="G81" s="42"/>
      <c r="H81" s="1006"/>
      <c r="I81" s="314"/>
      <c r="J81" s="2032"/>
      <c r="K81" s="3086">
        <f>K79+1</f>
        <v>7</v>
      </c>
      <c r="L81" s="3320" t="s">
        <v>2895</v>
      </c>
      <c r="M81" s="3321"/>
      <c r="N81" s="1309"/>
      <c r="O81" s="1310">
        <f ca="1">ROUND(O79*10000/'数据-汇总表'!E3,0)</f>
        <v>9420</v>
      </c>
      <c r="P81" s="1311"/>
      <c r="Q81" s="2032"/>
      <c r="R81" s="2032"/>
      <c r="S81" s="2032"/>
      <c r="T81" s="2032"/>
      <c r="U81" s="2032"/>
      <c r="V81" s="2032"/>
    </row>
    <row r="82" spans="1:26" ht="13.5" thickTop="1">
      <c r="A82" s="378" t="s">
        <v>1826</v>
      </c>
      <c r="B82" s="379" t="s">
        <v>432</v>
      </c>
      <c r="C82" s="380">
        <f ca="1">D63</f>
        <v>101054</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6"/>
      <c r="I83" s="314"/>
      <c r="J83" s="2032"/>
      <c r="K83" s="3332" t="s">
        <v>2882</v>
      </c>
      <c r="L83" s="3098" t="s">
        <v>2883</v>
      </c>
      <c r="M83" s="3088">
        <f ca="1">IF(N69&gt;10000,N69*0.5%,IF(AND(N69&gt;1000,N69&lt;=10000),N69*1%,IF(AND(N69&gt;100,N69&lt;=1000),N69*3%,IF(AND(N69&gt;10,N69&lt;=100),N69*5%,N69*8%))))</f>
        <v>842.11500000000001</v>
      </c>
      <c r="N83" s="53">
        <f ca="1">ROUND(M83,1)</f>
        <v>842.1</v>
      </c>
      <c r="O83" s="3091"/>
      <c r="P83" s="2032"/>
      <c r="Q83" s="2032"/>
      <c r="R83" s="2032"/>
      <c r="S83" s="2032"/>
      <c r="T83" s="2032"/>
      <c r="U83" s="2032"/>
      <c r="V83" s="2032"/>
    </row>
    <row r="84" spans="1:26" ht="12.75">
      <c r="A84" s="384" t="s">
        <v>1828</v>
      </c>
      <c r="B84" s="385" t="s">
        <v>434</v>
      </c>
      <c r="C84" s="386">
        <v>2000</v>
      </c>
      <c r="D84" s="387" t="s">
        <v>19</v>
      </c>
      <c r="E84" s="3133" t="s">
        <v>2949</v>
      </c>
      <c r="F84" s="42"/>
      <c r="G84" s="42"/>
      <c r="H84" s="1006"/>
      <c r="I84" s="314"/>
      <c r="J84" s="2032"/>
      <c r="K84" s="3332"/>
      <c r="L84" s="3098" t="s">
        <v>2884</v>
      </c>
      <c r="M84" s="3088">
        <f ca="1">IF(N69&gt;2000,N69*0.5%,IF(AND(N69&gt;1000,N69&lt;=2000),N69*0.6%,IF(AND(N69&gt;500,N69&lt;=1000),N69*0.7%,IF(AND(N69&gt;200,N69&lt;=500),N69*0.8%,IF(AND(N69&gt;100,N69&lt;=200),N69*0.9%,IF(AND(N69&gt;50,N69&lt;=100),N69*1%,IF(AND(N69&gt;20,N69&lt;=50),N69*1.5%,IF(AND(N69&gt;10,N69&lt;=20),N69*2%,IF(AND(N69&gt;1,N69&lt;=10),N69*2.5%)))))))))</f>
        <v>842.11500000000001</v>
      </c>
      <c r="N84" s="53">
        <f t="shared" ref="N84:N85" ca="1" si="2">ROUND(M84,1)</f>
        <v>842.1</v>
      </c>
      <c r="O84" s="2032" t="s">
        <v>2885</v>
      </c>
      <c r="P84" s="2032"/>
      <c r="Q84" s="2032"/>
      <c r="R84" s="2032"/>
      <c r="S84" s="2032"/>
      <c r="T84" s="2032"/>
      <c r="U84" s="2032"/>
      <c r="V84" s="2032"/>
    </row>
    <row r="85" spans="1:26" ht="12.75">
      <c r="A85" s="384" t="s">
        <v>1829</v>
      </c>
      <c r="B85" s="385" t="s">
        <v>435</v>
      </c>
      <c r="C85" s="388">
        <f ca="1">C81-C84</f>
        <v>99054</v>
      </c>
      <c r="D85" s="381" t="s">
        <v>19</v>
      </c>
      <c r="E85" s="382"/>
      <c r="F85" s="42"/>
      <c r="G85" s="42"/>
      <c r="H85" s="1006"/>
      <c r="I85" s="314"/>
      <c r="J85" s="2032"/>
      <c r="K85" s="3332"/>
      <c r="L85" s="3098" t="s">
        <v>2886</v>
      </c>
      <c r="M85" s="3088">
        <f ca="1">IF(N69&gt;1000,N69*0.1%,IF(AND(N69&gt;500,N69&lt;=1000),N69*0.5%,IF(AND(N69&gt;50,N69&lt;=500),N69*1%,IF(AND(N69&gt;1,N69&lt;=50),N69*1.5%))))</f>
        <v>168.423</v>
      </c>
      <c r="N85" s="53">
        <f t="shared" ca="1" si="2"/>
        <v>168.4</v>
      </c>
      <c r="O85" s="2032" t="s">
        <v>2885</v>
      </c>
      <c r="P85" s="2032"/>
      <c r="Q85" s="2032"/>
      <c r="R85" s="2032"/>
      <c r="S85" s="2032"/>
      <c r="T85" s="2032"/>
      <c r="U85" s="2032"/>
      <c r="V85" s="2032"/>
    </row>
    <row r="86" spans="1:26" ht="13.5" thickBot="1">
      <c r="A86" s="389" t="s">
        <v>1830</v>
      </c>
      <c r="B86" s="390" t="s">
        <v>436</v>
      </c>
      <c r="C86" s="391">
        <f ca="1">IF(C85&lt;=0,0,ROUND(C85*D86,0))</f>
        <v>0</v>
      </c>
      <c r="D86" s="392">
        <f>'数据-取费表'!B41</f>
        <v>0</v>
      </c>
      <c r="E86" s="393"/>
      <c r="F86" s="42"/>
      <c r="G86" s="42"/>
      <c r="H86" s="1006"/>
      <c r="I86" s="314"/>
      <c r="J86" s="2032"/>
      <c r="K86" s="3332"/>
      <c r="L86" s="3098" t="s">
        <v>2887</v>
      </c>
      <c r="M86" s="3088">
        <f ca="1">N69*0.5%</f>
        <v>842.11500000000001</v>
      </c>
      <c r="N86" s="53">
        <f ca="1">IF(M86&gt;0.5,0.5,ROUND(M86,0))</f>
        <v>0.5</v>
      </c>
      <c r="O86" s="2032" t="s">
        <v>2888</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332"/>
      <c r="L87" s="3098" t="s">
        <v>2889</v>
      </c>
      <c r="M87" s="3088">
        <f ca="1">IF(N69&gt;=10000,(8.25+(N69-10000)*0.01%),IF(AND(N69&gt;=8000,N69&lt;10000),(7.85+(N69-8000)*0.02%),IF(AND(N69&gt;=5000,N69&lt;8000),(6.65+(N69-5000)*0.04%),IF(AND(N69&gt;=2000,N69&lt;5000),(4.25+(PN69-2000)*0.08%),IF(AND(N69&gt;=1000,N69&lt;2000),(2.75+(N69-1000)*0.15%),IF(AND(N69&gt;=100,N69&lt;1000),(0.5+(N69-100)*0.25%),IF(AND(N69&gt;0,N69&lt;100),N69*0.5%)))))))</f>
        <v>24.092300000000002</v>
      </c>
      <c r="N87" s="53">
        <f ca="1">ROUND(M87*0.9,1)</f>
        <v>21.7</v>
      </c>
      <c r="O87" s="3091"/>
      <c r="P87" s="314"/>
      <c r="Q87" s="2032"/>
      <c r="R87" s="2032"/>
      <c r="S87" s="2032"/>
      <c r="T87" s="2032"/>
      <c r="U87" s="2032"/>
      <c r="V87" s="2032"/>
      <c r="W87" s="292"/>
      <c r="X87" s="292"/>
      <c r="Y87" s="292"/>
      <c r="Z87" s="292"/>
    </row>
    <row r="88" spans="1:26" s="1317" customFormat="1" ht="15" thickBot="1">
      <c r="A88" s="3314" t="s">
        <v>437</v>
      </c>
      <c r="B88" s="3315"/>
      <c r="C88" s="3315"/>
      <c r="D88" s="3315"/>
      <c r="E88" s="3315"/>
      <c r="F88" s="3315"/>
      <c r="G88" s="3315"/>
      <c r="H88" s="3315"/>
      <c r="I88" s="1318"/>
      <c r="J88" s="2040"/>
      <c r="K88" s="3332"/>
      <c r="L88" s="3098" t="s">
        <v>2890</v>
      </c>
      <c r="M88" s="3088">
        <f ca="1">IF(N69&gt;10000,N69*0.5%,IF(AND(N69&gt;5000,N69&lt;=10000),N69*1%,IF(AND(N69&gt;1000,N69&lt;=5000),N69*2%,IF(AND(N69&gt;200,N69&lt;=1000),N69*3%,N69*5%))))</f>
        <v>842.11500000000001</v>
      </c>
      <c r="N88" s="53">
        <f ca="1">ROUND(M88,1)</f>
        <v>842.1</v>
      </c>
      <c r="O88" s="3091"/>
      <c r="P88" s="11"/>
      <c r="Q88" s="2037"/>
      <c r="R88" s="2037"/>
      <c r="S88" s="2037"/>
      <c r="T88" s="2037"/>
      <c r="U88" s="2037"/>
      <c r="V88" s="2037"/>
      <c r="W88" s="2041"/>
      <c r="X88" s="2041"/>
      <c r="Y88" s="2041"/>
      <c r="Z88" s="2041"/>
    </row>
    <row r="89" spans="1:26" s="1317" customFormat="1" ht="14.25">
      <c r="A89" s="3312" t="s">
        <v>428</v>
      </c>
      <c r="B89" s="3313"/>
      <c r="C89" s="997"/>
      <c r="D89" s="997" t="s">
        <v>429</v>
      </c>
      <c r="E89" s="394" t="s">
        <v>438</v>
      </c>
      <c r="F89" s="395"/>
      <c r="G89" s="395"/>
      <c r="H89" s="396"/>
      <c r="I89" s="1319"/>
      <c r="J89" s="2042"/>
      <c r="K89" s="3332"/>
      <c r="L89" s="3098" t="s">
        <v>27</v>
      </c>
      <c r="M89" s="3089"/>
      <c r="N89" s="53">
        <f ca="1">ROUND(SUM(N83:N88),0)</f>
        <v>2717</v>
      </c>
      <c r="O89" s="3099">
        <f ca="1">N89/N69</f>
        <v>1.6132000973738739E-2</v>
      </c>
      <c r="P89" s="2037"/>
      <c r="Q89" s="2037"/>
      <c r="R89" s="2037"/>
      <c r="S89" s="2037"/>
      <c r="T89" s="2037"/>
      <c r="U89" s="2037"/>
      <c r="V89" s="2037"/>
      <c r="W89" s="2041"/>
      <c r="X89" s="2041"/>
      <c r="Y89" s="2041"/>
      <c r="Z89" s="2041"/>
    </row>
    <row r="90" spans="1:26" s="1317" customFormat="1" ht="14.25">
      <c r="A90" s="384" t="s">
        <v>1825</v>
      </c>
      <c r="B90" s="385" t="s">
        <v>439</v>
      </c>
      <c r="C90" s="388">
        <f ca="1">ROUND(D63/(1+'数据-取费表'!C42),0)</f>
        <v>101054</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1831</v>
      </c>
      <c r="B91" s="351" t="s">
        <v>440</v>
      </c>
      <c r="C91" s="388">
        <f ca="1">C92+C96</f>
        <v>2581</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1832</v>
      </c>
      <c r="B92" s="379" t="s">
        <v>441</v>
      </c>
      <c r="C92" s="381">
        <f>ROUND(IF(G95="2016年5月1日后购买",C93/(1+'数据-取费表'!C30)+C94+C95,C93+C94+C95),0)</f>
        <v>2581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1834</v>
      </c>
      <c r="B94" s="403" t="s">
        <v>446</v>
      </c>
      <c r="C94" s="381">
        <f>IF(F93="购房发票",ROUND(C93*H93*5%,0),0)</f>
        <v>500</v>
      </c>
      <c r="D94" s="404">
        <v>0.05</v>
      </c>
      <c r="E94" s="3275" t="s">
        <v>447</v>
      </c>
      <c r="F94" s="3274"/>
      <c r="G94" s="3274"/>
      <c r="H94" s="3311"/>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2433</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1836</v>
      </c>
      <c r="B96" s="379" t="s">
        <v>450</v>
      </c>
      <c r="C96" s="408">
        <f ca="1">ROUND(D63*D96/(1+'数据-取费表'!C42),0)</f>
        <v>0</v>
      </c>
      <c r="D96" s="409">
        <f>'数据-取费表'!B43</f>
        <v>0</v>
      </c>
      <c r="E96" s="3303" t="s">
        <v>2432</v>
      </c>
      <c r="F96" s="3304"/>
      <c r="G96" s="3304"/>
      <c r="H96" s="3305"/>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1837</v>
      </c>
      <c r="B97" s="385" t="s">
        <v>451</v>
      </c>
      <c r="C97" s="388">
        <f ca="1">C90-C91</f>
        <v>98473</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1838</v>
      </c>
      <c r="B98" s="385" t="s">
        <v>452</v>
      </c>
      <c r="C98" s="410">
        <f ca="1">IF(C97&lt;=0,0,C97/C91)</f>
        <v>38.153041456799691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1839</v>
      </c>
      <c r="B99" s="390" t="s">
        <v>453</v>
      </c>
      <c r="C99" s="411">
        <f ca="1">ROUND(IF(C97&lt;=0,0,IF(C98&gt;=200%,C97*60%-C91*35%,IF(C98&gt;=100%,C97*50%-C91*15%,IF(C98&gt;=50%,C97*40%-C91*5%,IF(C98&lt;50%,C97*30%,0))))),0)</f>
        <v>58180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14" t="s">
        <v>454</v>
      </c>
      <c r="B101" s="3315"/>
      <c r="C101" s="3315"/>
      <c r="D101" s="3315"/>
      <c r="E101" s="3315"/>
      <c r="F101" s="3315"/>
      <c r="G101" s="3315"/>
      <c r="H101" s="3315"/>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12" t="s">
        <v>428</v>
      </c>
      <c r="B102" s="331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1825</v>
      </c>
      <c r="B103" s="385" t="s">
        <v>439</v>
      </c>
      <c r="C103" s="388">
        <f ca="1">ROUND(D63/(1+'数据-取费表'!C42),0)</f>
        <v>101054</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1831</v>
      </c>
      <c r="B104" s="351" t="s">
        <v>440</v>
      </c>
      <c r="C104" s="388">
        <f ca="1">IF(H106="仅含出让金",C105+C108+C109+C110+C111+C112,C105+C109+C110+C111+C112)</f>
        <v>695</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1832</v>
      </c>
      <c r="B105" s="379" t="s">
        <v>455</v>
      </c>
      <c r="C105" s="408">
        <f>C106+C107</f>
        <v>577</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1833</v>
      </c>
      <c r="B106" s="379" t="s">
        <v>456</v>
      </c>
      <c r="C106" s="419">
        <v>555</v>
      </c>
      <c r="D106" s="409"/>
      <c r="E106" s="420" t="s">
        <v>457</v>
      </c>
      <c r="F106" s="989"/>
      <c r="G106" s="421" t="s">
        <v>458</v>
      </c>
      <c r="H106" s="422" t="s">
        <v>2443</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1834</v>
      </c>
      <c r="B107" s="379" t="s">
        <v>448</v>
      </c>
      <c r="C107" s="408">
        <f>ROUND(C106*D107,0)</f>
        <v>22</v>
      </c>
      <c r="D107" s="409">
        <f>'数据-取费表'!B48+'数据-取费表'!B49</f>
        <v>4.0500000000000001E-2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1840</v>
      </c>
      <c r="B109" s="379" t="s">
        <v>461</v>
      </c>
      <c r="C109" s="408">
        <f>IF(H109="——",IF(F1="现房",'剩余法-现房'!C18,'剩余法-待开发'!C18),I109)</f>
        <v>55</v>
      </c>
      <c r="D109" s="409"/>
      <c r="E109" s="3306" t="s">
        <v>462</v>
      </c>
      <c r="F109" s="3304"/>
      <c r="G109" s="3304"/>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1841</v>
      </c>
      <c r="B110" s="379" t="s">
        <v>463</v>
      </c>
      <c r="C110" s="408">
        <f>ROUND((C105+C108+C109)*D110,0)</f>
        <v>63</v>
      </c>
      <c r="D110" s="409">
        <v>0.1</v>
      </c>
      <c r="E110" s="3306" t="s">
        <v>464</v>
      </c>
      <c r="F110" s="3304"/>
      <c r="G110" s="3304"/>
      <c r="H110" s="3305"/>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1842</v>
      </c>
      <c r="B111" s="379" t="s">
        <v>450</v>
      </c>
      <c r="C111" s="408">
        <f ca="1">ROUND(D63*D111/(1+'数据-取费表'!C42),0)</f>
        <v>0</v>
      </c>
      <c r="D111" s="409">
        <f>'数据-取费表'!B43</f>
        <v>0</v>
      </c>
      <c r="E111" s="3303" t="s">
        <v>2432</v>
      </c>
      <c r="F111" s="3304"/>
      <c r="G111" s="3304"/>
      <c r="H111" s="3305"/>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1843</v>
      </c>
      <c r="B112" s="379" t="s">
        <v>465</v>
      </c>
      <c r="C112" s="408">
        <f>ROUND(C108*D112,0)</f>
        <v>0</v>
      </c>
      <c r="D112" s="409">
        <v>0.2</v>
      </c>
      <c r="E112" s="3306" t="s">
        <v>2457</v>
      </c>
      <c r="F112" s="3304"/>
      <c r="G112" s="3304"/>
      <c r="H112" s="3305"/>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1837</v>
      </c>
      <c r="B113" s="385" t="s">
        <v>451</v>
      </c>
      <c r="C113" s="388">
        <f ca="1">ROUND(C103-C104,0)</f>
        <v>100359</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1838</v>
      </c>
      <c r="B114" s="385" t="s">
        <v>452</v>
      </c>
      <c r="C114" s="410">
        <f ca="1">IF(C113&lt;=0,0,C113/C104)</f>
        <v>144.40143884892086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1839</v>
      </c>
      <c r="B115" s="390" t="s">
        <v>453</v>
      </c>
      <c r="C115" s="411">
        <f ca="1">ROUND(IF(C113&lt;=0,0,IF(C114&gt;=200%,C113*60%-C104*35%,IF(C114&gt;=100%,C113*50%-C104*15%,IF(C114&gt;=50%,C113*40%-C104*5%,IF(C114&lt;50%,C113*30%,0))))),0)</f>
        <v>59972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M21" sqref="M2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41" t="s">
        <v>3004</v>
      </c>
      <c r="C1" s="2108"/>
      <c r="D1" s="2108"/>
      <c r="E1" s="2108"/>
      <c r="F1" s="2108"/>
      <c r="G1" s="2108"/>
      <c r="H1" s="2108"/>
      <c r="I1" s="2108"/>
      <c r="J1" s="2108"/>
      <c r="K1" s="425">
        <f>MATCH(B1,'数据-取费表'!A6:A16,0)+5</f>
        <v>6</v>
      </c>
    </row>
    <row r="2" spans="1:31" s="2045" customFormat="1" ht="18" customHeight="1">
      <c r="A2" s="2105" t="s">
        <v>467</v>
      </c>
      <c r="B2" s="2109">
        <f ca="1">C36</f>
        <v>206821</v>
      </c>
      <c r="C2" s="2108"/>
      <c r="D2" s="2108"/>
      <c r="E2" s="2108"/>
      <c r="F2" s="2108"/>
      <c r="G2" s="2108"/>
      <c r="H2" s="2108"/>
      <c r="I2" s="2108"/>
      <c r="J2" s="2108"/>
      <c r="K2" s="2108"/>
    </row>
    <row r="3" spans="1:31" s="2045" customFormat="1" ht="18" customHeight="1">
      <c r="A3" s="2110" t="s">
        <v>1686</v>
      </c>
      <c r="B3" s="2111">
        <f ca="1">ROUND(B2*10000/IF(B1="",'数据-汇总表'!E3,INDIRECT("'数据-取费表'!K"&amp;$K$1)),0)</f>
        <v>18133</v>
      </c>
      <c r="C3" s="2108"/>
      <c r="D3" s="2108"/>
      <c r="E3" s="2108"/>
      <c r="F3" s="2108"/>
      <c r="G3" s="2108"/>
      <c r="H3" s="2108"/>
      <c r="I3" s="2108"/>
      <c r="J3" s="2108"/>
      <c r="K3" s="2108"/>
    </row>
    <row r="4" spans="1:31" s="2045" customFormat="1" ht="18" customHeight="1">
      <c r="A4" s="429" t="s">
        <v>468</v>
      </c>
      <c r="B4" s="430">
        <f ca="1">ROUND(B2*10000/IF(B1="",'数据-汇总表'!D3,INDIRECT("'数据-取费表'!R"&amp;$K$1)),0)</f>
        <v>38079</v>
      </c>
      <c r="C4" s="431"/>
      <c r="D4" s="425"/>
      <c r="E4" s="425"/>
      <c r="F4" s="425"/>
      <c r="G4" s="425"/>
      <c r="H4" s="425"/>
      <c r="I4" s="425"/>
      <c r="J4" s="425"/>
      <c r="K4" s="425"/>
    </row>
    <row r="5" spans="1:31" s="2045" customFormat="1" ht="18" customHeight="1" thickBot="1">
      <c r="A5" s="432"/>
      <c r="B5" s="433">
        <f ca="1">ROUND(B2/(IF(B1="",'数据-汇总表'!D3,INDIRECT("'数据-取费表'!R"&amp;$K$1))/666.67),0)</f>
        <v>2539</v>
      </c>
      <c r="C5" s="434" t="s">
        <v>469</v>
      </c>
      <c r="D5" s="425"/>
      <c r="E5" s="425"/>
      <c r="F5" s="425"/>
      <c r="G5" s="425"/>
      <c r="H5" s="425"/>
      <c r="I5" s="425"/>
      <c r="J5" s="425"/>
      <c r="K5" s="425"/>
    </row>
    <row r="6" spans="1:31" s="2115" customFormat="1" ht="16.5" customHeight="1">
      <c r="A6" s="2860" t="s">
        <v>1844</v>
      </c>
      <c r="B6" s="2861"/>
      <c r="C6" s="2862">
        <f>SUM(C10:K10)</f>
        <v>324199.62458400003</v>
      </c>
      <c r="D6" s="2861"/>
      <c r="E6" s="2861"/>
      <c r="F6" s="2861"/>
      <c r="G6" s="2861"/>
      <c r="H6" s="2861"/>
      <c r="I6" s="2861"/>
      <c r="J6" s="2861"/>
      <c r="K6" s="2863"/>
    </row>
    <row r="7" spans="1:31" s="2117" customFormat="1" ht="15">
      <c r="A7" s="2864" t="s">
        <v>470</v>
      </c>
      <c r="B7" s="2865" t="s">
        <v>471</v>
      </c>
      <c r="C7" s="439" t="s">
        <v>3004</v>
      </c>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6">
        <f>'不动产比较法-住宅'!B3</f>
        <v>28424</v>
      </c>
      <c r="D8" s="2866"/>
      <c r="E8" s="2866"/>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114058.41</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1849</v>
      </c>
      <c r="B10" s="2854" t="s">
        <v>474</v>
      </c>
      <c r="C10" s="3061">
        <f>C8*C9/10000</f>
        <v>324199.62458400003</v>
      </c>
      <c r="D10" s="3061"/>
      <c r="E10" s="3061"/>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1845</v>
      </c>
      <c r="B11" s="2861"/>
      <c r="C11" s="2861"/>
      <c r="D11" s="2861"/>
      <c r="E11" s="2861"/>
      <c r="F11" s="2861"/>
      <c r="G11" s="2861"/>
      <c r="H11" s="2861"/>
      <c r="I11" s="2861"/>
      <c r="J11" s="2861"/>
      <c r="K11" s="2863"/>
    </row>
    <row r="12" spans="1:31" s="2089" customFormat="1" ht="13.5" customHeight="1">
      <c r="A12" s="2872" t="s">
        <v>470</v>
      </c>
      <c r="B12" s="2844" t="s">
        <v>471</v>
      </c>
      <c r="C12" s="2873" t="s">
        <v>475</v>
      </c>
      <c r="D12" s="2840" t="s">
        <v>476</v>
      </c>
      <c r="E12" s="2840" t="s">
        <v>477</v>
      </c>
      <c r="F12" s="2840" t="s">
        <v>478</v>
      </c>
      <c r="G12" s="2844"/>
      <c r="H12" s="2845"/>
      <c r="I12" s="2845"/>
      <c r="J12" s="2845"/>
      <c r="K12" s="2846"/>
    </row>
    <row r="13" spans="1:31" s="2120" customFormat="1" ht="13.5" customHeight="1">
      <c r="A13" s="2874" t="s">
        <v>1850</v>
      </c>
      <c r="B13" s="2875" t="s">
        <v>479</v>
      </c>
      <c r="C13" s="453">
        <f ca="1">IF(B1="",'数据-取费表'!P16,INDIRECT("'数据-取费表'!p"&amp;$K$1)+INDIRECT("'数据-取费表'!t"&amp;$K$1))</f>
        <v>28515</v>
      </c>
      <c r="D13" s="2876"/>
      <c r="E13" s="2877"/>
      <c r="F13" s="2878"/>
      <c r="G13" s="2844"/>
      <c r="H13" s="2845"/>
      <c r="I13" s="2845"/>
      <c r="J13" s="2845"/>
      <c r="K13" s="2846"/>
    </row>
    <row r="14" spans="1:31" s="2120" customFormat="1" ht="13.5" customHeight="1">
      <c r="A14" s="2874" t="s">
        <v>1851</v>
      </c>
      <c r="B14" s="2875" t="s">
        <v>480</v>
      </c>
      <c r="C14" s="53">
        <f ca="1">ROUND(C13*F14,0)</f>
        <v>855</v>
      </c>
      <c r="D14" s="2876"/>
      <c r="E14" s="2877"/>
      <c r="F14" s="2879">
        <f>'数据-取费表'!B33</f>
        <v>0.03</v>
      </c>
      <c r="G14" s="2844" t="s">
        <v>481</v>
      </c>
      <c r="H14" s="2845"/>
      <c r="I14" s="2845"/>
      <c r="J14" s="2845"/>
      <c r="K14" s="2846"/>
    </row>
    <row r="15" spans="1:31" s="2120" customFormat="1" ht="13.5" customHeight="1">
      <c r="A15" s="2874" t="s">
        <v>1852</v>
      </c>
      <c r="B15" s="2875" t="s">
        <v>482</v>
      </c>
      <c r="C15" s="53">
        <f ca="1">ROUND(IF(B1="",SUMIF('数据-取费表'!C:C,"住宅",'数据-取费表'!P:P)*F15,IF(INDIRECT("'数据-取费表'!c"&amp;$K$1)="住宅",INDIRECT("'数据-取费表'!P"&amp;$K$1)*F15,0)),0)</f>
        <v>1426</v>
      </c>
      <c r="D15" s="2876"/>
      <c r="E15" s="2877"/>
      <c r="F15" s="2879">
        <f>'数据-取费表'!B34</f>
        <v>0.05</v>
      </c>
      <c r="G15" s="2844" t="s">
        <v>483</v>
      </c>
      <c r="H15" s="2845"/>
      <c r="I15" s="2845"/>
      <c r="J15" s="2845"/>
      <c r="K15" s="2846"/>
    </row>
    <row r="16" spans="1:31" s="2121" customFormat="1" ht="13.5" customHeight="1">
      <c r="A16" s="2874" t="s">
        <v>1853</v>
      </c>
      <c r="B16" s="2875" t="s">
        <v>484</v>
      </c>
      <c r="C16" s="53">
        <f ca="1">ROUND(D16*E16/10000,0)</f>
        <v>2281</v>
      </c>
      <c r="D16" s="2876">
        <f ca="1">IF(B1="",'数据-汇总表'!E3,INDIRECT("'数据-取费表'!K"&amp;$K$1)+INDIRECT("'数据-取费表'!S"&amp;$K$1))</f>
        <v>114058.41</v>
      </c>
      <c r="E16" s="53">
        <f>'数据-取费表'!B35</f>
        <v>200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1854</v>
      </c>
      <c r="B17" s="2875" t="s">
        <v>485</v>
      </c>
      <c r="C17" s="2880">
        <f ca="1">ROUND(C13*F17,0)</f>
        <v>428</v>
      </c>
      <c r="D17" s="478"/>
      <c r="E17" s="2880"/>
      <c r="F17" s="2881">
        <f>'数据-取费表'!B36</f>
        <v>1.4999999999999999E-2</v>
      </c>
      <c r="G17" s="261" t="s">
        <v>486</v>
      </c>
      <c r="H17" s="2847"/>
      <c r="I17" s="2847"/>
      <c r="J17" s="2847"/>
      <c r="K17" s="279"/>
    </row>
    <row r="18" spans="1:14" s="2120" customFormat="1" ht="13.5" customHeight="1">
      <c r="A18" s="2882" t="s">
        <v>1855</v>
      </c>
      <c r="B18" s="2883" t="s">
        <v>487</v>
      </c>
      <c r="C18" s="2884">
        <f ca="1">SUM(C13:C17)</f>
        <v>33505</v>
      </c>
      <c r="D18" s="2885"/>
      <c r="E18" s="471"/>
      <c r="F18" s="471"/>
      <c r="G18" s="2848" t="s">
        <v>2434</v>
      </c>
      <c r="H18" s="2849"/>
      <c r="I18" s="2849"/>
      <c r="J18" s="2849"/>
      <c r="K18" s="2850"/>
    </row>
    <row r="19" spans="1:14" s="2120" customFormat="1" ht="13.5" customHeight="1">
      <c r="A19" s="2882" t="s">
        <v>1856</v>
      </c>
      <c r="B19" s="2883" t="s">
        <v>488</v>
      </c>
      <c r="C19" s="2840">
        <f ca="1">ROUND(D19*E19/10000,0)</f>
        <v>342</v>
      </c>
      <c r="D19" s="2886">
        <f ca="1">D16</f>
        <v>114058.41</v>
      </c>
      <c r="E19" s="2840">
        <f>'数据-取费表'!B32</f>
        <v>30</v>
      </c>
      <c r="F19" s="471"/>
      <c r="G19" s="2844" t="s">
        <v>489</v>
      </c>
      <c r="H19" s="2845"/>
      <c r="I19" s="2849"/>
      <c r="J19" s="2849"/>
      <c r="K19" s="2850"/>
    </row>
    <row r="20" spans="1:14" s="2120" customFormat="1" ht="13.5" customHeight="1">
      <c r="A20" s="2882" t="s">
        <v>1857</v>
      </c>
      <c r="B20" s="2883" t="s">
        <v>490</v>
      </c>
      <c r="C20" s="2840">
        <f ca="1">C21+C22-IF(B1="",'数据-取费表'!B29,IF(G20="已全部缴纳",C21+C22,H20))</f>
        <v>1939</v>
      </c>
      <c r="D20" s="2886"/>
      <c r="E20" s="2840"/>
      <c r="F20" s="2887"/>
      <c r="G20" s="3121"/>
      <c r="H20" s="2842"/>
      <c r="I20" s="2843" t="s">
        <v>2659</v>
      </c>
      <c r="J20" s="2849"/>
      <c r="K20" s="2850"/>
    </row>
    <row r="21" spans="1:14" s="2120" customFormat="1" ht="13.5" customHeight="1">
      <c r="A21" s="2874" t="s">
        <v>1858</v>
      </c>
      <c r="B21" s="2875" t="s">
        <v>491</v>
      </c>
      <c r="C21" s="53">
        <f ca="1">ROUND(D21*E21/10000,0)</f>
        <v>1939</v>
      </c>
      <c r="D21" s="2876">
        <f ca="1">IF(B1="",'数据-汇总表'!E5,IF(INDIRECT("'数据-取费表'!c"&amp;$K$1)="住宅",INDIRECT("'数据-取费表'!k"&amp;$K$1),0))</f>
        <v>114058.41</v>
      </c>
      <c r="E21" s="53">
        <f>'数据-取费表'!B27</f>
        <v>170</v>
      </c>
      <c r="F21" s="2879"/>
      <c r="G21" s="26"/>
      <c r="H21" s="51"/>
      <c r="I21" s="51"/>
      <c r="J21" s="51"/>
      <c r="K21" s="2851"/>
    </row>
    <row r="22" spans="1:14" s="2120" customFormat="1" ht="13.5" customHeight="1">
      <c r="A22" s="2874" t="s">
        <v>1859</v>
      </c>
      <c r="B22" s="2875" t="s">
        <v>492</v>
      </c>
      <c r="C22" s="53">
        <f ca="1">ROUND(D22*E22/10000,0)</f>
        <v>0</v>
      </c>
      <c r="D22" s="2876">
        <f ca="1">IF(B1="",'数据-汇总表'!E6,IF(INDIRECT("'数据-取费表'!c"&amp;$K$1)="住宅",INDIRECT("'数据-取费表'!s"&amp;$K$1),INDIRECT("'数据-取费表'!k"&amp;$K$1)+INDIRECT("'数据-取费表'!s"&amp;$K$1)))</f>
        <v>0</v>
      </c>
      <c r="E22" s="53">
        <f>'数据-取费表'!B28</f>
        <v>0</v>
      </c>
      <c r="F22" s="2879"/>
      <c r="G22" s="26"/>
      <c r="H22" s="51"/>
      <c r="I22" s="51"/>
      <c r="J22" s="51"/>
      <c r="K22" s="2851"/>
    </row>
    <row r="23" spans="1:14" s="2120" customFormat="1" ht="13.5" customHeight="1">
      <c r="A23" s="2882" t="s">
        <v>1860</v>
      </c>
      <c r="B23" s="3067" t="s">
        <v>2842</v>
      </c>
      <c r="C23" s="2884">
        <f ca="1">ROUND((C18+C19+C20)*F23,0)</f>
        <v>1074</v>
      </c>
      <c r="D23" s="471"/>
      <c r="E23" s="471"/>
      <c r="F23" s="2888">
        <f>'数据-取费表'!B37</f>
        <v>0.03</v>
      </c>
      <c r="G23" s="2844" t="s">
        <v>2435</v>
      </c>
      <c r="H23" s="2845"/>
      <c r="I23" s="2845"/>
      <c r="J23" s="2845"/>
      <c r="K23" s="2846"/>
      <c r="L23" s="2122"/>
      <c r="M23" s="2122"/>
      <c r="N23" s="2122"/>
    </row>
    <row r="24" spans="1:14" s="2120" customFormat="1" ht="13.5" customHeight="1">
      <c r="A24" s="2882" t="s">
        <v>1861</v>
      </c>
      <c r="B24" s="3067" t="s">
        <v>2845</v>
      </c>
      <c r="C24" s="2884">
        <f>ROUND(C6*F24,0)</f>
        <v>9726</v>
      </c>
      <c r="D24" s="478"/>
      <c r="E24" s="476"/>
      <c r="F24" s="2888">
        <f>'数据-取费表'!B38</f>
        <v>0.03</v>
      </c>
      <c r="G24" s="2853" t="s">
        <v>499</v>
      </c>
      <c r="H24" s="2847"/>
      <c r="I24" s="2847"/>
      <c r="J24" s="2847"/>
      <c r="K24" s="279"/>
      <c r="L24" s="2122"/>
      <c r="M24" s="2122"/>
      <c r="N24" s="2122"/>
    </row>
    <row r="25" spans="1:14" s="2123" customFormat="1" ht="13.5" customHeight="1">
      <c r="A25" s="2882" t="s">
        <v>1862</v>
      </c>
      <c r="B25" s="3067" t="s">
        <v>2843</v>
      </c>
      <c r="C25" s="470">
        <f>ROUND(F25/(1+'数据-取费表'!C42),4)</f>
        <v>4.0500000000000001E-2</v>
      </c>
      <c r="D25" s="465" t="s">
        <v>2837</v>
      </c>
      <c r="E25" s="472"/>
      <c r="F25" s="2888">
        <f>'数据-取费表'!B48+'数据-取费表'!B49</f>
        <v>4.0500000000000001E-2</v>
      </c>
      <c r="G25" s="2852" t="s">
        <v>2293</v>
      </c>
      <c r="H25" s="2845"/>
      <c r="I25" s="2845"/>
      <c r="J25" s="2845"/>
      <c r="K25" s="2846"/>
    </row>
    <row r="26" spans="1:14" s="2122" customFormat="1" ht="13.5" customHeight="1">
      <c r="A26" s="2882" t="s">
        <v>1863</v>
      </c>
      <c r="B26" s="3068" t="s">
        <v>2844</v>
      </c>
      <c r="C26" s="2889">
        <f ca="1">C28</f>
        <v>2213</v>
      </c>
      <c r="D26" s="470">
        <f ca="1">C27</f>
        <v>0.1012</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6" t="s">
        <v>1858</v>
      </c>
      <c r="B27" s="2890" t="s">
        <v>496</v>
      </c>
      <c r="C27" s="2891">
        <f ca="1">ROUND(IF('数据-取费表'!B22&lt;=1,(1+C25)*F26*'数据-取费表'!B24,(1+C25)*(POWER((1+F26),'数据-取费表'!B24)-1)),4)</f>
        <v>0.1012</v>
      </c>
      <c r="D27" s="475"/>
      <c r="E27" s="476"/>
      <c r="F27" s="477"/>
      <c r="G27" s="2600" t="str">
        <f>IF('数据-取费表'!B22&lt;=1,"（1+取得税费率/(1+5%)）×年利率×建设期","（1+取得税费率）/(1+5%)×((1+年利率)^建设期-1)")</f>
        <v>（1+取得税费率）/(1+5%)×((1+年利率)^建设期-1)</v>
      </c>
      <c r="H27" s="2847"/>
      <c r="I27" s="2847"/>
      <c r="J27" s="2847"/>
      <c r="K27" s="279"/>
    </row>
    <row r="28" spans="1:14" s="2124" customFormat="1" ht="13.5" customHeight="1">
      <c r="A28" s="806" t="s">
        <v>1859</v>
      </c>
      <c r="B28" s="2890" t="s">
        <v>2846</v>
      </c>
      <c r="C28" s="2892">
        <f ca="1">ROUND(IF('数据-取费表'!B22&lt;=1,(C18+C19+C20+C23+C24)*F26*'数据-取费表'!B24/2,(C18+C19+C20+C23+C24)*(POWER((1+F26),'数据-取费表'!B24/2)-1)),0)</f>
        <v>2213</v>
      </c>
      <c r="D28" s="475"/>
      <c r="E28" s="476"/>
      <c r="F28" s="477"/>
      <c r="G28" s="2600" t="str">
        <f>IF('数据-取费表'!B22&lt;=1,"（1）-（4）项×年利率×建设期÷2","（1）-（4）项×((1+年利率)^(建设期÷2)-1)")</f>
        <v>（1）-（4）项×((1+年利率)^(建设期÷2)-1)</v>
      </c>
      <c r="H28" s="2847"/>
      <c r="I28" s="2847"/>
      <c r="J28" s="2847"/>
      <c r="K28" s="279"/>
    </row>
    <row r="29" spans="1:14" s="2124" customFormat="1" ht="13.5" customHeight="1">
      <c r="A29" s="2893" t="s">
        <v>1864</v>
      </c>
      <c r="B29" s="2883" t="s">
        <v>497</v>
      </c>
      <c r="C29" s="2884">
        <f>ROUND(C6*F29/(1+'数据-取费表'!C42),0)</f>
        <v>0</v>
      </c>
      <c r="D29" s="471"/>
      <c r="E29" s="471"/>
      <c r="F29" s="3069">
        <f>'数据-取费表'!B41</f>
        <v>0</v>
      </c>
      <c r="G29" s="2853" t="s">
        <v>498</v>
      </c>
      <c r="H29" s="2845"/>
      <c r="I29" s="2845"/>
      <c r="J29" s="2845"/>
      <c r="K29" s="2846"/>
    </row>
    <row r="30" spans="1:14" s="2125" customFormat="1" ht="13.5" customHeight="1">
      <c r="A30" s="1639" t="s">
        <v>1865</v>
      </c>
      <c r="B30" s="2894" t="s">
        <v>500</v>
      </c>
      <c r="C30" s="2889">
        <f ca="1">C31</f>
        <v>48799</v>
      </c>
      <c r="D30" s="480">
        <f ca="1">C32</f>
        <v>0.14169999999999999</v>
      </c>
      <c r="E30" s="472" t="s">
        <v>495</v>
      </c>
      <c r="F30" s="474"/>
      <c r="G30" s="2844" t="s">
        <v>501</v>
      </c>
      <c r="H30" s="2845"/>
      <c r="I30" s="2845"/>
      <c r="J30" s="2845"/>
      <c r="K30" s="2846"/>
    </row>
    <row r="31" spans="1:14" s="2124" customFormat="1" ht="13.5" customHeight="1">
      <c r="A31" s="806" t="s">
        <v>1858</v>
      </c>
      <c r="B31" s="2890"/>
      <c r="C31" s="453">
        <f ca="1">C18+C19+C20+C23+C24+C26+C29</f>
        <v>48799</v>
      </c>
      <c r="D31" s="475"/>
      <c r="E31" s="476"/>
      <c r="F31" s="477"/>
      <c r="G31" s="261"/>
      <c r="H31" s="2847"/>
      <c r="I31" s="2847"/>
      <c r="J31" s="2847"/>
      <c r="K31" s="279"/>
    </row>
    <row r="32" spans="1:14" s="2124" customFormat="1" ht="13.5" customHeight="1">
      <c r="A32" s="806" t="s">
        <v>1859</v>
      </c>
      <c r="B32" s="2890"/>
      <c r="C32" s="53">
        <f ca="1">ROUND(C25+D26,4)</f>
        <v>0.14169999999999999</v>
      </c>
      <c r="D32" s="475"/>
      <c r="E32" s="476"/>
      <c r="F32" s="477"/>
      <c r="G32" s="261"/>
      <c r="H32" s="2847"/>
      <c r="I32" s="2847"/>
      <c r="J32" s="2847"/>
      <c r="K32" s="279"/>
    </row>
    <row r="33" spans="1:11" s="2126" customFormat="1" ht="13.5" customHeight="1">
      <c r="A33" s="3066" t="s">
        <v>2841</v>
      </c>
      <c r="B33" s="3064" t="s">
        <v>2839</v>
      </c>
      <c r="C33" s="481">
        <f ca="1">C35</f>
        <v>6988</v>
      </c>
      <c r="D33" s="470">
        <f ca="1">C34</f>
        <v>0.15609999999999999</v>
      </c>
      <c r="E33" s="472" t="s">
        <v>495</v>
      </c>
      <c r="F33" s="482">
        <f ca="1">IF(B1="",'数据-取费表'!Q16,INDIRECT("'数据-取费表'!q"&amp;$K$1))</f>
        <v>0.15</v>
      </c>
      <c r="G33" s="2848"/>
      <c r="H33" s="2849"/>
      <c r="I33" s="2849"/>
      <c r="J33" s="2849"/>
      <c r="K33" s="2850"/>
    </row>
    <row r="34" spans="1:11" s="2127" customFormat="1" ht="13.5" customHeight="1">
      <c r="A34" s="378" t="s">
        <v>1858</v>
      </c>
      <c r="B34" s="2895" t="s">
        <v>502</v>
      </c>
      <c r="C34" s="475">
        <f ca="1">ROUND((1+C25)*F33,4)</f>
        <v>0.15609999999999999</v>
      </c>
      <c r="D34" s="475"/>
      <c r="E34" s="476"/>
      <c r="F34" s="483"/>
      <c r="G34" s="261" t="s">
        <v>2294</v>
      </c>
      <c r="H34" s="2847"/>
      <c r="I34" s="2847"/>
      <c r="J34" s="2847"/>
      <c r="K34" s="279"/>
    </row>
    <row r="35" spans="1:11" s="2127" customFormat="1" ht="13.5" customHeight="1" thickBot="1">
      <c r="A35" s="1640" t="s">
        <v>1859</v>
      </c>
      <c r="B35" s="3065" t="s">
        <v>2847</v>
      </c>
      <c r="C35" s="1632">
        <f ca="1">ROUND((C18+C19+C20+C23+C24)*F33,0)</f>
        <v>6988</v>
      </c>
      <c r="D35" s="1633"/>
      <c r="E35" s="2896"/>
      <c r="F35" s="1634"/>
      <c r="G35" s="2854"/>
      <c r="H35" s="2855"/>
      <c r="I35" s="2855"/>
      <c r="J35" s="2855"/>
      <c r="K35" s="2856"/>
    </row>
    <row r="36" spans="1:11" s="2089" customFormat="1" ht="13.5" customHeight="1" thickBot="1">
      <c r="A36" s="284" t="s">
        <v>1846</v>
      </c>
      <c r="B36" s="2858"/>
      <c r="C36" s="2897">
        <f ca="1">ROUND((C6-C30-C33)/(1+D30+D33),0)</f>
        <v>206821</v>
      </c>
      <c r="D36" s="2858"/>
      <c r="E36" s="2858"/>
      <c r="F36" s="2858"/>
      <c r="G36" s="2857" t="s">
        <v>2848</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41"/>
      <c r="C1" s="2108"/>
      <c r="D1" s="2108"/>
      <c r="E1" s="2108"/>
      <c r="F1" s="2108"/>
      <c r="G1" s="2108"/>
      <c r="H1" s="2108"/>
      <c r="I1" s="2108"/>
      <c r="J1" s="2108"/>
      <c r="K1" s="425">
        <f>MATCH(B1,'数据-取费表'!A6:A16,0)+5</f>
        <v>7</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3"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2660</v>
      </c>
      <c r="B6" s="436"/>
      <c r="C6" s="1627">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5"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6" t="s">
        <v>1849</v>
      </c>
      <c r="B10" s="1628" t="s">
        <v>474</v>
      </c>
      <c r="C10" s="1629"/>
      <c r="D10" s="1629"/>
      <c r="E10" s="1629"/>
      <c r="F10" s="1630"/>
      <c r="G10" s="1630"/>
      <c r="H10" s="1630"/>
      <c r="I10" s="1630"/>
      <c r="J10" s="1630"/>
      <c r="K10" s="1631"/>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4" t="s">
        <v>1866</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7" t="s">
        <v>1850</v>
      </c>
      <c r="B13" s="452" t="s">
        <v>479</v>
      </c>
      <c r="C13" s="453">
        <f ca="1">IF(B1="",'数据-取费表'!M16,INDIRECT("'数据-取费表'!M"&amp;$K$1)+INDIRECT("'数据-取费表'!t"&amp;$K$1))</f>
        <v>28515</v>
      </c>
      <c r="D13" s="454"/>
      <c r="E13" s="368"/>
      <c r="F13" s="455"/>
      <c r="G13" s="447"/>
      <c r="H13" s="450"/>
      <c r="I13" s="450"/>
      <c r="J13" s="450"/>
      <c r="K13" s="451"/>
    </row>
    <row r="14" spans="1:41" s="2120" customFormat="1" ht="13.5" customHeight="1">
      <c r="A14" s="1637" t="s">
        <v>1851</v>
      </c>
      <c r="B14" s="452" t="s">
        <v>480</v>
      </c>
      <c r="C14" s="53">
        <f ca="1">ROUND(C13*F14,0)</f>
        <v>855</v>
      </c>
      <c r="D14" s="454"/>
      <c r="E14" s="368"/>
      <c r="F14" s="456">
        <f>'数据-取费表'!B33</f>
        <v>0.03</v>
      </c>
      <c r="G14" s="447" t="s">
        <v>503</v>
      </c>
      <c r="H14" s="450"/>
      <c r="I14" s="450"/>
      <c r="J14" s="450"/>
      <c r="K14" s="451"/>
    </row>
    <row r="15" spans="1:41" s="2120" customFormat="1" ht="13.5" customHeight="1">
      <c r="A15" s="1637" t="s">
        <v>1852</v>
      </c>
      <c r="B15" s="452" t="s">
        <v>482</v>
      </c>
      <c r="C15" s="53">
        <f ca="1">ROUND(IF(B1="",SUMIF('数据-取费表'!C:C,"住宅",'数据-取费表'!M:M)*F15,IF(INDIRECT("'数据-取费表'!c"&amp;$K$1)="住宅",INDIRECT("'数据-取费表'!M"&amp;$K$1)*F15,0)),0)</f>
        <v>1426</v>
      </c>
      <c r="D15" s="454"/>
      <c r="E15" s="368"/>
      <c r="F15" s="456">
        <f>'数据-取费表'!B34</f>
        <v>0.05</v>
      </c>
      <c r="G15" s="447" t="s">
        <v>503</v>
      </c>
      <c r="H15" s="450"/>
      <c r="I15" s="450"/>
      <c r="J15" s="450"/>
      <c r="K15" s="451"/>
    </row>
    <row r="16" spans="1:41" s="2121" customFormat="1" ht="13.5" customHeight="1">
      <c r="A16" s="1637" t="s">
        <v>1853</v>
      </c>
      <c r="B16" s="452" t="s">
        <v>484</v>
      </c>
      <c r="C16" s="53">
        <f ca="1">ROUND(D16*E16/10000,0)</f>
        <v>2281</v>
      </c>
      <c r="D16" s="454">
        <f ca="1">IF(B1="",'数据-汇总表'!E3,INDIRECT("'数据-取费表'!K"&amp;$K$1)+INDIRECT("'数据-取费表'!S"&amp;$K$1))</f>
        <v>114058.41</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7" t="s">
        <v>1854</v>
      </c>
      <c r="B17" s="452" t="s">
        <v>485</v>
      </c>
      <c r="C17" s="457">
        <f ca="1">ROUND(C13*F17,0)</f>
        <v>428</v>
      </c>
      <c r="D17" s="458"/>
      <c r="E17" s="457"/>
      <c r="F17" s="459">
        <f>'数据-取费表'!B36</f>
        <v>1.4999999999999999E-2</v>
      </c>
      <c r="G17" s="447" t="s">
        <v>503</v>
      </c>
      <c r="H17" s="460"/>
      <c r="I17" s="460"/>
      <c r="J17" s="460"/>
      <c r="K17" s="461"/>
    </row>
    <row r="18" spans="1:14" s="2123" customFormat="1" ht="13.5" customHeight="1">
      <c r="A18" s="1638" t="s">
        <v>1855</v>
      </c>
      <c r="B18" s="462" t="s">
        <v>487</v>
      </c>
      <c r="C18" s="463">
        <f ca="1">SUM(C13:C17)</f>
        <v>33505</v>
      </c>
      <c r="D18" s="464"/>
      <c r="E18" s="465"/>
      <c r="F18" s="465"/>
      <c r="G18" s="1330" t="s">
        <v>2436</v>
      </c>
      <c r="H18" s="450"/>
      <c r="I18" s="450"/>
      <c r="J18" s="450"/>
      <c r="K18" s="451"/>
    </row>
    <row r="19" spans="1:14" s="2123" customFormat="1" ht="13.5" customHeight="1">
      <c r="A19" s="1638" t="s">
        <v>1856</v>
      </c>
      <c r="B19" s="462" t="s">
        <v>493</v>
      </c>
      <c r="C19" s="463">
        <f ca="1">ROUND(C18*F19,0)</f>
        <v>1005</v>
      </c>
      <c r="D19" s="465"/>
      <c r="E19" s="465"/>
      <c r="F19" s="469">
        <f>'数据-取费表'!B37</f>
        <v>0.03</v>
      </c>
      <c r="G19" s="447" t="s">
        <v>504</v>
      </c>
      <c r="H19" s="450"/>
      <c r="I19" s="450"/>
      <c r="J19" s="450"/>
      <c r="K19" s="451"/>
      <c r="L19" s="2125"/>
      <c r="M19" s="2125"/>
      <c r="N19" s="2125"/>
    </row>
    <row r="20" spans="1:14" s="2123" customFormat="1" ht="13.5" customHeight="1">
      <c r="A20" s="1638" t="s">
        <v>1857</v>
      </c>
      <c r="B20" s="462" t="s">
        <v>505</v>
      </c>
      <c r="C20" s="3062">
        <f>F20</f>
        <v>0.03</v>
      </c>
      <c r="D20" s="472" t="s">
        <v>506</v>
      </c>
      <c r="E20" s="472"/>
      <c r="F20" s="489">
        <f>'数据-取费表'!B38</f>
        <v>0.03</v>
      </c>
      <c r="G20" s="1330" t="s">
        <v>507</v>
      </c>
      <c r="H20" s="450"/>
      <c r="I20" s="450"/>
      <c r="J20" s="450"/>
      <c r="K20" s="451"/>
      <c r="L20" s="2125"/>
      <c r="M20" s="2125"/>
      <c r="N20" s="2125"/>
    </row>
    <row r="21" spans="1:14" s="2125" customFormat="1" ht="13.5" customHeight="1">
      <c r="A21" s="1638" t="s">
        <v>1860</v>
      </c>
      <c r="B21" s="464" t="s">
        <v>494</v>
      </c>
      <c r="C21" s="473">
        <f ca="1">C22</f>
        <v>1639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2458</v>
      </c>
    </row>
    <row r="22" spans="1:14" s="2124" customFormat="1" ht="13.5" customHeight="1">
      <c r="A22" s="1637" t="s">
        <v>1850</v>
      </c>
      <c r="B22" s="1331" t="s">
        <v>2439</v>
      </c>
      <c r="C22" s="490">
        <f ca="1">ROUND(IF('数据-取费表'!B22&lt;=1,(C18+C19)*F21*'数据-取费表'!B20/2,(C18+C19)*(POWER((1+F21),'数据-取费表'!B20/2)-1)),0)</f>
        <v>1639</v>
      </c>
      <c r="D22" s="475"/>
      <c r="E22" s="476"/>
      <c r="F22" s="477"/>
      <c r="G22" s="2595" t="str">
        <f>IF('数据-取费表'!B22&lt;=1,"((1)+(2))×年利率×建设期÷2","((1)+(2))×((1+年利率)^(建设期÷2)-1)")</f>
        <v>((1)+(2))×((1+年利率)^(建设期÷2)-1)</v>
      </c>
      <c r="H22" s="460"/>
      <c r="I22" s="460"/>
      <c r="J22" s="460"/>
      <c r="K22" s="461"/>
    </row>
    <row r="23" spans="1:14" s="2124" customFormat="1" ht="13.5" customHeight="1">
      <c r="A23" s="1637" t="s">
        <v>1851</v>
      </c>
      <c r="B23" s="1331" t="s">
        <v>509</v>
      </c>
      <c r="C23" s="491">
        <f ca="1">ROUND(IF('数据-取费表'!B22&lt;=1,F20*F21*'数据-取费表'!B20/2,F20*(POWER((1+F21),'数据-取费表'!B20/2)-1)),4)</f>
        <v>1.4E-3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8" t="s">
        <v>1861</v>
      </c>
      <c r="B24" s="3064" t="s">
        <v>2840</v>
      </c>
      <c r="C24" s="481">
        <f ca="1">C25</f>
        <v>5177</v>
      </c>
      <c r="D24" s="492">
        <f ca="1">C26</f>
        <v>4.4999999999999997E-3</v>
      </c>
      <c r="E24" s="472" t="s">
        <v>508</v>
      </c>
      <c r="F24" s="482">
        <f ca="1">IF(B1="",'数据-取费表'!Q16,INDIRECT("'数据-取费表'!q"&amp;$K$1))</f>
        <v>0.15</v>
      </c>
      <c r="G24" s="447"/>
      <c r="H24" s="450"/>
      <c r="I24" s="450"/>
      <c r="J24" s="450"/>
      <c r="K24" s="451"/>
    </row>
    <row r="25" spans="1:14" s="2124" customFormat="1" ht="13.5" customHeight="1">
      <c r="A25" s="1637" t="s">
        <v>1850</v>
      </c>
      <c r="B25" s="1331" t="s">
        <v>2440</v>
      </c>
      <c r="C25" s="493">
        <f ca="1">ROUND((C18+C19)*F24,0)</f>
        <v>5177</v>
      </c>
      <c r="D25" s="475"/>
      <c r="E25" s="476"/>
      <c r="F25" s="483"/>
      <c r="G25" s="1329" t="s">
        <v>2437</v>
      </c>
      <c r="H25" s="460"/>
      <c r="I25" s="460"/>
      <c r="J25" s="460"/>
      <c r="K25" s="461"/>
    </row>
    <row r="26" spans="1:14" s="2124" customFormat="1" ht="13.5" customHeight="1">
      <c r="A26" s="1637" t="s">
        <v>1851</v>
      </c>
      <c r="B26" s="1331" t="s">
        <v>510</v>
      </c>
      <c r="C26" s="494">
        <f ca="1">ROUND(F20*F24,4)</f>
        <v>4.4999999999999997E-3</v>
      </c>
      <c r="D26" s="475"/>
      <c r="E26" s="484"/>
      <c r="F26" s="483"/>
      <c r="G26" s="1329" t="s">
        <v>511</v>
      </c>
      <c r="H26" s="460"/>
      <c r="I26" s="460"/>
      <c r="J26" s="460"/>
      <c r="K26" s="461"/>
    </row>
    <row r="27" spans="1:14" s="2124" customFormat="1" ht="13.5" customHeight="1">
      <c r="A27" s="1641" t="s">
        <v>1869</v>
      </c>
      <c r="B27" s="462" t="s">
        <v>512</v>
      </c>
      <c r="C27" s="3063">
        <f>ROUND(F27/(1+'数据-取费表'!C42),4)</f>
        <v>0</v>
      </c>
      <c r="D27" s="465" t="s">
        <v>2838</v>
      </c>
      <c r="E27" s="465"/>
      <c r="F27" s="469">
        <f>'数据-取费表'!B41</f>
        <v>0</v>
      </c>
      <c r="G27" s="1964" t="s">
        <v>2295</v>
      </c>
      <c r="H27" s="450"/>
      <c r="I27" s="450"/>
      <c r="J27" s="450"/>
      <c r="K27" s="451"/>
    </row>
    <row r="28" spans="1:14" s="2125" customFormat="1" ht="13.5" customHeight="1">
      <c r="A28" s="1641" t="s">
        <v>1870</v>
      </c>
      <c r="B28" s="479" t="s">
        <v>513</v>
      </c>
      <c r="C28" s="473">
        <f ca="1">ROUND((C18+C19+C21+C24)/(1-C20-D21-D24-C27),0)</f>
        <v>42865</v>
      </c>
      <c r="D28" s="480"/>
      <c r="E28" s="472"/>
      <c r="F28" s="474"/>
      <c r="G28" s="1330" t="s">
        <v>2438</v>
      </c>
      <c r="H28" s="450"/>
      <c r="I28" s="450"/>
      <c r="J28" s="450"/>
      <c r="K28" s="451"/>
    </row>
    <row r="29" spans="1:14" s="2125"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1867</v>
      </c>
      <c r="B31" s="1333"/>
      <c r="C31" s="503">
        <f>ROUND(C6*F31/(1+'数据-取费表'!C42),0)</f>
        <v>0</v>
      </c>
      <c r="D31" s="1334"/>
      <c r="E31" s="1334"/>
      <c r="F31" s="504">
        <f>'数据-取费表'!B41</f>
        <v>0</v>
      </c>
      <c r="G31" s="1335"/>
      <c r="H31" s="1335"/>
      <c r="I31" s="1335"/>
      <c r="J31" s="1336"/>
      <c r="K31" s="1337"/>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3" t="str">
        <f>项目基本情况!B1</f>
        <v>郑州市鸿宝南路南、姚店堤西路东出让国有建设用地使用权抵押价格预评估</v>
      </c>
      <c r="C37" s="3183"/>
      <c r="D37" s="3183"/>
      <c r="E37" s="3183"/>
      <c r="F37" s="3183"/>
      <c r="G37" s="3183"/>
      <c r="H37" s="3183"/>
      <c r="I37" s="3183"/>
    </row>
    <row r="38" spans="1:9">
      <c r="A38" s="1660"/>
      <c r="B38" s="1660"/>
    </row>
    <row r="39" spans="1:9">
      <c r="A39" s="1658" t="s">
        <v>1903</v>
      </c>
      <c r="B39" s="1658" t="s">
        <v>2050</v>
      </c>
    </row>
    <row r="40" spans="1:9">
      <c r="A40" s="1658"/>
      <c r="B40" s="1658" t="str">
        <f>项目基本情况!B5</f>
        <v>中信信托有限责任公司</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吴薇、刘梅</v>
      </c>
    </row>
    <row r="47" spans="1:9">
      <c r="A47" s="1658"/>
      <c r="B47" s="1658"/>
    </row>
    <row r="48" spans="1:9">
      <c r="A48" s="1658" t="s">
        <v>1903</v>
      </c>
      <c r="B48" s="1658" t="s">
        <v>2052</v>
      </c>
    </row>
    <row r="49" spans="2:2">
      <c r="B49" s="1658" t="str">
        <f>"康正预评字"&amp;项目基本情况!B2&amp;"号"</f>
        <v>康正预评字2017-1-0942-P01DYGJ2号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6" zoomScale="80" zoomScaleNormal="80" workbookViewId="0">
      <selection activeCell="L21" sqref="L21"/>
    </sheetView>
  </sheetViews>
  <sheetFormatPr defaultRowHeight="14.25"/>
  <cols>
    <col min="1" max="1" width="10.5" style="1340" customWidth="1"/>
    <col min="2" max="2" width="15.75" style="1340" customWidth="1"/>
    <col min="3" max="3" width="15.125" style="1340" customWidth="1"/>
    <col min="4" max="4" width="12.25" style="1340" customWidth="1"/>
    <col min="5" max="5" width="15.87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3004</v>
      </c>
      <c r="E1" s="2654"/>
      <c r="F1" s="2839" t="s">
        <v>3024</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0">
        <f>ROUND(B3*D3/10000,0)</f>
        <v>324200</v>
      </c>
      <c r="C2" s="2131"/>
      <c r="D2" s="2131"/>
      <c r="E2" s="2131"/>
      <c r="F2" s="2205"/>
      <c r="G2" s="2131"/>
      <c r="H2" s="2131"/>
      <c r="I2" s="2131"/>
      <c r="J2" s="2131"/>
      <c r="K2" s="2206"/>
      <c r="L2" s="2207"/>
      <c r="M2" s="2208"/>
      <c r="N2" s="2208"/>
      <c r="O2" s="2208"/>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28424</v>
      </c>
      <c r="C3" s="855" t="s">
        <v>723</v>
      </c>
      <c r="D3" s="854">
        <f>SUMIF('数据-汇总表'!$C19:$C33,D1,'数据-汇总表'!$E19:$E33)</f>
        <v>114058.41</v>
      </c>
      <c r="E3" s="2131"/>
      <c r="F3" s="2205"/>
      <c r="G3" s="2131"/>
      <c r="H3" s="2131"/>
      <c r="I3" s="2131"/>
      <c r="J3" s="2131"/>
      <c r="K3" s="2206"/>
      <c r="L3" s="2207"/>
      <c r="M3" s="2208"/>
      <c r="N3" s="2208"/>
      <c r="O3" s="2208"/>
      <c r="P3" s="1606"/>
      <c r="Q3" s="1606"/>
      <c r="R3" s="1606"/>
      <c r="S3" s="1606"/>
      <c r="T3" s="1606"/>
      <c r="U3" s="1606"/>
      <c r="V3" s="1606"/>
      <c r="W3" s="1606"/>
      <c r="X3" s="1606"/>
      <c r="Y3" s="1606"/>
      <c r="Z3" s="1606"/>
      <c r="AA3" s="1606"/>
      <c r="AB3" s="1606"/>
      <c r="AC3" s="1608"/>
    </row>
    <row r="4" spans="1:29" ht="15">
      <c r="A4" s="515" t="s">
        <v>522</v>
      </c>
      <c r="B4" s="516"/>
      <c r="C4" s="3361" t="s">
        <v>523</v>
      </c>
      <c r="D4" s="3362"/>
      <c r="E4" s="3363" t="s">
        <v>524</v>
      </c>
      <c r="F4" s="3364"/>
      <c r="G4" s="3361" t="s">
        <v>525</v>
      </c>
      <c r="H4" s="3362"/>
      <c r="I4" s="3361" t="s">
        <v>526</v>
      </c>
      <c r="J4" s="3362"/>
      <c r="K4" s="856" t="s">
        <v>527</v>
      </c>
      <c r="L4" s="2137"/>
      <c r="M4" s="2138"/>
      <c r="N4" s="2138"/>
      <c r="O4" s="2138"/>
      <c r="P4" s="3365" t="s">
        <v>528</v>
      </c>
      <c r="Q4" s="3366"/>
      <c r="R4" s="3371" t="s">
        <v>524</v>
      </c>
      <c r="S4" s="3372"/>
      <c r="T4" s="3371" t="s">
        <v>525</v>
      </c>
      <c r="U4" s="3372"/>
      <c r="V4" s="3377" t="s">
        <v>526</v>
      </c>
      <c r="W4" s="3377"/>
      <c r="X4" s="1571"/>
      <c r="Y4" s="3371" t="s">
        <v>528</v>
      </c>
      <c r="Z4" s="3372"/>
      <c r="AA4" s="3358" t="s">
        <v>524</v>
      </c>
      <c r="AB4" s="3358" t="s">
        <v>525</v>
      </c>
      <c r="AC4" s="3358" t="s">
        <v>526</v>
      </c>
    </row>
    <row r="5" spans="1:29" ht="15">
      <c r="A5" s="518"/>
      <c r="B5" s="519"/>
      <c r="C5" s="3385" t="s">
        <v>3019</v>
      </c>
      <c r="D5" s="3381"/>
      <c r="E5" s="3388" t="str">
        <f>楼盘案例!A2</f>
        <v>恒大悦龙台</v>
      </c>
      <c r="F5" s="3389"/>
      <c r="G5" s="3380" t="str">
        <f>楼盘案例!A3</f>
        <v>茉莉公馆</v>
      </c>
      <c r="H5" s="3381"/>
      <c r="I5" s="3380" t="str">
        <f>楼盘案例!A4</f>
        <v>正商善水上境</v>
      </c>
      <c r="J5" s="3381"/>
      <c r="K5" s="857"/>
      <c r="L5" s="2137"/>
      <c r="M5" s="2138"/>
      <c r="N5" s="2138"/>
      <c r="O5" s="2138"/>
      <c r="P5" s="3367"/>
      <c r="Q5" s="3368"/>
      <c r="R5" s="3373"/>
      <c r="S5" s="3374"/>
      <c r="T5" s="3373"/>
      <c r="U5" s="3374"/>
      <c r="V5" s="3377"/>
      <c r="W5" s="3377"/>
      <c r="X5" s="1571"/>
      <c r="Y5" s="3373"/>
      <c r="Z5" s="3374"/>
      <c r="AA5" s="3359"/>
      <c r="AB5" s="3359"/>
      <c r="AC5" s="3359"/>
    </row>
    <row r="6" spans="1:29" ht="15.75" thickBot="1">
      <c r="A6" s="520"/>
      <c r="B6" s="521"/>
      <c r="C6" s="3378" t="s">
        <v>2940</v>
      </c>
      <c r="D6" s="3379"/>
      <c r="E6" s="3386" t="str">
        <f>楼盘案例!B2</f>
        <v>龙湖外环路与龙翔八街交会处</v>
      </c>
      <c r="F6" s="3387"/>
      <c r="G6" s="3378" t="str">
        <f>楼盘案例!B3</f>
        <v>龙湖外环路与龙翔六街交汇处</v>
      </c>
      <c r="H6" s="3379"/>
      <c r="I6" s="3378" t="str">
        <f>楼盘案例!B4</f>
        <v>平安大道东风南路向东1000米路南</v>
      </c>
      <c r="J6" s="3379"/>
      <c r="K6" s="857" t="s">
        <v>529</v>
      </c>
      <c r="L6" s="2137"/>
      <c r="M6" s="2138"/>
      <c r="N6" s="2138"/>
      <c r="O6" s="2138"/>
      <c r="P6" s="3369"/>
      <c r="Q6" s="3370"/>
      <c r="R6" s="3373"/>
      <c r="S6" s="3374"/>
      <c r="T6" s="3375"/>
      <c r="U6" s="3376"/>
      <c r="V6" s="3377"/>
      <c r="W6" s="3377"/>
      <c r="X6" s="1571"/>
      <c r="Y6" s="3375"/>
      <c r="Z6" s="3376"/>
      <c r="AA6" s="3360"/>
      <c r="AB6" s="3360"/>
      <c r="AC6" s="3360"/>
    </row>
    <row r="7" spans="1:29" s="1223" customFormat="1" ht="15.75" thickBot="1">
      <c r="A7" s="2944"/>
      <c r="B7" s="2951" t="s">
        <v>530</v>
      </c>
      <c r="C7" s="522">
        <f>'数据-取费表'!B2</f>
        <v>43021</v>
      </c>
      <c r="D7" s="523">
        <v>100</v>
      </c>
      <c r="E7" s="524">
        <v>43021</v>
      </c>
      <c r="F7" s="525">
        <f>SUMIF(58:58,YEAR(E7)&amp;"-"&amp;MONTH(E7),59:59)</f>
        <v>100</v>
      </c>
      <c r="G7" s="526">
        <v>43021</v>
      </c>
      <c r="H7" s="523">
        <f>SUMIF(58:58,YEAR(G7)&amp;"-"&amp;MONTH(G7),59:59)</f>
        <v>100</v>
      </c>
      <c r="I7" s="526">
        <v>43021</v>
      </c>
      <c r="J7" s="523">
        <f>SUMIF(58:58,YEAR(I7)&amp;"-"&amp;MONTH(I7),59:59)</f>
        <v>100</v>
      </c>
      <c r="K7" s="858"/>
      <c r="L7" s="2139"/>
      <c r="M7" s="2140"/>
      <c r="N7" s="2140"/>
      <c r="O7" s="2140"/>
      <c r="P7" s="3382" t="s">
        <v>531</v>
      </c>
      <c r="Q7" s="3384"/>
      <c r="R7" s="1572" t="s">
        <v>13</v>
      </c>
      <c r="S7" s="1573">
        <f t="shared" ref="S7:S15" si="0">F7</f>
        <v>100</v>
      </c>
      <c r="T7" s="1572" t="s">
        <v>13</v>
      </c>
      <c r="U7" s="1573">
        <f t="shared" ref="U7:U15" si="1">H7</f>
        <v>100</v>
      </c>
      <c r="V7" s="1572" t="s">
        <v>13</v>
      </c>
      <c r="W7" s="1573">
        <f t="shared" ref="W7:W15" si="2">J7</f>
        <v>100</v>
      </c>
      <c r="X7" s="1574"/>
      <c r="Y7" s="3382" t="s">
        <v>531</v>
      </c>
      <c r="Z7" s="3383"/>
      <c r="AA7" s="1575">
        <f>D7/F7</f>
        <v>1</v>
      </c>
      <c r="AB7" s="1575">
        <f>D7/H7</f>
        <v>1</v>
      </c>
      <c r="AC7" s="1575">
        <f>D7/J7</f>
        <v>1</v>
      </c>
    </row>
    <row r="8" spans="1:29" s="1223" customFormat="1" ht="15.75" thickBot="1">
      <c r="A8" s="2945"/>
      <c r="B8" s="2952" t="s">
        <v>532</v>
      </c>
      <c r="C8" s="528" t="s">
        <v>577</v>
      </c>
      <c r="D8" s="523">
        <v>100</v>
      </c>
      <c r="E8" s="859" t="s">
        <v>3021</v>
      </c>
      <c r="F8" s="525">
        <f>SUMIF(61:61,E8,62:62)-SUMIF(61:61,C8,62:62)+100</f>
        <v>100</v>
      </c>
      <c r="G8" s="528" t="s">
        <v>3021</v>
      </c>
      <c r="H8" s="523">
        <f>SUMIF(61:61,G8,62:62)-SUMIF(61:61,C8,62:62)+100</f>
        <v>100</v>
      </c>
      <c r="I8" s="859" t="s">
        <v>3021</v>
      </c>
      <c r="J8" s="523">
        <f>SUMIF(61:61,I8,62:62)-SUMIF(61:61,C8,62:62)+100</f>
        <v>100</v>
      </c>
      <c r="K8" s="858"/>
      <c r="L8" s="2139"/>
      <c r="M8" s="2140"/>
      <c r="N8" s="2140"/>
      <c r="O8" s="2140"/>
      <c r="P8" s="3382" t="s">
        <v>534</v>
      </c>
      <c r="Q8" s="3383"/>
      <c r="R8" s="1572" t="s">
        <v>13</v>
      </c>
      <c r="S8" s="1573">
        <f t="shared" si="0"/>
        <v>100</v>
      </c>
      <c r="T8" s="1572" t="s">
        <v>13</v>
      </c>
      <c r="U8" s="1573">
        <f t="shared" si="1"/>
        <v>100</v>
      </c>
      <c r="V8" s="1572" t="s">
        <v>13</v>
      </c>
      <c r="W8" s="1573">
        <f t="shared" si="2"/>
        <v>100</v>
      </c>
      <c r="X8" s="1574"/>
      <c r="Y8" s="3382" t="s">
        <v>534</v>
      </c>
      <c r="Z8" s="3383"/>
      <c r="AA8" s="1575">
        <f t="shared" ref="AA8:AA46" si="3">D8/F8</f>
        <v>1</v>
      </c>
      <c r="AB8" s="1575">
        <f t="shared" ref="AB8:AB46" si="4">D8/H8</f>
        <v>1</v>
      </c>
      <c r="AC8" s="1575">
        <f t="shared" ref="AC8:AC46" si="5">D8/J8</f>
        <v>1</v>
      </c>
    </row>
    <row r="9" spans="1:29" s="1223" customFormat="1" ht="15">
      <c r="A9" s="2946"/>
      <c r="B9" s="2953" t="s">
        <v>2764</v>
      </c>
      <c r="C9" s="3171" t="s">
        <v>3033</v>
      </c>
      <c r="D9" s="254">
        <v>100</v>
      </c>
      <c r="E9" s="861" t="s">
        <v>924</v>
      </c>
      <c r="F9" s="862">
        <f>SUMIF(63:63,E9,64:64)-SUMIF(63:63,C9,64:64)+100</f>
        <v>100</v>
      </c>
      <c r="G9" s="863" t="s">
        <v>924</v>
      </c>
      <c r="H9" s="254">
        <f>SUMIF(63:63,G9,64:64)-SUMIF(63:63,C9,64:64)+100</f>
        <v>100</v>
      </c>
      <c r="I9" s="863" t="s">
        <v>924</v>
      </c>
      <c r="J9" s="254">
        <f>SUMIF(63:63,I9,64:64)-SUMIF(63:63,C9,64:64)+100</f>
        <v>100</v>
      </c>
      <c r="K9" s="858"/>
      <c r="L9" s="2139"/>
      <c r="M9" s="2140"/>
      <c r="N9" s="2140"/>
      <c r="O9" s="2141"/>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7"/>
      <c r="B10" s="2952" t="s">
        <v>2765</v>
      </c>
      <c r="C10" s="864" t="s">
        <v>3034</v>
      </c>
      <c r="D10" s="255">
        <v>100</v>
      </c>
      <c r="E10" s="865" t="s">
        <v>3034</v>
      </c>
      <c r="F10" s="866">
        <f>SUMIF(65:65,E10,66:66)-SUMIF(65:65,C10,66:66)+100</f>
        <v>100</v>
      </c>
      <c r="G10" s="864" t="s">
        <v>3034</v>
      </c>
      <c r="H10" s="255">
        <f>SUMIF(65:65,G10,66:66)-SUMIF(65:65,C10,66:66)+100</f>
        <v>100</v>
      </c>
      <c r="I10" s="864" t="s">
        <v>3034</v>
      </c>
      <c r="J10" s="255">
        <f>SUMIF(65:65,I10,66:66)-SUMIF(65:65,C10,66:66)+100</f>
        <v>100</v>
      </c>
      <c r="K10" s="867">
        <v>2</v>
      </c>
      <c r="L10" s="2142"/>
      <c r="M10" s="2182"/>
      <c r="N10" s="2182"/>
      <c r="O10" s="214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8"/>
      <c r="B11" s="2952" t="s">
        <v>2766</v>
      </c>
      <c r="C11" s="536">
        <f>'数据-汇总表'!I5</f>
        <v>2.1</v>
      </c>
      <c r="D11" s="255">
        <v>100</v>
      </c>
      <c r="E11" s="537">
        <f>楼盘案例!E2</f>
        <v>2.5</v>
      </c>
      <c r="F11" s="866">
        <f>LOOKUP(E11,68:68,69:69)-LOOKUP(C11,68:68,69:69)+100</f>
        <v>100</v>
      </c>
      <c r="G11" s="536">
        <f>楼盘案例!E3</f>
        <v>1.99</v>
      </c>
      <c r="H11" s="255">
        <f>LOOKUP(G11,68:68,69:69)-LOOKUP(C11,68:68,69:69)+100</f>
        <v>101</v>
      </c>
      <c r="I11" s="536">
        <f>楼盘案例!E4</f>
        <v>2.4900000000000002</v>
      </c>
      <c r="J11" s="255">
        <f>LOOKUP(I11,68:68,69:69)-LOOKUP(C11,68:68,69:69)+100</f>
        <v>100</v>
      </c>
      <c r="K11" s="867">
        <v>1</v>
      </c>
      <c r="L11" s="2144"/>
      <c r="M11" s="2138"/>
      <c r="N11" s="2138"/>
      <c r="O11" s="2145"/>
      <c r="P11" s="3351"/>
      <c r="Q11" s="1154" t="str">
        <f t="shared" si="6"/>
        <v>容积率</v>
      </c>
      <c r="R11" s="1572" t="s">
        <v>11</v>
      </c>
      <c r="S11" s="1573">
        <f t="shared" si="0"/>
        <v>100</v>
      </c>
      <c r="T11" s="1572" t="s">
        <v>11</v>
      </c>
      <c r="U11" s="1573">
        <f t="shared" si="1"/>
        <v>101</v>
      </c>
      <c r="V11" s="1572" t="s">
        <v>11</v>
      </c>
      <c r="W11" s="1573">
        <f t="shared" si="2"/>
        <v>100</v>
      </c>
      <c r="X11" s="1574"/>
      <c r="Y11" s="3297"/>
      <c r="Z11" s="1153" t="str">
        <f t="shared" si="7"/>
        <v>容积率</v>
      </c>
      <c r="AA11" s="1575">
        <f t="shared" si="3"/>
        <v>1</v>
      </c>
      <c r="AB11" s="1575">
        <f t="shared" si="4"/>
        <v>0.99009900990099009</v>
      </c>
      <c r="AC11" s="1575">
        <f t="shared" si="5"/>
        <v>1</v>
      </c>
    </row>
    <row r="12" spans="1:29" s="1223" customFormat="1" ht="15">
      <c r="A12" s="2949"/>
      <c r="B12" s="2955">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51"/>
      <c r="Q12" s="1154">
        <f t="shared" si="6"/>
        <v>111</v>
      </c>
      <c r="R12" s="1572" t="s">
        <v>11</v>
      </c>
      <c r="S12" s="1573">
        <f t="shared" si="0"/>
        <v>100</v>
      </c>
      <c r="T12" s="1572" t="s">
        <v>11</v>
      </c>
      <c r="U12" s="1573">
        <f t="shared" si="1"/>
        <v>100</v>
      </c>
      <c r="V12" s="1572" t="s">
        <v>11</v>
      </c>
      <c r="W12" s="1573">
        <f t="shared" si="2"/>
        <v>100</v>
      </c>
      <c r="X12" s="1574"/>
      <c r="Y12" s="3297"/>
      <c r="Z12" s="1153">
        <f t="shared" si="7"/>
        <v>111</v>
      </c>
      <c r="AA12" s="1575">
        <f>D12/F12</f>
        <v>1</v>
      </c>
      <c r="AB12" s="1575">
        <f>D12/H12</f>
        <v>1</v>
      </c>
      <c r="AC12" s="1575">
        <f>D12/J12</f>
        <v>1</v>
      </c>
    </row>
    <row r="13" spans="1:29" ht="15">
      <c r="A13" s="2949"/>
      <c r="B13" s="2955">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51"/>
      <c r="Q13" s="1154">
        <f t="shared" si="6"/>
        <v>111</v>
      </c>
      <c r="R13" s="1572" t="s">
        <v>11</v>
      </c>
      <c r="S13" s="1573">
        <f t="shared" si="0"/>
        <v>100</v>
      </c>
      <c r="T13" s="1572" t="s">
        <v>11</v>
      </c>
      <c r="U13" s="1573">
        <f t="shared" si="1"/>
        <v>100</v>
      </c>
      <c r="V13" s="1572" t="s">
        <v>11</v>
      </c>
      <c r="W13" s="1573">
        <f t="shared" si="2"/>
        <v>100</v>
      </c>
      <c r="X13" s="1574"/>
      <c r="Y13" s="3297"/>
      <c r="Z13" s="1153">
        <f t="shared" si="7"/>
        <v>111</v>
      </c>
      <c r="AA13" s="1575">
        <f t="shared" si="3"/>
        <v>1</v>
      </c>
      <c r="AB13" s="1575">
        <f t="shared" si="4"/>
        <v>1</v>
      </c>
      <c r="AC13" s="1575">
        <f t="shared" si="5"/>
        <v>1</v>
      </c>
    </row>
    <row r="14" spans="1:29" ht="15.75" thickBot="1">
      <c r="A14" s="2950"/>
      <c r="B14" s="2956">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51"/>
      <c r="Q14" s="1154">
        <f t="shared" si="6"/>
        <v>111</v>
      </c>
      <c r="R14" s="1572" t="s">
        <v>11</v>
      </c>
      <c r="S14" s="1573">
        <f t="shared" si="0"/>
        <v>100</v>
      </c>
      <c r="T14" s="1572" t="s">
        <v>11</v>
      </c>
      <c r="U14" s="1573">
        <f t="shared" si="1"/>
        <v>100</v>
      </c>
      <c r="V14" s="1572" t="s">
        <v>11</v>
      </c>
      <c r="W14" s="1573">
        <f t="shared" si="2"/>
        <v>100</v>
      </c>
      <c r="X14" s="1574"/>
      <c r="Y14" s="3297"/>
      <c r="Z14" s="1153">
        <f t="shared" si="7"/>
        <v>111</v>
      </c>
      <c r="AA14" s="1575">
        <f t="shared" si="3"/>
        <v>1</v>
      </c>
      <c r="AB14" s="1575">
        <f t="shared" si="4"/>
        <v>1</v>
      </c>
      <c r="AC14" s="1575">
        <f t="shared" si="5"/>
        <v>1</v>
      </c>
    </row>
    <row r="15" spans="1:29" ht="99.75">
      <c r="A15" s="2942"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102</v>
      </c>
      <c r="G15" s="555"/>
      <c r="H15" s="552">
        <f>SUMIF(76:76,G16,77:77)-SUMIF(76:76,C16,77:77)+100</f>
        <v>102</v>
      </c>
      <c r="I15" s="553"/>
      <c r="J15" s="552">
        <f>SUMIF(76:76,I16,77:77)-SUMIF(76:76,C16,77:77)+100</f>
        <v>102</v>
      </c>
      <c r="K15" s="871">
        <v>2</v>
      </c>
      <c r="L15" s="2146"/>
      <c r="M15" s="2138"/>
      <c r="N15" s="2138"/>
      <c r="O15" s="2145"/>
      <c r="P15" s="3353" t="s">
        <v>541</v>
      </c>
      <c r="Q15" s="1576" t="str">
        <f t="shared" si="6"/>
        <v>居住社区成熟度</v>
      </c>
      <c r="R15" s="1577" t="s">
        <v>11</v>
      </c>
      <c r="S15" s="1578">
        <f t="shared" si="0"/>
        <v>102</v>
      </c>
      <c r="T15" s="1577" t="s">
        <v>11</v>
      </c>
      <c r="U15" s="1578">
        <f t="shared" si="1"/>
        <v>102</v>
      </c>
      <c r="V15" s="1577" t="s">
        <v>11</v>
      </c>
      <c r="W15" s="1578">
        <f t="shared" si="2"/>
        <v>102</v>
      </c>
      <c r="X15" s="1571"/>
      <c r="Y15" s="3353" t="s">
        <v>541</v>
      </c>
      <c r="Z15" s="1579" t="str">
        <f t="shared" si="7"/>
        <v>居住社区成熟度</v>
      </c>
      <c r="AA15" s="1580">
        <f t="shared" si="3"/>
        <v>0.98039215686274506</v>
      </c>
      <c r="AB15" s="1580">
        <f t="shared" si="4"/>
        <v>0.98039215686274506</v>
      </c>
      <c r="AC15" s="1580">
        <f t="shared" si="5"/>
        <v>0.98039215686274506</v>
      </c>
    </row>
    <row r="16" spans="1:29" ht="15">
      <c r="A16" s="535"/>
      <c r="B16" s="872"/>
      <c r="C16" s="579" t="s">
        <v>3035</v>
      </c>
      <c r="D16" s="558"/>
      <c r="E16" s="559" t="s">
        <v>3036</v>
      </c>
      <c r="F16" s="560"/>
      <c r="G16" s="561" t="s">
        <v>3036</v>
      </c>
      <c r="H16" s="562"/>
      <c r="I16" s="559" t="s">
        <v>3036</v>
      </c>
      <c r="J16" s="558"/>
      <c r="K16" s="873"/>
      <c r="L16" s="2146"/>
      <c r="M16" s="2138"/>
      <c r="N16" s="2138"/>
      <c r="O16" s="2145"/>
      <c r="P16" s="3354"/>
      <c r="Q16" s="1576"/>
      <c r="R16" s="1577"/>
      <c r="S16" s="1578"/>
      <c r="T16" s="1577"/>
      <c r="U16" s="1578"/>
      <c r="V16" s="1577"/>
      <c r="W16" s="1578"/>
      <c r="X16" s="1571"/>
      <c r="Y16" s="3354"/>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102</v>
      </c>
      <c r="G17" s="567"/>
      <c r="H17" s="568">
        <f>SUMIF(78:78,G18,79:79)-SUMIF(78:78,C18,79:79)+100</f>
        <v>102</v>
      </c>
      <c r="I17" s="565"/>
      <c r="J17" s="568">
        <f>SUMIF(78:78,I18,79:79)-SUMIF(78:78,C18,79:79)+100</f>
        <v>102</v>
      </c>
      <c r="K17" s="871">
        <v>2</v>
      </c>
      <c r="L17" s="2146"/>
      <c r="M17" s="2138"/>
      <c r="N17" s="2138"/>
      <c r="O17" s="2145"/>
      <c r="P17" s="3354"/>
      <c r="Q17" s="1576" t="str">
        <f>B17</f>
        <v>交通便捷度</v>
      </c>
      <c r="R17" s="1577" t="s">
        <v>11</v>
      </c>
      <c r="S17" s="1578">
        <f>F17</f>
        <v>102</v>
      </c>
      <c r="T17" s="1577" t="s">
        <v>11</v>
      </c>
      <c r="U17" s="1578">
        <f>H17</f>
        <v>102</v>
      </c>
      <c r="V17" s="1577" t="s">
        <v>11</v>
      </c>
      <c r="W17" s="1578">
        <f>J17</f>
        <v>102</v>
      </c>
      <c r="X17" s="1571"/>
      <c r="Y17" s="3354"/>
      <c r="Z17" s="1579" t="str">
        <f>Q17</f>
        <v>交通便捷度</v>
      </c>
      <c r="AA17" s="1580">
        <f t="shared" si="3"/>
        <v>0.98039215686274506</v>
      </c>
      <c r="AB17" s="1580">
        <f t="shared" si="4"/>
        <v>0.98039215686274506</v>
      </c>
      <c r="AC17" s="1580">
        <f t="shared" si="5"/>
        <v>0.98039215686274506</v>
      </c>
    </row>
    <row r="18" spans="1:29" ht="15">
      <c r="A18" s="535"/>
      <c r="B18" s="598"/>
      <c r="C18" s="876" t="s">
        <v>3035</v>
      </c>
      <c r="D18" s="562"/>
      <c r="E18" s="571" t="s">
        <v>3036</v>
      </c>
      <c r="F18" s="566"/>
      <c r="G18" s="572" t="s">
        <v>3036</v>
      </c>
      <c r="H18" s="558"/>
      <c r="I18" s="571" t="s">
        <v>3036</v>
      </c>
      <c r="J18" s="558"/>
      <c r="K18" s="873"/>
      <c r="L18" s="2146"/>
      <c r="M18" s="2138"/>
      <c r="N18" s="2138"/>
      <c r="O18" s="2145"/>
      <c r="P18" s="3354"/>
      <c r="Q18" s="1576"/>
      <c r="R18" s="1577"/>
      <c r="S18" s="1578"/>
      <c r="T18" s="1577"/>
      <c r="U18" s="1578"/>
      <c r="V18" s="1577"/>
      <c r="W18" s="1578"/>
      <c r="X18" s="1571"/>
      <c r="Y18" s="3354"/>
      <c r="Z18" s="1579"/>
      <c r="AA18" s="1580">
        <v>1</v>
      </c>
      <c r="AB18" s="1580">
        <v>1</v>
      </c>
      <c r="AC18" s="1580">
        <v>1</v>
      </c>
    </row>
    <row r="19" spans="1:29" ht="42.75">
      <c r="A19" s="535"/>
      <c r="B19" s="2628" t="s">
        <v>2552</v>
      </c>
      <c r="C19" s="875" t="str">
        <f>估价对象房地状况!C7</f>
        <v>估价对象所在区域公共配套设施齐备情况</v>
      </c>
      <c r="D19" s="568">
        <v>100</v>
      </c>
      <c r="E19" s="573"/>
      <c r="F19" s="574">
        <f>SUMIF(80:80,E20,81:81)-SUMIF(80:80,C20,81:81)+100</f>
        <v>102</v>
      </c>
      <c r="G19" s="575"/>
      <c r="H19" s="562">
        <f>SUMIF(80:80,G20,81:81)-SUMIF(80:80,C20,81:81)+100</f>
        <v>102</v>
      </c>
      <c r="I19" s="573"/>
      <c r="J19" s="562">
        <f>SUMIF(80:80,I20,81:81)-SUMIF(80:80,C20,81:81)+100</f>
        <v>102</v>
      </c>
      <c r="K19" s="871">
        <v>1</v>
      </c>
      <c r="L19" s="2146"/>
      <c r="M19" s="2138"/>
      <c r="N19" s="2138"/>
      <c r="O19" s="2145"/>
      <c r="P19" s="3354"/>
      <c r="Q19" s="1576" t="str">
        <f>B19</f>
        <v>公共配套设施</v>
      </c>
      <c r="R19" s="1577" t="s">
        <v>11</v>
      </c>
      <c r="S19" s="1578">
        <f>F19</f>
        <v>102</v>
      </c>
      <c r="T19" s="1577" t="s">
        <v>11</v>
      </c>
      <c r="U19" s="1578">
        <f>H19</f>
        <v>102</v>
      </c>
      <c r="V19" s="1577" t="s">
        <v>11</v>
      </c>
      <c r="W19" s="1578">
        <f>J19</f>
        <v>102</v>
      </c>
      <c r="X19" s="1571"/>
      <c r="Y19" s="3354"/>
      <c r="Z19" s="1579" t="str">
        <f>Q19</f>
        <v>公共配套设施</v>
      </c>
      <c r="AA19" s="1580">
        <f t="shared" si="3"/>
        <v>0.98039215686274506</v>
      </c>
      <c r="AB19" s="1580">
        <f t="shared" si="4"/>
        <v>0.98039215686274506</v>
      </c>
      <c r="AC19" s="1580">
        <f t="shared" si="5"/>
        <v>0.98039215686274506</v>
      </c>
    </row>
    <row r="20" spans="1:29" ht="15">
      <c r="A20" s="535"/>
      <c r="B20" s="598"/>
      <c r="C20" s="579" t="s">
        <v>3105</v>
      </c>
      <c r="D20" s="558"/>
      <c r="E20" s="559" t="s">
        <v>3036</v>
      </c>
      <c r="F20" s="560"/>
      <c r="G20" s="561" t="s">
        <v>3036</v>
      </c>
      <c r="H20" s="558"/>
      <c r="I20" s="559" t="s">
        <v>3036</v>
      </c>
      <c r="J20" s="558"/>
      <c r="K20" s="873"/>
      <c r="L20" s="2146"/>
      <c r="M20" s="2138"/>
      <c r="N20" s="2138"/>
      <c r="O20" s="2145"/>
      <c r="P20" s="3354"/>
      <c r="Q20" s="1576"/>
      <c r="R20" s="1577"/>
      <c r="S20" s="1578"/>
      <c r="T20" s="1577"/>
      <c r="U20" s="1578"/>
      <c r="V20" s="1577"/>
      <c r="W20" s="1578"/>
      <c r="X20" s="1571"/>
      <c r="Y20" s="3354"/>
      <c r="Z20" s="1579"/>
      <c r="AA20" s="1580">
        <v>1</v>
      </c>
      <c r="AB20" s="1580">
        <v>1</v>
      </c>
      <c r="AC20" s="1580">
        <v>1</v>
      </c>
    </row>
    <row r="21" spans="1:29" ht="28.5">
      <c r="A21" s="535"/>
      <c r="B21" s="2621"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6"/>
      <c r="M21" s="2138"/>
      <c r="N21" s="2138"/>
      <c r="O21" s="2145"/>
      <c r="P21" s="3354"/>
      <c r="Q21" s="2607" t="str">
        <f>B21</f>
        <v>基础设施水平</v>
      </c>
      <c r="R21" s="1577" t="s">
        <v>11</v>
      </c>
      <c r="S21" s="1578">
        <f>F21</f>
        <v>100</v>
      </c>
      <c r="T21" s="1577" t="s">
        <v>11</v>
      </c>
      <c r="U21" s="1578">
        <f>H21</f>
        <v>100</v>
      </c>
      <c r="V21" s="1577" t="s">
        <v>11</v>
      </c>
      <c r="W21" s="1578">
        <f>J21</f>
        <v>100</v>
      </c>
      <c r="X21" s="2609"/>
      <c r="Y21" s="3354"/>
      <c r="Z21" s="2608" t="str">
        <f>Q21</f>
        <v>基础设施水平</v>
      </c>
      <c r="AA21" s="1580">
        <f t="shared" ref="AA21" si="8">D21/F21</f>
        <v>1</v>
      </c>
      <c r="AB21" s="1580">
        <f t="shared" ref="AB21" si="9">D21/H21</f>
        <v>1</v>
      </c>
      <c r="AC21" s="1580">
        <f t="shared" ref="AC21" si="10">D21/J21</f>
        <v>1</v>
      </c>
    </row>
    <row r="22" spans="1:29" ht="15">
      <c r="A22" s="535"/>
      <c r="B22" s="925"/>
      <c r="C22" s="876" t="s">
        <v>3041</v>
      </c>
      <c r="D22" s="558"/>
      <c r="E22" s="579" t="s">
        <v>3041</v>
      </c>
      <c r="F22" s="560"/>
      <c r="G22" s="579" t="s">
        <v>3041</v>
      </c>
      <c r="H22" s="558"/>
      <c r="I22" s="579" t="s">
        <v>3041</v>
      </c>
      <c r="J22" s="558"/>
      <c r="K22" s="2627"/>
      <c r="L22" s="2146"/>
      <c r="M22" s="2138"/>
      <c r="N22" s="2138"/>
      <c r="O22" s="2145"/>
      <c r="P22" s="3354"/>
      <c r="Q22" s="2607"/>
      <c r="R22" s="1577"/>
      <c r="S22" s="1578"/>
      <c r="T22" s="1577"/>
      <c r="U22" s="1578"/>
      <c r="V22" s="1577"/>
      <c r="W22" s="1578"/>
      <c r="X22" s="2609"/>
      <c r="Y22" s="3354"/>
      <c r="Z22" s="2608"/>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102</v>
      </c>
      <c r="G23" s="567"/>
      <c r="H23" s="562">
        <f>SUMIF(84:84,G24,85:85)-SUMIF(84:84,C24,85:85)+100</f>
        <v>102</v>
      </c>
      <c r="I23" s="565"/>
      <c r="J23" s="562">
        <f>SUMIF(84:84,I24,85:85)-SUMIF(84:84,C24,85:85)+100</f>
        <v>102</v>
      </c>
      <c r="K23" s="871">
        <v>2</v>
      </c>
      <c r="L23" s="2146"/>
      <c r="M23" s="2138"/>
      <c r="N23" s="2138"/>
      <c r="O23" s="2145"/>
      <c r="P23" s="3354"/>
      <c r="Q23" s="1576" t="str">
        <f>B23</f>
        <v>自然及人文环境</v>
      </c>
      <c r="R23" s="1577" t="s">
        <v>11</v>
      </c>
      <c r="S23" s="1578">
        <f>F23</f>
        <v>102</v>
      </c>
      <c r="T23" s="1577" t="s">
        <v>11</v>
      </c>
      <c r="U23" s="1578">
        <f>H23</f>
        <v>102</v>
      </c>
      <c r="V23" s="1577" t="s">
        <v>11</v>
      </c>
      <c r="W23" s="1578">
        <f>J23</f>
        <v>102</v>
      </c>
      <c r="X23" s="1571"/>
      <c r="Y23" s="3354"/>
      <c r="Z23" s="1579" t="str">
        <f>Q23</f>
        <v>自然及人文环境</v>
      </c>
      <c r="AA23" s="1580">
        <f t="shared" si="3"/>
        <v>0.98039215686274506</v>
      </c>
      <c r="AB23" s="1580">
        <f t="shared" si="4"/>
        <v>0.98039215686274506</v>
      </c>
      <c r="AC23" s="1580">
        <f t="shared" si="5"/>
        <v>0.98039215686274506</v>
      </c>
    </row>
    <row r="24" spans="1:29" ht="15">
      <c r="A24" s="535"/>
      <c r="B24" s="598"/>
      <c r="C24" s="579" t="s">
        <v>3035</v>
      </c>
      <c r="D24" s="558"/>
      <c r="E24" s="559" t="s">
        <v>3036</v>
      </c>
      <c r="F24" s="560"/>
      <c r="G24" s="561" t="s">
        <v>3036</v>
      </c>
      <c r="H24" s="558"/>
      <c r="I24" s="559" t="s">
        <v>3036</v>
      </c>
      <c r="J24" s="558"/>
      <c r="K24" s="873"/>
      <c r="L24" s="2146"/>
      <c r="M24" s="2138"/>
      <c r="N24" s="2138"/>
      <c r="O24" s="2145"/>
      <c r="P24" s="3354"/>
      <c r="Q24" s="1576"/>
      <c r="R24" s="1577"/>
      <c r="S24" s="1578"/>
      <c r="T24" s="1577"/>
      <c r="U24" s="1578"/>
      <c r="V24" s="1577"/>
      <c r="W24" s="1578"/>
      <c r="X24" s="1571"/>
      <c r="Y24" s="3354"/>
      <c r="Z24" s="1579"/>
      <c r="AA24" s="1580">
        <v>1</v>
      </c>
      <c r="AB24" s="1580">
        <v>1</v>
      </c>
      <c r="AC24" s="1580">
        <v>1</v>
      </c>
    </row>
    <row r="25" spans="1:29" ht="15" hidden="1">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54"/>
      <c r="Q25" s="1576" t="str">
        <f t="shared" ref="Q25:Q46" si="11">B25</f>
        <v>楼层-1</v>
      </c>
      <c r="R25" s="1577" t="s">
        <v>11</v>
      </c>
      <c r="S25" s="1578">
        <f>F25</f>
        <v>100</v>
      </c>
      <c r="T25" s="1577" t="s">
        <v>11</v>
      </c>
      <c r="U25" s="1578">
        <f>H25</f>
        <v>100</v>
      </c>
      <c r="V25" s="1577" t="s">
        <v>11</v>
      </c>
      <c r="W25" s="1578">
        <f>J25</f>
        <v>100</v>
      </c>
      <c r="X25" s="1571"/>
      <c r="Y25" s="3354"/>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54"/>
      <c r="Q26" s="1576" t="str">
        <f t="shared" si="11"/>
        <v>朝向</v>
      </c>
      <c r="R26" s="1577" t="s">
        <v>11</v>
      </c>
      <c r="S26" s="1578">
        <f>F26</f>
        <v>100</v>
      </c>
      <c r="T26" s="1577" t="s">
        <v>11</v>
      </c>
      <c r="U26" s="1578">
        <f>H26</f>
        <v>100</v>
      </c>
      <c r="V26" s="1577" t="s">
        <v>11</v>
      </c>
      <c r="W26" s="1578">
        <f>J26</f>
        <v>100</v>
      </c>
      <c r="X26" s="1571"/>
      <c r="Y26" s="3354"/>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54"/>
      <c r="Q27" s="1154" t="str">
        <f t="shared" si="11"/>
        <v>道路级别</v>
      </c>
      <c r="R27" s="1572" t="s">
        <v>11</v>
      </c>
      <c r="S27" s="1573">
        <f>F27</f>
        <v>100</v>
      </c>
      <c r="T27" s="1572" t="s">
        <v>11</v>
      </c>
      <c r="U27" s="1573">
        <f>H27</f>
        <v>100</v>
      </c>
      <c r="V27" s="1572" t="s">
        <v>11</v>
      </c>
      <c r="W27" s="1573">
        <f>J27</f>
        <v>100</v>
      </c>
      <c r="X27" s="1574"/>
      <c r="Y27" s="3354"/>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54"/>
      <c r="Q28" s="1576">
        <f t="shared" si="11"/>
        <v>111</v>
      </c>
      <c r="R28" s="1577" t="s">
        <v>11</v>
      </c>
      <c r="S28" s="1578">
        <f t="shared" ref="S28:S46" si="12">F28</f>
        <v>100</v>
      </c>
      <c r="T28" s="1577" t="s">
        <v>11</v>
      </c>
      <c r="U28" s="1578">
        <f t="shared" ref="U28:U46" si="13">H28</f>
        <v>100</v>
      </c>
      <c r="V28" s="1577" t="s">
        <v>11</v>
      </c>
      <c r="W28" s="1578">
        <f t="shared" ref="W28:W46" si="14">J28</f>
        <v>100</v>
      </c>
      <c r="X28" s="1571"/>
      <c r="Y28" s="3354"/>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54"/>
      <c r="Q29" s="1576">
        <f t="shared" si="11"/>
        <v>111</v>
      </c>
      <c r="R29" s="1577" t="s">
        <v>11</v>
      </c>
      <c r="S29" s="1578">
        <f t="shared" si="12"/>
        <v>100</v>
      </c>
      <c r="T29" s="1577" t="s">
        <v>11</v>
      </c>
      <c r="U29" s="1578">
        <f t="shared" si="13"/>
        <v>100</v>
      </c>
      <c r="V29" s="1577" t="s">
        <v>11</v>
      </c>
      <c r="W29" s="1578">
        <f t="shared" si="14"/>
        <v>100</v>
      </c>
      <c r="X29" s="1571"/>
      <c r="Y29" s="3354"/>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54"/>
      <c r="Q30" s="1576">
        <f t="shared" si="11"/>
        <v>111</v>
      </c>
      <c r="R30" s="1577" t="s">
        <v>11</v>
      </c>
      <c r="S30" s="1578">
        <f t="shared" si="12"/>
        <v>100</v>
      </c>
      <c r="T30" s="1577" t="s">
        <v>11</v>
      </c>
      <c r="U30" s="1578">
        <f t="shared" si="13"/>
        <v>100</v>
      </c>
      <c r="V30" s="1577" t="s">
        <v>11</v>
      </c>
      <c r="W30" s="1578">
        <f t="shared" si="14"/>
        <v>100</v>
      </c>
      <c r="X30" s="1571"/>
      <c r="Y30" s="3354"/>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54"/>
      <c r="Q31" s="1576">
        <f t="shared" si="11"/>
        <v>111</v>
      </c>
      <c r="R31" s="1577" t="s">
        <v>11</v>
      </c>
      <c r="S31" s="1578">
        <f t="shared" si="12"/>
        <v>100</v>
      </c>
      <c r="T31" s="1577" t="s">
        <v>11</v>
      </c>
      <c r="U31" s="1578">
        <f t="shared" si="13"/>
        <v>100</v>
      </c>
      <c r="V31" s="1577" t="s">
        <v>11</v>
      </c>
      <c r="W31" s="1578">
        <f t="shared" si="14"/>
        <v>100</v>
      </c>
      <c r="X31" s="1571"/>
      <c r="Y31" s="3354"/>
      <c r="Z31" s="1579">
        <f t="shared" si="15"/>
        <v>111</v>
      </c>
      <c r="AA31" s="1580">
        <f t="shared" si="3"/>
        <v>1</v>
      </c>
      <c r="AB31" s="1580">
        <f t="shared" si="4"/>
        <v>1</v>
      </c>
      <c r="AC31" s="1580">
        <f t="shared" si="5"/>
        <v>1</v>
      </c>
    </row>
    <row r="32" spans="1:29" ht="15">
      <c r="A32" s="2939" t="s">
        <v>2763</v>
      </c>
      <c r="B32" s="172" t="s">
        <v>726</v>
      </c>
      <c r="C32" s="881" t="s">
        <v>3042</v>
      </c>
      <c r="D32" s="600">
        <v>100</v>
      </c>
      <c r="E32" s="882" t="s">
        <v>3042</v>
      </c>
      <c r="F32" s="578">
        <f>SUMIF(100:100,E32,101:101)-SUMIF(100:100,C32,101:101)+100</f>
        <v>100</v>
      </c>
      <c r="G32" s="881" t="s">
        <v>3042</v>
      </c>
      <c r="H32" s="600">
        <f>SUMIF(100:100,G32,101:101)-SUMIF(100:100,C32,101:101)+100</f>
        <v>100</v>
      </c>
      <c r="I32" s="882" t="s">
        <v>3042</v>
      </c>
      <c r="J32" s="543">
        <f>SUMIF(100:100,I32,101:101)-SUMIF(100:100,C32,101:101)+100</f>
        <v>100</v>
      </c>
      <c r="K32" s="867">
        <v>2</v>
      </c>
      <c r="L32" s="2146"/>
      <c r="M32" s="2138"/>
      <c r="N32" s="2138"/>
      <c r="O32" s="2145"/>
      <c r="P32" s="3355" t="s">
        <v>551</v>
      </c>
      <c r="Q32" s="1576" t="str">
        <f t="shared" si="11"/>
        <v>建筑类型</v>
      </c>
      <c r="R32" s="1577" t="s">
        <v>11</v>
      </c>
      <c r="S32" s="1578">
        <f t="shared" si="12"/>
        <v>100</v>
      </c>
      <c r="T32" s="1577" t="s">
        <v>11</v>
      </c>
      <c r="U32" s="1578">
        <f t="shared" si="13"/>
        <v>100</v>
      </c>
      <c r="V32" s="1577" t="s">
        <v>11</v>
      </c>
      <c r="W32" s="1578">
        <f t="shared" si="14"/>
        <v>100</v>
      </c>
      <c r="X32" s="1571"/>
      <c r="Y32" s="3356" t="s">
        <v>551</v>
      </c>
      <c r="Z32" s="1579" t="str">
        <f t="shared" si="15"/>
        <v>建筑类型</v>
      </c>
      <c r="AA32" s="1580">
        <f t="shared" si="3"/>
        <v>1</v>
      </c>
      <c r="AB32" s="1580">
        <f t="shared" si="4"/>
        <v>1</v>
      </c>
      <c r="AC32" s="1580">
        <f t="shared" si="5"/>
        <v>1</v>
      </c>
    </row>
    <row r="33" spans="1:29" s="1342" customFormat="1" ht="15">
      <c r="A33" s="606"/>
      <c r="B33" s="530" t="s">
        <v>727</v>
      </c>
      <c r="C33" s="883">
        <f>'数据-基础表'!I13</f>
        <v>114058.41</v>
      </c>
      <c r="D33" s="255">
        <v>100</v>
      </c>
      <c r="E33" s="537">
        <f>楼盘案例!D2</f>
        <v>270000</v>
      </c>
      <c r="F33" s="866">
        <f>LOOKUP(E33,103:103,104:104)-LOOKUP(C33,103:103,104:104)+100</f>
        <v>104</v>
      </c>
      <c r="G33" s="536">
        <f>楼盘案例!D3</f>
        <v>167197</v>
      </c>
      <c r="H33" s="255">
        <f>LOOKUP(G33,103:103,104:104)-LOOKUP(C33,103:103,104:104)+100</f>
        <v>102</v>
      </c>
      <c r="I33" s="537">
        <f>楼盘案例!D4</f>
        <v>305154</v>
      </c>
      <c r="J33" s="255">
        <f>LOOKUP(I33,103:103,104:104)-LOOKUP(C33,103:103,104:104)+100</f>
        <v>104</v>
      </c>
      <c r="K33" s="868"/>
      <c r="L33" s="2144"/>
      <c r="M33" s="2175"/>
      <c r="N33" s="2175"/>
      <c r="O33" s="2147"/>
      <c r="P33" s="3356"/>
      <c r="Q33" s="1609" t="str">
        <f t="shared" si="11"/>
        <v>项目建筑规模</v>
      </c>
      <c r="R33" s="1581" t="s">
        <v>11</v>
      </c>
      <c r="S33" s="1582">
        <f t="shared" si="12"/>
        <v>104</v>
      </c>
      <c r="T33" s="1581" t="s">
        <v>11</v>
      </c>
      <c r="U33" s="1582">
        <f t="shared" si="13"/>
        <v>102</v>
      </c>
      <c r="V33" s="1581" t="s">
        <v>11</v>
      </c>
      <c r="W33" s="1582">
        <f t="shared" si="14"/>
        <v>104</v>
      </c>
      <c r="X33" s="1583"/>
      <c r="Y33" s="3356"/>
      <c r="Z33" s="1584" t="str">
        <f t="shared" si="15"/>
        <v>项目建筑规模</v>
      </c>
      <c r="AA33" s="1580">
        <f t="shared" si="3"/>
        <v>0.96153846153846156</v>
      </c>
      <c r="AB33" s="1580">
        <f t="shared" si="4"/>
        <v>0.98039215686274506</v>
      </c>
      <c r="AC33" s="1580">
        <f t="shared" si="5"/>
        <v>0.96153846153846156</v>
      </c>
    </row>
    <row r="34" spans="1:29" ht="15">
      <c r="A34" s="597"/>
      <c r="B34" s="530" t="s">
        <v>728</v>
      </c>
      <c r="C34" s="884" t="s">
        <v>3045</v>
      </c>
      <c r="D34" s="543">
        <v>100</v>
      </c>
      <c r="E34" s="885" t="s">
        <v>3045</v>
      </c>
      <c r="F34" s="578">
        <f>SUMIF(105:105,E34,106:106)-SUMIF(105:105,C34,106:106)+100</f>
        <v>100</v>
      </c>
      <c r="G34" s="884" t="s">
        <v>3045</v>
      </c>
      <c r="H34" s="543">
        <f>SUMIF(105:105,G34,106:106)-SUMIF(105:105,C34,106:106)+100</f>
        <v>100</v>
      </c>
      <c r="I34" s="885" t="s">
        <v>3045</v>
      </c>
      <c r="J34" s="543">
        <f>SUMIF(105:105,I34,106:106)-SUMIF(105:105,C34,106:106)+100</f>
        <v>100</v>
      </c>
      <c r="K34" s="867">
        <v>2</v>
      </c>
      <c r="L34" s="2146"/>
      <c r="M34" s="2138"/>
      <c r="N34" s="2138"/>
      <c r="O34" s="2145"/>
      <c r="P34" s="3356"/>
      <c r="Q34" s="1576" t="str">
        <f t="shared" si="11"/>
        <v>建筑结构</v>
      </c>
      <c r="R34" s="1577" t="s">
        <v>11</v>
      </c>
      <c r="S34" s="1578">
        <f t="shared" si="12"/>
        <v>100</v>
      </c>
      <c r="T34" s="1577" t="s">
        <v>11</v>
      </c>
      <c r="U34" s="1578">
        <f t="shared" si="13"/>
        <v>100</v>
      </c>
      <c r="V34" s="1577" t="s">
        <v>11</v>
      </c>
      <c r="W34" s="1578">
        <f t="shared" si="14"/>
        <v>100</v>
      </c>
      <c r="X34" s="1571"/>
      <c r="Y34" s="3356"/>
      <c r="Z34" s="1579" t="str">
        <f t="shared" si="15"/>
        <v>建筑结构</v>
      </c>
      <c r="AA34" s="1580">
        <f t="shared" si="3"/>
        <v>1</v>
      </c>
      <c r="AB34" s="1580">
        <f t="shared" si="4"/>
        <v>1</v>
      </c>
      <c r="AC34" s="1580">
        <f t="shared" si="5"/>
        <v>1</v>
      </c>
    </row>
    <row r="35" spans="1:29" ht="15" hidden="1">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v>2</v>
      </c>
      <c r="L35" s="2146"/>
      <c r="M35" s="2138"/>
      <c r="N35" s="2138"/>
      <c r="O35" s="2145"/>
      <c r="P35" s="3356"/>
      <c r="Q35" s="1576" t="str">
        <f t="shared" si="11"/>
        <v>建筑品质</v>
      </c>
      <c r="R35" s="1577" t="s">
        <v>11</v>
      </c>
      <c r="S35" s="1578">
        <f t="shared" si="12"/>
        <v>100</v>
      </c>
      <c r="T35" s="1577" t="s">
        <v>11</v>
      </c>
      <c r="U35" s="1578">
        <f t="shared" si="13"/>
        <v>100</v>
      </c>
      <c r="V35" s="1577" t="s">
        <v>11</v>
      </c>
      <c r="W35" s="1578">
        <f t="shared" si="14"/>
        <v>100</v>
      </c>
      <c r="X35" s="1571"/>
      <c r="Y35" s="3356"/>
      <c r="Z35" s="1579" t="str">
        <f t="shared" si="15"/>
        <v>建筑品质</v>
      </c>
      <c r="AA35" s="1580">
        <f t="shared" si="3"/>
        <v>1</v>
      </c>
      <c r="AB35" s="1580">
        <f t="shared" si="4"/>
        <v>1</v>
      </c>
      <c r="AC35" s="1580">
        <f t="shared" si="5"/>
        <v>1</v>
      </c>
    </row>
    <row r="36" spans="1:29" ht="15" hidden="1">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v>2</v>
      </c>
      <c r="L36" s="2146"/>
      <c r="M36" s="2138"/>
      <c r="N36" s="2138"/>
      <c r="O36" s="2145"/>
      <c r="P36" s="3356"/>
      <c r="Q36" s="1576" t="str">
        <f t="shared" si="11"/>
        <v>公共部分装修</v>
      </c>
      <c r="R36" s="1577" t="s">
        <v>11</v>
      </c>
      <c r="S36" s="1578">
        <f t="shared" si="12"/>
        <v>100</v>
      </c>
      <c r="T36" s="1577" t="s">
        <v>11</v>
      </c>
      <c r="U36" s="1578">
        <f t="shared" si="13"/>
        <v>100</v>
      </c>
      <c r="V36" s="1577" t="s">
        <v>11</v>
      </c>
      <c r="W36" s="1578">
        <f t="shared" si="14"/>
        <v>100</v>
      </c>
      <c r="X36" s="1571"/>
      <c r="Y36" s="3356"/>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39"/>
      <c r="M37" s="2140"/>
      <c r="N37" s="2140"/>
      <c r="O37" s="2141"/>
      <c r="P37" s="3356"/>
      <c r="Q37" s="1154" t="str">
        <f t="shared" si="11"/>
        <v>成新度</v>
      </c>
      <c r="R37" s="1572" t="s">
        <v>11</v>
      </c>
      <c r="S37" s="1573">
        <f t="shared" si="12"/>
        <v>100</v>
      </c>
      <c r="T37" s="1572" t="s">
        <v>11</v>
      </c>
      <c r="U37" s="1573">
        <f t="shared" si="13"/>
        <v>100</v>
      </c>
      <c r="V37" s="1572" t="s">
        <v>11</v>
      </c>
      <c r="W37" s="1573">
        <f t="shared" si="14"/>
        <v>100</v>
      </c>
      <c r="X37" s="1574"/>
      <c r="Y37" s="3356"/>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v>2</v>
      </c>
      <c r="L38" s="2146"/>
      <c r="M38" s="2138"/>
      <c r="N38" s="2138"/>
      <c r="O38" s="2145"/>
      <c r="P38" s="3356" t="s">
        <v>551</v>
      </c>
      <c r="Q38" s="1576" t="str">
        <f t="shared" si="11"/>
        <v>物业管理</v>
      </c>
      <c r="R38" s="1577" t="s">
        <v>11</v>
      </c>
      <c r="S38" s="1578">
        <f t="shared" si="12"/>
        <v>100</v>
      </c>
      <c r="T38" s="1577" t="s">
        <v>11</v>
      </c>
      <c r="U38" s="1578">
        <f t="shared" si="13"/>
        <v>100</v>
      </c>
      <c r="V38" s="1577" t="s">
        <v>11</v>
      </c>
      <c r="W38" s="1578">
        <f t="shared" si="14"/>
        <v>100</v>
      </c>
      <c r="X38" s="1571"/>
      <c r="Y38" s="3356" t="s">
        <v>551</v>
      </c>
      <c r="Z38" s="1579" t="str">
        <f t="shared" si="15"/>
        <v>物业管理</v>
      </c>
      <c r="AA38" s="1580">
        <f t="shared" si="3"/>
        <v>1</v>
      </c>
      <c r="AB38" s="1580">
        <f t="shared" si="4"/>
        <v>1</v>
      </c>
      <c r="AC38" s="1580">
        <f t="shared" si="5"/>
        <v>1</v>
      </c>
    </row>
    <row r="39" spans="1:29" ht="15">
      <c r="A39" s="597"/>
      <c r="B39" s="1899" t="s">
        <v>2570</v>
      </c>
      <c r="C39" s="602" t="s">
        <v>3041</v>
      </c>
      <c r="D39" s="543">
        <v>100</v>
      </c>
      <c r="E39" s="877" t="s">
        <v>3041</v>
      </c>
      <c r="F39" s="578">
        <f>SUMIF(116:116,E39,117:117)-SUMIF(116:116,C39,117:117)+100</f>
        <v>100</v>
      </c>
      <c r="G39" s="602" t="s">
        <v>3041</v>
      </c>
      <c r="H39" s="543">
        <f>SUMIF(116:116,G39,117:117)-SUMIF(116:116,C39,117:117)+100</f>
        <v>100</v>
      </c>
      <c r="I39" s="877" t="s">
        <v>3041</v>
      </c>
      <c r="J39" s="543">
        <f>SUMIF(116:116,I39,117:117)-SUMIF(116:116,C39,117:117)+100</f>
        <v>100</v>
      </c>
      <c r="K39" s="867">
        <v>2</v>
      </c>
      <c r="L39" s="2146"/>
      <c r="M39" s="2138"/>
      <c r="N39" s="2138"/>
      <c r="O39" s="2145"/>
      <c r="P39" s="3356"/>
      <c r="Q39" s="1576" t="str">
        <f t="shared" si="11"/>
        <v>市政基础设施</v>
      </c>
      <c r="R39" s="1577" t="s">
        <v>11</v>
      </c>
      <c r="S39" s="1578">
        <f t="shared" si="12"/>
        <v>100</v>
      </c>
      <c r="T39" s="1577" t="s">
        <v>11</v>
      </c>
      <c r="U39" s="1578">
        <f t="shared" si="13"/>
        <v>100</v>
      </c>
      <c r="V39" s="1577" t="s">
        <v>11</v>
      </c>
      <c r="W39" s="1578">
        <f t="shared" si="14"/>
        <v>100</v>
      </c>
      <c r="X39" s="1571"/>
      <c r="Y39" s="3356"/>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v>2</v>
      </c>
      <c r="L40" s="2146"/>
      <c r="M40" s="2138"/>
      <c r="N40" s="2138"/>
      <c r="O40" s="2145"/>
      <c r="P40" s="3356"/>
      <c r="Q40" s="1576" t="str">
        <f t="shared" si="11"/>
        <v>房型</v>
      </c>
      <c r="R40" s="1577" t="s">
        <v>11</v>
      </c>
      <c r="S40" s="1578">
        <f t="shared" si="12"/>
        <v>100</v>
      </c>
      <c r="T40" s="1577" t="s">
        <v>11</v>
      </c>
      <c r="U40" s="1578">
        <f t="shared" si="13"/>
        <v>100</v>
      </c>
      <c r="V40" s="1577" t="s">
        <v>11</v>
      </c>
      <c r="W40" s="1578">
        <f t="shared" si="14"/>
        <v>100</v>
      </c>
      <c r="X40" s="1571"/>
      <c r="Y40" s="3356"/>
      <c r="Z40" s="1579" t="str">
        <f t="shared" si="15"/>
        <v>房型</v>
      </c>
      <c r="AA40" s="1580">
        <f t="shared" si="3"/>
        <v>1</v>
      </c>
      <c r="AB40" s="1580">
        <f t="shared" si="4"/>
        <v>1</v>
      </c>
      <c r="AC40" s="1580">
        <f t="shared" si="5"/>
        <v>1</v>
      </c>
    </row>
    <row r="41" spans="1:29" s="1342" customFormat="1" ht="28.5">
      <c r="A41" s="606"/>
      <c r="B41" s="530" t="s">
        <v>734</v>
      </c>
      <c r="C41" s="883">
        <v>140</v>
      </c>
      <c r="D41" s="255">
        <v>100</v>
      </c>
      <c r="E41" s="537">
        <v>140</v>
      </c>
      <c r="F41" s="866">
        <f>SUMIF(120:120,E41,121:121)-SUMIF(120:120,C41,121:121)+100</f>
        <v>100</v>
      </c>
      <c r="G41" s="536">
        <v>180</v>
      </c>
      <c r="H41" s="255">
        <f>SUMIF(120:120,G41,121:121)-SUMIF(120:120,C41,121:121)+100</f>
        <v>98</v>
      </c>
      <c r="I41" s="589">
        <v>150</v>
      </c>
      <c r="J41" s="543">
        <f>SUMIF(120:120,I41,121:121)-SUMIF(120:120,C41,121:121)+100</f>
        <v>100</v>
      </c>
      <c r="K41" s="868"/>
      <c r="L41" s="2144"/>
      <c r="M41" s="2175"/>
      <c r="N41" s="2175"/>
      <c r="O41" s="2147"/>
      <c r="P41" s="3356"/>
      <c r="Q41" s="1609" t="str">
        <f t="shared" si="11"/>
        <v>单套/主力户型建筑面积</v>
      </c>
      <c r="R41" s="1581" t="s">
        <v>11</v>
      </c>
      <c r="S41" s="1582">
        <f t="shared" si="12"/>
        <v>100</v>
      </c>
      <c r="T41" s="1581" t="s">
        <v>11</v>
      </c>
      <c r="U41" s="1582">
        <f t="shared" si="13"/>
        <v>98</v>
      </c>
      <c r="V41" s="1581" t="s">
        <v>11</v>
      </c>
      <c r="W41" s="1582">
        <f t="shared" si="14"/>
        <v>100</v>
      </c>
      <c r="X41" s="1583"/>
      <c r="Y41" s="3356"/>
      <c r="Z41" s="1584" t="str">
        <f t="shared" si="15"/>
        <v>单套/主力户型建筑面积</v>
      </c>
      <c r="AA41" s="1580">
        <f t="shared" si="3"/>
        <v>1</v>
      </c>
      <c r="AB41" s="1580">
        <f t="shared" si="4"/>
        <v>1.0204081632653061</v>
      </c>
      <c r="AC41" s="1580">
        <f t="shared" si="5"/>
        <v>1</v>
      </c>
    </row>
    <row r="42" spans="1:29" ht="15">
      <c r="A42" s="597"/>
      <c r="B42" s="530" t="s">
        <v>735</v>
      </c>
      <c r="C42" s="602" t="s">
        <v>3053</v>
      </c>
      <c r="D42" s="543">
        <v>100</v>
      </c>
      <c r="E42" s="877" t="s">
        <v>3053</v>
      </c>
      <c r="F42" s="578">
        <f>SUMIF(122:122,E42,123:123)-SUMIF(122:122,C42,123:123)+100</f>
        <v>100</v>
      </c>
      <c r="G42" s="602" t="s">
        <v>3053</v>
      </c>
      <c r="H42" s="543">
        <f>SUMIF(122:122,G42,123:123)-SUMIF(122:122,C42,123:123)+100</f>
        <v>100</v>
      </c>
      <c r="I42" s="877" t="s">
        <v>3053</v>
      </c>
      <c r="J42" s="543">
        <f>SUMIF(122:122,I42,123:123)-SUMIF(122:122,C42,123:123)+100</f>
        <v>100</v>
      </c>
      <c r="K42" s="867">
        <v>2</v>
      </c>
      <c r="L42" s="2146"/>
      <c r="M42" s="2138"/>
      <c r="N42" s="2138"/>
      <c r="O42" s="2145"/>
      <c r="P42" s="3356"/>
      <c r="Q42" s="1576" t="str">
        <f t="shared" si="11"/>
        <v>内部装修</v>
      </c>
      <c r="R42" s="1577" t="s">
        <v>11</v>
      </c>
      <c r="S42" s="1578">
        <f t="shared" si="12"/>
        <v>100</v>
      </c>
      <c r="T42" s="1577" t="s">
        <v>11</v>
      </c>
      <c r="U42" s="1578">
        <f t="shared" si="13"/>
        <v>100</v>
      </c>
      <c r="V42" s="1577" t="s">
        <v>11</v>
      </c>
      <c r="W42" s="1578">
        <f t="shared" si="14"/>
        <v>100</v>
      </c>
      <c r="X42" s="1571"/>
      <c r="Y42" s="3356"/>
      <c r="Z42" s="1579" t="str">
        <f t="shared" si="15"/>
        <v>内部装修</v>
      </c>
      <c r="AA42" s="1580">
        <f t="shared" si="3"/>
        <v>1</v>
      </c>
      <c r="AB42" s="1580">
        <f t="shared" si="4"/>
        <v>1</v>
      </c>
      <c r="AC42" s="1580">
        <f t="shared" si="5"/>
        <v>1</v>
      </c>
    </row>
    <row r="43" spans="1:29" ht="27">
      <c r="A43" s="597"/>
      <c r="B43" s="530" t="s">
        <v>736</v>
      </c>
      <c r="C43" s="602" t="s">
        <v>3036</v>
      </c>
      <c r="D43" s="543">
        <v>100</v>
      </c>
      <c r="E43" s="877" t="s">
        <v>3036</v>
      </c>
      <c r="F43" s="578">
        <f>SUMIF(124:124,E43,125:125)-SUMIF(124:124,C43,125:125)+100</f>
        <v>100</v>
      </c>
      <c r="G43" s="602" t="s">
        <v>3036</v>
      </c>
      <c r="H43" s="543">
        <f>SUMIF(124:124,G43,125:125)-SUMIF(124:124,C43,125:125)+100</f>
        <v>100</v>
      </c>
      <c r="I43" s="877" t="s">
        <v>3036</v>
      </c>
      <c r="J43" s="543">
        <f>SUMIF(124:124,I43,125:125)-SUMIF(124:124,C43,125:125)+100</f>
        <v>100</v>
      </c>
      <c r="K43" s="867">
        <v>2</v>
      </c>
      <c r="L43" s="2146"/>
      <c r="M43" s="2138"/>
      <c r="N43" s="2138"/>
      <c r="O43" s="2145"/>
      <c r="P43" s="3356"/>
      <c r="Q43" s="1576" t="str">
        <f t="shared" si="11"/>
        <v>内部装修维护情况</v>
      </c>
      <c r="R43" s="1577" t="s">
        <v>11</v>
      </c>
      <c r="S43" s="1578">
        <f t="shared" si="12"/>
        <v>100</v>
      </c>
      <c r="T43" s="1577" t="s">
        <v>11</v>
      </c>
      <c r="U43" s="1578">
        <f t="shared" si="13"/>
        <v>100</v>
      </c>
      <c r="V43" s="1577" t="s">
        <v>11</v>
      </c>
      <c r="W43" s="1578">
        <f t="shared" si="14"/>
        <v>100</v>
      </c>
      <c r="X43" s="1571"/>
      <c r="Y43" s="3356"/>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56"/>
      <c r="Q44" s="1154">
        <f t="shared" si="11"/>
        <v>111</v>
      </c>
      <c r="R44" s="1572" t="s">
        <v>11</v>
      </c>
      <c r="S44" s="1573">
        <f t="shared" si="12"/>
        <v>100</v>
      </c>
      <c r="T44" s="1572" t="s">
        <v>11</v>
      </c>
      <c r="U44" s="1573">
        <f t="shared" si="13"/>
        <v>100</v>
      </c>
      <c r="V44" s="1572" t="s">
        <v>11</v>
      </c>
      <c r="W44" s="1573">
        <f t="shared" si="14"/>
        <v>100</v>
      </c>
      <c r="X44" s="1574"/>
      <c r="Y44" s="3356"/>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56"/>
      <c r="Q45" s="1576">
        <f t="shared" si="11"/>
        <v>111</v>
      </c>
      <c r="R45" s="1577" t="s">
        <v>11</v>
      </c>
      <c r="S45" s="1578">
        <f t="shared" si="12"/>
        <v>100</v>
      </c>
      <c r="T45" s="1577" t="s">
        <v>11</v>
      </c>
      <c r="U45" s="1578">
        <f t="shared" si="13"/>
        <v>100</v>
      </c>
      <c r="V45" s="1577" t="s">
        <v>11</v>
      </c>
      <c r="W45" s="1578">
        <f t="shared" si="14"/>
        <v>100</v>
      </c>
      <c r="X45" s="1571"/>
      <c r="Y45" s="3356"/>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357"/>
      <c r="Q46" s="1576">
        <f t="shared" si="11"/>
        <v>111</v>
      </c>
      <c r="R46" s="1577" t="s">
        <v>10</v>
      </c>
      <c r="S46" s="1578">
        <f t="shared" si="12"/>
        <v>100</v>
      </c>
      <c r="T46" s="1577" t="s">
        <v>10</v>
      </c>
      <c r="U46" s="1578">
        <f t="shared" si="13"/>
        <v>100</v>
      </c>
      <c r="V46" s="1577" t="s">
        <v>10</v>
      </c>
      <c r="W46" s="1578">
        <f t="shared" si="14"/>
        <v>100</v>
      </c>
      <c r="X46" s="1571"/>
      <c r="Y46" s="3357"/>
      <c r="Z46" s="1579">
        <f t="shared" si="15"/>
        <v>111</v>
      </c>
      <c r="AA46" s="1580">
        <f t="shared" si="3"/>
        <v>1</v>
      </c>
      <c r="AB46" s="1580">
        <f t="shared" si="4"/>
        <v>1</v>
      </c>
      <c r="AC46" s="1580">
        <f t="shared" si="5"/>
        <v>1</v>
      </c>
    </row>
    <row r="47" spans="1:29" ht="15">
      <c r="A47" s="610" t="s">
        <v>737</v>
      </c>
      <c r="B47" s="890"/>
      <c r="C47" s="2655" t="s">
        <v>9</v>
      </c>
      <c r="D47" s="2656"/>
      <c r="E47" s="2657">
        <f>楼盘案例!C2</f>
        <v>32000</v>
      </c>
      <c r="F47" s="2658"/>
      <c r="G47" s="2659">
        <v>33000</v>
      </c>
      <c r="H47" s="2660"/>
      <c r="I47" s="2657">
        <v>30000</v>
      </c>
      <c r="J47" s="2660"/>
      <c r="K47" s="1610"/>
      <c r="L47" s="2148"/>
      <c r="M47" s="2149"/>
      <c r="N47" s="2138"/>
      <c r="O47" s="2149"/>
      <c r="P47" s="3351" t="str">
        <f>A47</f>
        <v>成交单价（元/平方米）</v>
      </c>
      <c r="Q47" s="3351"/>
      <c r="R47" s="3352">
        <f>E47</f>
        <v>32000</v>
      </c>
      <c r="S47" s="3352"/>
      <c r="T47" s="3352">
        <f>G47</f>
        <v>33000</v>
      </c>
      <c r="U47" s="3352"/>
      <c r="V47" s="3352">
        <f>I47</f>
        <v>30000</v>
      </c>
      <c r="W47" s="3352"/>
      <c r="X47" s="1563"/>
      <c r="Y47" s="1585"/>
      <c r="Z47" s="1563"/>
      <c r="AA47" s="1563"/>
      <c r="AB47" s="1563"/>
      <c r="AC47" s="1563"/>
    </row>
    <row r="48" spans="1:29" ht="15.75" thickBot="1">
      <c r="A48" s="618" t="s">
        <v>2768</v>
      </c>
      <c r="B48" s="891"/>
      <c r="C48" s="2661">
        <f>R49</f>
        <v>28424</v>
      </c>
      <c r="D48" s="2662"/>
      <c r="E48" s="2663">
        <f>R48</f>
        <v>28426</v>
      </c>
      <c r="F48" s="2663"/>
      <c r="G48" s="2661">
        <f>T48</f>
        <v>30197</v>
      </c>
      <c r="H48" s="2662"/>
      <c r="I48" s="2663">
        <f>V48</f>
        <v>26649</v>
      </c>
      <c r="J48" s="2662"/>
      <c r="K48" s="1611"/>
      <c r="L48" s="2148"/>
      <c r="M48" s="2149"/>
      <c r="N48" s="2149"/>
      <c r="O48" s="2149"/>
      <c r="P48" s="3351" t="str">
        <f>A48</f>
        <v>比较价格（元/平方米）</v>
      </c>
      <c r="Q48" s="3351"/>
      <c r="R48" s="3352">
        <f>IF(F1="售价",ROUND(PRODUCT(R47,AA7:AA46),0),ROUND(PRODUCT(R47,AA7:AA46),1))</f>
        <v>28426</v>
      </c>
      <c r="S48" s="3352"/>
      <c r="T48" s="3352">
        <f>IF(F1="售价",ROUND(PRODUCT(T47,AB7:AB46),0),ROUND(PRODUCT(T47,AB7:AB46),1))</f>
        <v>30197</v>
      </c>
      <c r="U48" s="3352"/>
      <c r="V48" s="3352">
        <f>IF(F1="售价",ROUND(PRODUCT(V47,AC7:AC46),0),ROUND(PRODUCT(V47,AC7:AC46),1))</f>
        <v>26649</v>
      </c>
      <c r="W48" s="3352"/>
      <c r="X48" s="1563"/>
      <c r="Y48" s="1563"/>
      <c r="Z48" s="1563"/>
      <c r="AA48" s="1563"/>
      <c r="AB48" s="1563"/>
      <c r="AC48" s="1563"/>
    </row>
    <row r="49" spans="1:29" ht="15.75" thickBot="1">
      <c r="A49" s="624" t="s">
        <v>2942</v>
      </c>
      <c r="B49" s="625"/>
      <c r="C49" s="2664">
        <f>R49</f>
        <v>28424</v>
      </c>
      <c r="D49" s="2664"/>
      <c r="E49" s="2664"/>
      <c r="F49" s="2664"/>
      <c r="G49" s="2664"/>
      <c r="H49" s="2664"/>
      <c r="I49" s="2664"/>
      <c r="J49" s="2664"/>
      <c r="K49" s="1612"/>
      <c r="L49" s="2148"/>
      <c r="M49" s="2149"/>
      <c r="N49" s="2149"/>
      <c r="O49" s="2149"/>
      <c r="P49" s="3348" t="str">
        <f>A49</f>
        <v>估价对象XX用房的比较价格（楼面单价，元/平方米）</v>
      </c>
      <c r="Q49" s="3349"/>
      <c r="R49" s="3350">
        <f>IF(F1="售价",ROUND(AVERAGE(R48:V48),0),ROUND(AVERAGE(R48:V48),1))</f>
        <v>28424</v>
      </c>
      <c r="S49" s="3350"/>
      <c r="T49" s="3350"/>
      <c r="U49" s="3350"/>
      <c r="V49" s="3350"/>
      <c r="W49" s="3350"/>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0.12572996552451987</v>
      </c>
      <c r="F52" s="630" t="str">
        <f>IF(OR(E52&gt;=0.3,E52&lt;=-0.3),"超过30%","")</f>
        <v/>
      </c>
      <c r="G52" s="629">
        <f>IF(G47&lt;G48,G48/G47-1,G47/G48-1)</f>
        <v>9.2823790442759124E-2</v>
      </c>
      <c r="H52" s="630" t="str">
        <f>IF(OR(G52&gt;=0.3,G52&lt;=-0.3),"超过30%","")</f>
        <v/>
      </c>
      <c r="I52" s="629">
        <f>IF(I47&lt;I48,I48/I47-1,I47/I48-1)</f>
        <v>0.1257458065968704</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6.2302117779497568E-2</v>
      </c>
      <c r="F53" s="630" t="str">
        <f>IF(OR(E53&gt;=0.2,E53&lt;=-0.2),"超过20%","")</f>
        <v/>
      </c>
      <c r="G53" s="629">
        <f>IF(G48&lt;I48,I48/G48-1,G48/I48-1)</f>
        <v>0.13313820406018984</v>
      </c>
      <c r="H53" s="630" t="str">
        <f>IF(OR(G53&gt;=0.2,G53&lt;=-0.2),"超过20%","")</f>
        <v/>
      </c>
      <c r="I53" s="629">
        <f>IF(I48&lt;E48,E48/I48-1,I48/E48-1)</f>
        <v>6.6681676610754526E-2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3.125E-2</v>
      </c>
      <c r="F54" s="630" t="str">
        <f>IF(OR(E54&gt;=0.3,E54&lt;=-0.3),"超过30%","")</f>
        <v/>
      </c>
      <c r="G54" s="629">
        <f>IF(G47&lt;I47,I47/G47-1,G47/I47-1)</f>
        <v>0.10000000000000009</v>
      </c>
      <c r="H54" s="630" t="str">
        <f>IF(OR(G54&gt;=0.3,G54&lt;=-0.3),"超过30%","")</f>
        <v/>
      </c>
      <c r="I54" s="629">
        <f>IF(I47&lt;E47,E47/I47-1,I47/E47-1)</f>
        <v>6.6666666666666652E-2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6"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3"/>
      <c r="F64" s="1613"/>
      <c r="G64" s="1613"/>
      <c r="H64" s="1613"/>
      <c r="I64" s="1613"/>
      <c r="J64" s="1613"/>
      <c r="K64" s="1613"/>
      <c r="L64" s="1613"/>
      <c r="M64" s="1614"/>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v>3</v>
      </c>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98</v>
      </c>
      <c r="E77" s="682">
        <f>D77-$K15</f>
        <v>96</v>
      </c>
      <c r="F77" s="682">
        <f>E77-$K15</f>
        <v>94</v>
      </c>
      <c r="G77" s="682">
        <f>F77-$K15</f>
        <v>92</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98</v>
      </c>
      <c r="E79" s="682">
        <f>D79-$K17</f>
        <v>96</v>
      </c>
      <c r="F79" s="682">
        <f>E79-$K17</f>
        <v>94</v>
      </c>
      <c r="G79" s="682">
        <f>F79-$K17</f>
        <v>92</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99</v>
      </c>
      <c r="E81" s="682">
        <f>D81-$K19</f>
        <v>98</v>
      </c>
      <c r="F81" s="682">
        <f>E81-$K19</f>
        <v>97</v>
      </c>
      <c r="G81" s="682">
        <f>F81-$K19</f>
        <v>96</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98</v>
      </c>
      <c r="E83" s="682">
        <f>D83-$K21</f>
        <v>96</v>
      </c>
      <c r="F83" s="682">
        <f>E83-$K21</f>
        <v>94</v>
      </c>
      <c r="G83" s="682">
        <f>F83-$K21</f>
        <v>92</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98</v>
      </c>
      <c r="E85" s="682">
        <f>D85-$K23</f>
        <v>96</v>
      </c>
      <c r="F85" s="682">
        <f>E85-$K23</f>
        <v>94</v>
      </c>
      <c r="G85" s="682">
        <f>F85-$K23</f>
        <v>92</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67" t="s">
        <v>3043</v>
      </c>
      <c r="D100" s="3167" t="s">
        <v>3044</v>
      </c>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50000</v>
      </c>
      <c r="E103" s="733">
        <v>100000</v>
      </c>
      <c r="F103" s="733">
        <v>150000</v>
      </c>
      <c r="G103" s="733">
        <v>200000</v>
      </c>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3174">
        <v>100</v>
      </c>
      <c r="D104" s="3175">
        <v>102</v>
      </c>
      <c r="E104" s="3175">
        <v>104</v>
      </c>
      <c r="F104" s="3175">
        <v>106</v>
      </c>
      <c r="G104" s="3175">
        <v>108</v>
      </c>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73" t="s">
        <v>3046</v>
      </c>
      <c r="D105" s="3173" t="s">
        <v>3047</v>
      </c>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3172" t="s">
        <v>3048</v>
      </c>
      <c r="D107" s="3172" t="s">
        <v>3049</v>
      </c>
      <c r="E107" s="3172" t="s">
        <v>3050</v>
      </c>
      <c r="F107" s="3172" t="s">
        <v>3051</v>
      </c>
      <c r="G107" s="3172" t="s">
        <v>3052</v>
      </c>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3173" t="s">
        <v>3054</v>
      </c>
      <c r="D109" s="3173" t="s">
        <v>3055</v>
      </c>
      <c r="E109" s="3173" t="s">
        <v>3056</v>
      </c>
      <c r="F109" s="3172" t="s">
        <v>3057</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73" t="s">
        <v>3058</v>
      </c>
      <c r="D116" s="3173" t="s">
        <v>3060</v>
      </c>
      <c r="E116" s="3173" t="s">
        <v>3061</v>
      </c>
      <c r="F116" s="3173" t="s">
        <v>3062</v>
      </c>
      <c r="G116" s="3173" t="s">
        <v>3064</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98</v>
      </c>
      <c r="E119" s="682">
        <f t="shared" si="28"/>
        <v>96</v>
      </c>
      <c r="F119" s="682">
        <f t="shared" si="28"/>
        <v>94</v>
      </c>
      <c r="G119" s="682">
        <f t="shared" si="28"/>
        <v>92</v>
      </c>
      <c r="H119" s="682">
        <f t="shared" si="28"/>
        <v>90</v>
      </c>
      <c r="I119" s="682">
        <f t="shared" si="28"/>
        <v>88</v>
      </c>
      <c r="J119" s="682">
        <f t="shared" si="28"/>
        <v>86</v>
      </c>
      <c r="K119" s="682">
        <f t="shared" si="28"/>
        <v>84</v>
      </c>
      <c r="L119" s="682">
        <f t="shared" si="28"/>
        <v>82</v>
      </c>
      <c r="M119" s="682">
        <f t="shared" si="28"/>
        <v>80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v>140</v>
      </c>
      <c r="D120" s="691">
        <v>150</v>
      </c>
      <c r="E120" s="691">
        <v>180</v>
      </c>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v>100</v>
      </c>
      <c r="D121" s="674">
        <v>100</v>
      </c>
      <c r="E121" s="674">
        <v>98</v>
      </c>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73" t="s">
        <v>3054</v>
      </c>
      <c r="D122" s="3173" t="s">
        <v>3055</v>
      </c>
      <c r="E122" s="3173" t="s">
        <v>3056</v>
      </c>
      <c r="F122" s="3172" t="s">
        <v>3057</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2"/>
      <c r="D2" s="2132"/>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5"/>
      <c r="D3" s="2065"/>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70"/>
      <c r="AC5" s="431"/>
    </row>
    <row r="6" spans="1:29" ht="15">
      <c r="A6" s="515" t="s">
        <v>522</v>
      </c>
      <c r="B6" s="516"/>
      <c r="C6" s="3361" t="s">
        <v>523</v>
      </c>
      <c r="D6" s="3362"/>
      <c r="E6" s="3363" t="s">
        <v>524</v>
      </c>
      <c r="F6" s="3364"/>
      <c r="G6" s="3361" t="s">
        <v>525</v>
      </c>
      <c r="H6" s="3362"/>
      <c r="I6" s="3361" t="s">
        <v>526</v>
      </c>
      <c r="J6" s="3362"/>
      <c r="K6" s="517" t="s">
        <v>527</v>
      </c>
      <c r="L6" s="2137"/>
      <c r="M6" s="2138"/>
      <c r="N6" s="2138"/>
      <c r="O6" s="2138"/>
      <c r="P6" s="3365" t="s">
        <v>528</v>
      </c>
      <c r="Q6" s="3366"/>
      <c r="R6" s="3371" t="s">
        <v>524</v>
      </c>
      <c r="S6" s="3372"/>
      <c r="T6" s="3371" t="s">
        <v>525</v>
      </c>
      <c r="U6" s="3372"/>
      <c r="V6" s="3377" t="s">
        <v>526</v>
      </c>
      <c r="W6" s="3377"/>
      <c r="X6" s="1571"/>
      <c r="Y6" s="3371" t="s">
        <v>528</v>
      </c>
      <c r="Z6" s="3372"/>
      <c r="AA6" s="3358" t="s">
        <v>524</v>
      </c>
      <c r="AB6" s="3359" t="s">
        <v>525</v>
      </c>
      <c r="AC6" s="3358" t="s">
        <v>526</v>
      </c>
    </row>
    <row r="7" spans="1:29" ht="15">
      <c r="A7" s="518"/>
      <c r="B7" s="519"/>
      <c r="C7" s="3380" t="s">
        <v>2936</v>
      </c>
      <c r="D7" s="3381"/>
      <c r="E7" s="3388" t="s">
        <v>2937</v>
      </c>
      <c r="F7" s="3389"/>
      <c r="G7" s="3380" t="s">
        <v>2938</v>
      </c>
      <c r="H7" s="3381"/>
      <c r="I7" s="3380" t="s">
        <v>2939</v>
      </c>
      <c r="J7" s="3381"/>
      <c r="K7" s="517"/>
      <c r="L7" s="2137"/>
      <c r="M7" s="2138"/>
      <c r="N7" s="2138"/>
      <c r="O7" s="2138"/>
      <c r="P7" s="3367"/>
      <c r="Q7" s="3368"/>
      <c r="R7" s="3373"/>
      <c r="S7" s="3374"/>
      <c r="T7" s="3373"/>
      <c r="U7" s="3374"/>
      <c r="V7" s="3377"/>
      <c r="W7" s="3377"/>
      <c r="X7" s="1571"/>
      <c r="Y7" s="3373"/>
      <c r="Z7" s="3374"/>
      <c r="AA7" s="3359"/>
      <c r="AB7" s="3359"/>
      <c r="AC7" s="3359"/>
    </row>
    <row r="8" spans="1:29" ht="15.75" thickBot="1">
      <c r="A8" s="520"/>
      <c r="B8" s="521"/>
      <c r="C8" s="3378" t="s">
        <v>2940</v>
      </c>
      <c r="D8" s="3379"/>
      <c r="E8" s="3386" t="s">
        <v>2940</v>
      </c>
      <c r="F8" s="3387"/>
      <c r="G8" s="3378" t="s">
        <v>2940</v>
      </c>
      <c r="H8" s="3379"/>
      <c r="I8" s="3378" t="s">
        <v>2940</v>
      </c>
      <c r="J8" s="3379"/>
      <c r="K8" s="517" t="s">
        <v>529</v>
      </c>
      <c r="L8" s="2137"/>
      <c r="M8" s="2138"/>
      <c r="N8" s="2138"/>
      <c r="O8" s="2138"/>
      <c r="P8" s="3369"/>
      <c r="Q8" s="3370"/>
      <c r="R8" s="3373"/>
      <c r="S8" s="3374"/>
      <c r="T8" s="3375"/>
      <c r="U8" s="3376"/>
      <c r="V8" s="3377"/>
      <c r="W8" s="3377"/>
      <c r="X8" s="1571"/>
      <c r="Y8" s="3375"/>
      <c r="Z8" s="3376"/>
      <c r="AA8" s="3360"/>
      <c r="AB8" s="3360"/>
      <c r="AC8" s="3360"/>
    </row>
    <row r="9" spans="1:29" s="1223" customFormat="1" ht="15.75" thickBot="1">
      <c r="A9" s="2944"/>
      <c r="B9" s="2951" t="s">
        <v>530</v>
      </c>
      <c r="C9" s="522">
        <f>'数据-取费表'!B2</f>
        <v>43021</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82" t="s">
        <v>531</v>
      </c>
      <c r="Q9" s="3384"/>
      <c r="R9" s="1572" t="s">
        <v>8</v>
      </c>
      <c r="S9" s="1573">
        <f t="shared" ref="S9:S17" si="0">F9</f>
        <v>0</v>
      </c>
      <c r="T9" s="1572" t="s">
        <v>8</v>
      </c>
      <c r="U9" s="1573">
        <f t="shared" ref="U9:U17" si="1">H9</f>
        <v>0</v>
      </c>
      <c r="V9" s="1572" t="s">
        <v>8</v>
      </c>
      <c r="W9" s="1573">
        <f t="shared" ref="W9:W17" si="2">J9</f>
        <v>0</v>
      </c>
      <c r="X9" s="1574"/>
      <c r="Y9" s="3382" t="s">
        <v>531</v>
      </c>
      <c r="Z9" s="3383"/>
      <c r="AA9" s="1575" t="e">
        <f>D9/F9</f>
        <v>#DIV/0!</v>
      </c>
      <c r="AB9" s="1575" t="e">
        <f>D9/H9</f>
        <v>#DIV/0!</v>
      </c>
      <c r="AC9" s="1575" t="e">
        <f>D9/J9</f>
        <v>#DIV/0!</v>
      </c>
    </row>
    <row r="10" spans="1:29" s="1223" customFormat="1" ht="15.75" thickBot="1">
      <c r="A10" s="2945"/>
      <c r="B10" s="295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82" t="s">
        <v>534</v>
      </c>
      <c r="Q10" s="3383"/>
      <c r="R10" s="1572" t="s">
        <v>8</v>
      </c>
      <c r="S10" s="1573">
        <f t="shared" si="0"/>
        <v>0</v>
      </c>
      <c r="T10" s="1572" t="s">
        <v>8</v>
      </c>
      <c r="U10" s="1573">
        <f t="shared" si="1"/>
        <v>0</v>
      </c>
      <c r="V10" s="1572" t="s">
        <v>8</v>
      </c>
      <c r="W10" s="1573">
        <f t="shared" si="2"/>
        <v>0</v>
      </c>
      <c r="X10" s="1574"/>
      <c r="Y10" s="3382" t="s">
        <v>534</v>
      </c>
      <c r="Z10" s="3383"/>
      <c r="AA10" s="1575" t="e">
        <f t="shared" ref="AA10:AA42" si="3">D10/F10</f>
        <v>#DIV/0!</v>
      </c>
      <c r="AB10" s="1575" t="e">
        <f t="shared" ref="AB10:AB42" si="4">D10/H10</f>
        <v>#DIV/0!</v>
      </c>
      <c r="AC10" s="1575" t="e">
        <f t="shared" ref="AC10:AC42" si="5">D10/J10</f>
        <v>#DIV/0!</v>
      </c>
    </row>
    <row r="11" spans="1:29" s="1223" customFormat="1" ht="15">
      <c r="A11" s="2946"/>
      <c r="B11" s="2953" t="s">
        <v>2764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51" t="s">
        <v>536</v>
      </c>
      <c r="Q11" s="1154" t="str">
        <f t="shared" ref="Q11:Q17" si="6">B11</f>
        <v>用途</v>
      </c>
      <c r="R11" s="1572" t="s">
        <v>8</v>
      </c>
      <c r="S11" s="1573">
        <f t="shared" si="0"/>
        <v>100</v>
      </c>
      <c r="T11" s="1572" t="s">
        <v>8</v>
      </c>
      <c r="U11" s="1573">
        <f t="shared" si="1"/>
        <v>100</v>
      </c>
      <c r="V11" s="1572" t="s">
        <v>8</v>
      </c>
      <c r="W11" s="1573">
        <f t="shared" si="2"/>
        <v>100</v>
      </c>
      <c r="X11" s="1574"/>
      <c r="Y11" s="3297" t="s">
        <v>537</v>
      </c>
      <c r="Z11" s="1153" t="str">
        <f t="shared" ref="Z11:Z17" si="7">Q11</f>
        <v>用途</v>
      </c>
      <c r="AA11" s="1575">
        <f t="shared" si="3"/>
        <v>1</v>
      </c>
      <c r="AB11" s="1575">
        <f t="shared" si="4"/>
        <v>1</v>
      </c>
      <c r="AC11" s="1575">
        <f t="shared" si="5"/>
        <v>1</v>
      </c>
    </row>
    <row r="12" spans="1:29" s="1341" customFormat="1" ht="27">
      <c r="A12" s="2947"/>
      <c r="B12" s="2952" t="s">
        <v>2765</v>
      </c>
      <c r="C12" s="531"/>
      <c r="D12" s="255">
        <v>100</v>
      </c>
      <c r="E12" s="531"/>
      <c r="F12" s="255">
        <f>ROUND(100/'数据-取费表'!G16,0)</f>
        <v>100</v>
      </c>
      <c r="G12" s="531"/>
      <c r="H12" s="255">
        <f>ROUND(100/'数据-取费表'!G16,0)</f>
        <v>100</v>
      </c>
      <c r="I12" s="531"/>
      <c r="J12" s="255">
        <f>ROUND(100/'数据-取费表'!G16,0)</f>
        <v>100</v>
      </c>
      <c r="K12" s="534"/>
      <c r="L12" s="2142"/>
      <c r="M12" s="2182"/>
      <c r="N12" s="2182"/>
      <c r="O12" s="2143"/>
      <c r="P12" s="3351"/>
      <c r="Q12" s="1154" t="str">
        <f t="shared" si="6"/>
        <v>土地使用年限（年）</v>
      </c>
      <c r="R12" s="1572" t="s">
        <v>8</v>
      </c>
      <c r="S12" s="1573">
        <f t="shared" si="0"/>
        <v>100</v>
      </c>
      <c r="T12" s="1572" t="s">
        <v>8</v>
      </c>
      <c r="U12" s="1573">
        <f t="shared" si="1"/>
        <v>100</v>
      </c>
      <c r="V12" s="1572" t="s">
        <v>8</v>
      </c>
      <c r="W12" s="1573">
        <f t="shared" si="2"/>
        <v>100</v>
      </c>
      <c r="X12" s="1574"/>
      <c r="Y12" s="3297"/>
      <c r="Z12" s="1153" t="str">
        <f t="shared" si="7"/>
        <v>土地使用年限（年）</v>
      </c>
      <c r="AA12" s="1575">
        <f t="shared" si="3"/>
        <v>1</v>
      </c>
      <c r="AB12" s="1575">
        <f t="shared" si="4"/>
        <v>1</v>
      </c>
      <c r="AC12" s="1575">
        <f t="shared" si="5"/>
        <v>1</v>
      </c>
    </row>
    <row r="13" spans="1:29" ht="15">
      <c r="A13" s="2948"/>
      <c r="B13" s="2952"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51"/>
      <c r="Q13" s="1154" t="str">
        <f t="shared" si="6"/>
        <v>容积率</v>
      </c>
      <c r="R13" s="1572" t="s">
        <v>8</v>
      </c>
      <c r="S13" s="1573" t="e">
        <f t="shared" si="0"/>
        <v>#N/A</v>
      </c>
      <c r="T13" s="1572" t="s">
        <v>8</v>
      </c>
      <c r="U13" s="1573" t="e">
        <f t="shared" si="1"/>
        <v>#N/A</v>
      </c>
      <c r="V13" s="1572" t="s">
        <v>8</v>
      </c>
      <c r="W13" s="1573" t="e">
        <f t="shared" si="2"/>
        <v>#N/A</v>
      </c>
      <c r="X13" s="1574"/>
      <c r="Y13" s="3297"/>
      <c r="Z13" s="1153" t="str">
        <f t="shared" si="7"/>
        <v>容积率</v>
      </c>
      <c r="AA13" s="1575" t="e">
        <f t="shared" si="3"/>
        <v>#N/A</v>
      </c>
      <c r="AB13" s="1575" t="e">
        <f t="shared" si="4"/>
        <v>#N/A</v>
      </c>
      <c r="AC13" s="1575" t="e">
        <f t="shared" si="5"/>
        <v>#N/A</v>
      </c>
    </row>
    <row r="14" spans="1:29" s="1223" customFormat="1" ht="15">
      <c r="A14" s="2949"/>
      <c r="B14" s="2955">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D14/F14</f>
        <v>1</v>
      </c>
      <c r="AB14" s="1575">
        <f>D14/H14</f>
        <v>1</v>
      </c>
      <c r="AC14" s="1575">
        <f>D14/J14</f>
        <v>1</v>
      </c>
    </row>
    <row r="15" spans="1:29" ht="15">
      <c r="A15" s="2949"/>
      <c r="B15" s="2955">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51"/>
      <c r="Q15" s="1154">
        <f t="shared" si="6"/>
        <v>111</v>
      </c>
      <c r="R15" s="1572" t="s">
        <v>8</v>
      </c>
      <c r="S15" s="1573">
        <f t="shared" si="0"/>
        <v>100</v>
      </c>
      <c r="T15" s="1572" t="s">
        <v>8</v>
      </c>
      <c r="U15" s="1573">
        <f t="shared" si="1"/>
        <v>100</v>
      </c>
      <c r="V15" s="1572" t="s">
        <v>8</v>
      </c>
      <c r="W15" s="1573">
        <f t="shared" si="2"/>
        <v>100</v>
      </c>
      <c r="X15" s="1574"/>
      <c r="Y15" s="3297"/>
      <c r="Z15" s="1153">
        <f t="shared" si="7"/>
        <v>111</v>
      </c>
      <c r="AA15" s="1575">
        <f t="shared" si="3"/>
        <v>1</v>
      </c>
      <c r="AB15" s="1575">
        <f t="shared" si="4"/>
        <v>1</v>
      </c>
      <c r="AC15" s="1575">
        <f t="shared" si="5"/>
        <v>1</v>
      </c>
    </row>
    <row r="16" spans="1:29" ht="15.75" thickBot="1">
      <c r="A16" s="2950"/>
      <c r="B16" s="2956">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51"/>
      <c r="Q16" s="1154">
        <f t="shared" si="6"/>
        <v>111</v>
      </c>
      <c r="R16" s="1572" t="s">
        <v>8</v>
      </c>
      <c r="S16" s="1573">
        <f t="shared" si="0"/>
        <v>100</v>
      </c>
      <c r="T16" s="1572" t="s">
        <v>8</v>
      </c>
      <c r="U16" s="1573">
        <f t="shared" si="1"/>
        <v>100</v>
      </c>
      <c r="V16" s="1572" t="s">
        <v>8</v>
      </c>
      <c r="W16" s="1573">
        <f t="shared" si="2"/>
        <v>100</v>
      </c>
      <c r="X16" s="1574"/>
      <c r="Y16" s="3297"/>
      <c r="Z16" s="1153">
        <f t="shared" si="7"/>
        <v>111</v>
      </c>
      <c r="AA16" s="1575">
        <f t="shared" si="3"/>
        <v>1</v>
      </c>
      <c r="AB16" s="1575">
        <f t="shared" si="4"/>
        <v>1</v>
      </c>
      <c r="AC16" s="1575">
        <f t="shared" si="5"/>
        <v>1</v>
      </c>
    </row>
    <row r="17" spans="1:29" ht="57">
      <c r="A17" s="2942" t="s">
        <v>2762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53" t="s">
        <v>541</v>
      </c>
      <c r="Q17" s="1576" t="str">
        <f t="shared" si="6"/>
        <v>产业集聚程度</v>
      </c>
      <c r="R17" s="1577" t="s">
        <v>8</v>
      </c>
      <c r="S17" s="1578">
        <f t="shared" si="0"/>
        <v>100</v>
      </c>
      <c r="T17" s="1577" t="s">
        <v>8</v>
      </c>
      <c r="U17" s="1578">
        <f t="shared" si="1"/>
        <v>100</v>
      </c>
      <c r="V17" s="1577" t="s">
        <v>8</v>
      </c>
      <c r="W17" s="1578">
        <f t="shared" si="2"/>
        <v>100</v>
      </c>
      <c r="X17" s="1571"/>
      <c r="Y17" s="3353"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6"/>
      <c r="M18" s="2138"/>
      <c r="N18" s="2138"/>
      <c r="O18" s="2145"/>
      <c r="P18" s="3354"/>
      <c r="Q18" s="1576"/>
      <c r="R18" s="1577"/>
      <c r="S18" s="1578"/>
      <c r="T18" s="1577"/>
      <c r="U18" s="1578"/>
      <c r="V18" s="1577"/>
      <c r="W18" s="1578"/>
      <c r="X18" s="1571"/>
      <c r="Y18" s="3354"/>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54"/>
      <c r="Q19" s="1576" t="str">
        <f>B19</f>
        <v>交通便捷度</v>
      </c>
      <c r="R19" s="1577" t="s">
        <v>8</v>
      </c>
      <c r="S19" s="1578">
        <f>F19</f>
        <v>100</v>
      </c>
      <c r="T19" s="1577" t="s">
        <v>8</v>
      </c>
      <c r="U19" s="1578">
        <f>H19</f>
        <v>100</v>
      </c>
      <c r="V19" s="1577" t="s">
        <v>8</v>
      </c>
      <c r="W19" s="1578">
        <f>J19</f>
        <v>100</v>
      </c>
      <c r="X19" s="1571"/>
      <c r="Y19" s="3354"/>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6"/>
      <c r="M20" s="2138"/>
      <c r="N20" s="2138"/>
      <c r="O20" s="2145"/>
      <c r="P20" s="3354"/>
      <c r="Q20" s="1576"/>
      <c r="R20" s="1577"/>
      <c r="S20" s="1578"/>
      <c r="T20" s="1577"/>
      <c r="U20" s="1578"/>
      <c r="V20" s="1577"/>
      <c r="W20" s="1578"/>
      <c r="X20" s="1571"/>
      <c r="Y20" s="3354"/>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54"/>
      <c r="Q21" s="1576" t="str">
        <f t="shared" ref="Q21:Q35" si="8">B21</f>
        <v>区域土地利用方向</v>
      </c>
      <c r="R21" s="1577" t="s">
        <v>8</v>
      </c>
      <c r="S21" s="1578">
        <f>F21</f>
        <v>100</v>
      </c>
      <c r="T21" s="1577" t="s">
        <v>8</v>
      </c>
      <c r="U21" s="1578">
        <f>H21</f>
        <v>100</v>
      </c>
      <c r="V21" s="1577" t="s">
        <v>8</v>
      </c>
      <c r="W21" s="1578">
        <f>J21</f>
        <v>100</v>
      </c>
      <c r="X21" s="1571"/>
      <c r="Y21" s="3354"/>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6"/>
      <c r="M22" s="2138"/>
      <c r="N22" s="2138"/>
      <c r="O22" s="2145"/>
      <c r="P22" s="3354"/>
      <c r="Q22" s="1576"/>
      <c r="R22" s="1577"/>
      <c r="S22" s="1578"/>
      <c r="T22" s="1577"/>
      <c r="U22" s="1578"/>
      <c r="V22" s="1577"/>
      <c r="W22" s="1578"/>
      <c r="X22" s="1571"/>
      <c r="Y22" s="3354"/>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54"/>
      <c r="Q23" s="1576" t="str">
        <f t="shared" si="8"/>
        <v>环境状况</v>
      </c>
      <c r="R23" s="1577" t="s">
        <v>8</v>
      </c>
      <c r="S23" s="1578">
        <f>F23</f>
        <v>100</v>
      </c>
      <c r="T23" s="1577" t="s">
        <v>8</v>
      </c>
      <c r="U23" s="1578">
        <f>H23</f>
        <v>100</v>
      </c>
      <c r="V23" s="1577" t="s">
        <v>8</v>
      </c>
      <c r="W23" s="1578">
        <f>J23</f>
        <v>100</v>
      </c>
      <c r="X23" s="1571"/>
      <c r="Y23" s="3354"/>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6"/>
      <c r="M24" s="2138"/>
      <c r="N24" s="2138"/>
      <c r="O24" s="2145"/>
      <c r="P24" s="3354"/>
      <c r="Q24" s="1576"/>
      <c r="R24" s="1577"/>
      <c r="S24" s="1578"/>
      <c r="T24" s="1577"/>
      <c r="U24" s="1578"/>
      <c r="V24" s="1577"/>
      <c r="W24" s="1578"/>
      <c r="X24" s="1571"/>
      <c r="Y24" s="3354"/>
      <c r="Z24" s="1579"/>
      <c r="AA24" s="1580">
        <v>1</v>
      </c>
      <c r="AB24" s="1580">
        <v>1</v>
      </c>
      <c r="AC24" s="1580">
        <v>1</v>
      </c>
    </row>
    <row r="25" spans="1:29" s="1223" customFormat="1" ht="42.75">
      <c r="A25" s="580"/>
      <c r="B25" s="2621"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54"/>
      <c r="Q25" s="1154" t="str">
        <f t="shared" si="8"/>
        <v>公共配套设施</v>
      </c>
      <c r="R25" s="1572" t="s">
        <v>8</v>
      </c>
      <c r="S25" s="1573">
        <f>F25</f>
        <v>100</v>
      </c>
      <c r="T25" s="1572" t="s">
        <v>8</v>
      </c>
      <c r="U25" s="1573">
        <f>H25</f>
        <v>100</v>
      </c>
      <c r="V25" s="1572" t="s">
        <v>8</v>
      </c>
      <c r="W25" s="1573">
        <f>J25</f>
        <v>100</v>
      </c>
      <c r="X25" s="1574"/>
      <c r="Y25" s="3354"/>
      <c r="Z25" s="1153" t="str">
        <f>Q25</f>
        <v>公共配套设施</v>
      </c>
      <c r="AA25" s="1580">
        <f>D25/F25</f>
        <v>1</v>
      </c>
      <c r="AB25" s="1580">
        <f>D25/H25</f>
        <v>1</v>
      </c>
      <c r="AC25" s="1580">
        <f>D25/J25</f>
        <v>1</v>
      </c>
    </row>
    <row r="26" spans="1:29" s="1223" customFormat="1" ht="15">
      <c r="A26" s="580"/>
      <c r="B26" s="598"/>
      <c r="C26" s="2620"/>
      <c r="D26" s="558"/>
      <c r="E26" s="557"/>
      <c r="F26" s="558"/>
      <c r="G26" s="557"/>
      <c r="H26" s="558"/>
      <c r="I26" s="579"/>
      <c r="J26" s="558"/>
      <c r="K26" s="534"/>
      <c r="L26" s="2139"/>
      <c r="M26" s="2140"/>
      <c r="N26" s="2140"/>
      <c r="O26" s="2141"/>
      <c r="P26" s="3354"/>
      <c r="Q26" s="1154"/>
      <c r="R26" s="1572"/>
      <c r="S26" s="1573"/>
      <c r="T26" s="1572"/>
      <c r="U26" s="1573"/>
      <c r="V26" s="1572"/>
      <c r="W26" s="1573"/>
      <c r="X26" s="1574"/>
      <c r="Y26" s="3354"/>
      <c r="Z26" s="1153"/>
      <c r="AA26" s="1575">
        <v>1</v>
      </c>
      <c r="AB26" s="1575">
        <v>1</v>
      </c>
      <c r="AC26" s="1575">
        <v>1</v>
      </c>
    </row>
    <row r="27" spans="1:29" s="1223" customFormat="1" ht="28.5">
      <c r="A27" s="580"/>
      <c r="B27" s="2621"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54"/>
      <c r="Q27" s="2606" t="str">
        <f t="shared" ref="Q27" si="9">B27</f>
        <v>基础设施水平</v>
      </c>
      <c r="R27" s="1572" t="s">
        <v>8</v>
      </c>
      <c r="S27" s="1573">
        <f>F27</f>
        <v>100</v>
      </c>
      <c r="T27" s="1572" t="s">
        <v>8</v>
      </c>
      <c r="U27" s="1573">
        <f>H27</f>
        <v>100</v>
      </c>
      <c r="V27" s="1572" t="s">
        <v>8</v>
      </c>
      <c r="W27" s="1573">
        <f>J27</f>
        <v>100</v>
      </c>
      <c r="X27" s="1574"/>
      <c r="Y27" s="3354"/>
      <c r="Z27" s="2603" t="str">
        <f>Q27</f>
        <v>基础设施水平</v>
      </c>
      <c r="AA27" s="1580">
        <f>D27/F27</f>
        <v>1</v>
      </c>
      <c r="AB27" s="1580">
        <f>D27/H27</f>
        <v>1</v>
      </c>
      <c r="AC27" s="1580">
        <f>D27/J27</f>
        <v>1</v>
      </c>
    </row>
    <row r="28" spans="1:29" s="1223" customFormat="1" ht="15">
      <c r="A28" s="580"/>
      <c r="B28" s="598"/>
      <c r="C28" s="2620"/>
      <c r="D28" s="558"/>
      <c r="E28" s="582"/>
      <c r="F28" s="558"/>
      <c r="G28" s="582"/>
      <c r="H28" s="558"/>
      <c r="I28" s="582"/>
      <c r="J28" s="558"/>
      <c r="K28" s="534"/>
      <c r="L28" s="2139"/>
      <c r="M28" s="2140"/>
      <c r="N28" s="2140"/>
      <c r="O28" s="2141"/>
      <c r="P28" s="3354"/>
      <c r="Q28" s="2606"/>
      <c r="R28" s="1572"/>
      <c r="S28" s="1573"/>
      <c r="T28" s="1572"/>
      <c r="U28" s="1573"/>
      <c r="V28" s="1572"/>
      <c r="W28" s="1573"/>
      <c r="X28" s="1574"/>
      <c r="Y28" s="3354"/>
      <c r="Z28" s="2603"/>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54"/>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54"/>
      <c r="Z29" s="1579" t="str">
        <f t="shared" ref="Z29:Z42" si="13">Q29</f>
        <v>临街状况</v>
      </c>
      <c r="AA29" s="1580">
        <f t="shared" si="3"/>
        <v>1</v>
      </c>
      <c r="AB29" s="1580">
        <f t="shared" si="4"/>
        <v>1</v>
      </c>
      <c r="AC29" s="1580">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54"/>
      <c r="Q30" s="1576" t="str">
        <f t="shared" si="8"/>
        <v>毗邻道路的类型与等级</v>
      </c>
      <c r="R30" s="1577" t="s">
        <v>8</v>
      </c>
      <c r="S30" s="1578">
        <f t="shared" si="10"/>
        <v>100</v>
      </c>
      <c r="T30" s="1577" t="s">
        <v>8</v>
      </c>
      <c r="U30" s="1578">
        <f t="shared" si="11"/>
        <v>100</v>
      </c>
      <c r="V30" s="1577" t="s">
        <v>8</v>
      </c>
      <c r="W30" s="1578">
        <f t="shared" si="12"/>
        <v>100</v>
      </c>
      <c r="X30" s="1571"/>
      <c r="Y30" s="3354"/>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6"/>
      <c r="M31" s="2138"/>
      <c r="N31" s="2138"/>
      <c r="O31" s="2145"/>
      <c r="P31" s="3354"/>
      <c r="Q31" s="1576"/>
      <c r="R31" s="1577"/>
      <c r="S31" s="1578"/>
      <c r="T31" s="1577"/>
      <c r="U31" s="1578"/>
      <c r="V31" s="1577"/>
      <c r="W31" s="1578"/>
      <c r="X31" s="1571"/>
      <c r="Y31" s="3354"/>
      <c r="Z31" s="1579"/>
      <c r="AA31" s="1580">
        <v>1</v>
      </c>
      <c r="AB31" s="1580">
        <v>1</v>
      </c>
      <c r="AC31" s="1580">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54"/>
      <c r="Q32" s="1576" t="str">
        <f t="shared" si="8"/>
        <v>土地级别</v>
      </c>
      <c r="R32" s="1577" t="s">
        <v>8</v>
      </c>
      <c r="S32" s="1578">
        <f t="shared" si="10"/>
        <v>100</v>
      </c>
      <c r="T32" s="1577" t="s">
        <v>8</v>
      </c>
      <c r="U32" s="1578">
        <f t="shared" si="11"/>
        <v>100</v>
      </c>
      <c r="V32" s="1577" t="s">
        <v>8</v>
      </c>
      <c r="W32" s="1578">
        <f t="shared" si="12"/>
        <v>100</v>
      </c>
      <c r="X32" s="1571"/>
      <c r="Y32" s="3354"/>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54"/>
      <c r="Q33" s="1576">
        <f t="shared" si="8"/>
        <v>111</v>
      </c>
      <c r="R33" s="1577" t="s">
        <v>8</v>
      </c>
      <c r="S33" s="1578">
        <f t="shared" si="10"/>
        <v>100</v>
      </c>
      <c r="T33" s="1577" t="s">
        <v>8</v>
      </c>
      <c r="U33" s="1578">
        <f t="shared" si="11"/>
        <v>100</v>
      </c>
      <c r="V33" s="1577" t="s">
        <v>8</v>
      </c>
      <c r="W33" s="1578">
        <f t="shared" si="12"/>
        <v>100</v>
      </c>
      <c r="X33" s="1571"/>
      <c r="Y33" s="3354"/>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55" t="s">
        <v>551</v>
      </c>
      <c r="Q34" s="1576">
        <f t="shared" si="8"/>
        <v>111</v>
      </c>
      <c r="R34" s="1577" t="s">
        <v>8</v>
      </c>
      <c r="S34" s="1578">
        <f t="shared" si="10"/>
        <v>100</v>
      </c>
      <c r="T34" s="1577" t="s">
        <v>8</v>
      </c>
      <c r="U34" s="1578">
        <f t="shared" si="11"/>
        <v>100</v>
      </c>
      <c r="V34" s="1577" t="s">
        <v>8</v>
      </c>
      <c r="W34" s="1578">
        <f t="shared" si="12"/>
        <v>100</v>
      </c>
      <c r="X34" s="1571"/>
      <c r="Y34" s="3356" t="s">
        <v>551</v>
      </c>
      <c r="Z34" s="1579">
        <f t="shared" si="13"/>
        <v>111</v>
      </c>
      <c r="AA34" s="1580">
        <f t="shared" si="3"/>
        <v>1</v>
      </c>
      <c r="AB34" s="1580">
        <f t="shared" si="4"/>
        <v>1</v>
      </c>
      <c r="AC34" s="1580">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56"/>
      <c r="Q35" s="1576">
        <f t="shared" si="8"/>
        <v>111</v>
      </c>
      <c r="R35" s="1581" t="s">
        <v>8</v>
      </c>
      <c r="S35" s="1582">
        <f t="shared" si="10"/>
        <v>100</v>
      </c>
      <c r="T35" s="1581" t="s">
        <v>8</v>
      </c>
      <c r="U35" s="1582">
        <f t="shared" si="11"/>
        <v>100</v>
      </c>
      <c r="V35" s="1581" t="s">
        <v>8</v>
      </c>
      <c r="W35" s="1582">
        <f t="shared" si="12"/>
        <v>100</v>
      </c>
      <c r="X35" s="1583"/>
      <c r="Y35" s="3356"/>
      <c r="Z35" s="1584">
        <f t="shared" si="13"/>
        <v>111</v>
      </c>
      <c r="AA35" s="1580">
        <f t="shared" si="3"/>
        <v>1</v>
      </c>
      <c r="AB35" s="1580">
        <f t="shared" si="4"/>
        <v>1</v>
      </c>
      <c r="AC35" s="1580">
        <f t="shared" si="5"/>
        <v>1</v>
      </c>
    </row>
    <row r="36" spans="1:29" ht="15">
      <c r="A36" s="2939"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56"/>
      <c r="Q36" s="1576" t="str">
        <f>B36</f>
        <v>宗地面积</v>
      </c>
      <c r="R36" s="1577" t="s">
        <v>8</v>
      </c>
      <c r="S36" s="1578" t="e">
        <f t="shared" si="10"/>
        <v>#N/A</v>
      </c>
      <c r="T36" s="1577" t="s">
        <v>8</v>
      </c>
      <c r="U36" s="1578" t="e">
        <f t="shared" si="11"/>
        <v>#N/A</v>
      </c>
      <c r="V36" s="1577" t="s">
        <v>8</v>
      </c>
      <c r="W36" s="1578" t="e">
        <f t="shared" si="12"/>
        <v>#N/A</v>
      </c>
      <c r="X36" s="1571"/>
      <c r="Y36" s="3356"/>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56"/>
      <c r="Q37" s="1576" t="str">
        <f t="shared" ref="Q37:Q42" si="14">B37</f>
        <v>宗地形状</v>
      </c>
      <c r="R37" s="1577" t="s">
        <v>8</v>
      </c>
      <c r="S37" s="1578">
        <f t="shared" si="10"/>
        <v>100</v>
      </c>
      <c r="T37" s="1577" t="s">
        <v>8</v>
      </c>
      <c r="U37" s="1578">
        <f t="shared" si="11"/>
        <v>100</v>
      </c>
      <c r="V37" s="1577" t="s">
        <v>8</v>
      </c>
      <c r="W37" s="1578">
        <f t="shared" si="12"/>
        <v>100</v>
      </c>
      <c r="X37" s="1571"/>
      <c r="Y37" s="3356"/>
      <c r="Z37" s="1579" t="str">
        <f t="shared" si="13"/>
        <v>宗地形状</v>
      </c>
      <c r="AA37" s="1580">
        <f t="shared" si="3"/>
        <v>1</v>
      </c>
      <c r="AB37" s="1580">
        <f t="shared" si="4"/>
        <v>1</v>
      </c>
      <c r="AC37" s="1580">
        <f t="shared" si="5"/>
        <v>1</v>
      </c>
    </row>
    <row r="38" spans="1:29" s="1223" customFormat="1" ht="15">
      <c r="A38" s="603"/>
      <c r="B38" s="1899"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56"/>
      <c r="Q38" s="1576" t="str">
        <f t="shared" si="14"/>
        <v>宗地开发程度</v>
      </c>
      <c r="R38" s="1572" t="s">
        <v>8</v>
      </c>
      <c r="S38" s="1573">
        <f t="shared" si="10"/>
        <v>100</v>
      </c>
      <c r="T38" s="1572" t="s">
        <v>8</v>
      </c>
      <c r="U38" s="1573">
        <f t="shared" si="11"/>
        <v>100</v>
      </c>
      <c r="V38" s="1572" t="s">
        <v>8</v>
      </c>
      <c r="W38" s="1573">
        <f t="shared" si="12"/>
        <v>100</v>
      </c>
      <c r="X38" s="1574"/>
      <c r="Y38" s="3356"/>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56" t="s">
        <v>602</v>
      </c>
      <c r="Q39" s="1576" t="str">
        <f t="shared" si="14"/>
        <v>工程地质条件</v>
      </c>
      <c r="R39" s="1577" t="s">
        <v>8</v>
      </c>
      <c r="S39" s="1578">
        <f t="shared" si="10"/>
        <v>100</v>
      </c>
      <c r="T39" s="1577" t="s">
        <v>8</v>
      </c>
      <c r="U39" s="1578">
        <f t="shared" si="11"/>
        <v>100</v>
      </c>
      <c r="V39" s="1577" t="s">
        <v>8</v>
      </c>
      <c r="W39" s="1578">
        <f t="shared" si="12"/>
        <v>100</v>
      </c>
      <c r="X39" s="1571"/>
      <c r="Y39" s="3356"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56"/>
      <c r="Q40" s="1576">
        <f t="shared" si="14"/>
        <v>111</v>
      </c>
      <c r="R40" s="1577" t="s">
        <v>8</v>
      </c>
      <c r="S40" s="1578">
        <f t="shared" si="10"/>
        <v>100</v>
      </c>
      <c r="T40" s="1577" t="s">
        <v>8</v>
      </c>
      <c r="U40" s="1578">
        <f t="shared" si="11"/>
        <v>100</v>
      </c>
      <c r="V40" s="1577" t="s">
        <v>8</v>
      </c>
      <c r="W40" s="1578">
        <f t="shared" si="12"/>
        <v>100</v>
      </c>
      <c r="X40" s="1571"/>
      <c r="Y40" s="3356"/>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56"/>
      <c r="Q41" s="1576">
        <f t="shared" si="14"/>
        <v>111</v>
      </c>
      <c r="R41" s="1577" t="s">
        <v>8</v>
      </c>
      <c r="S41" s="1578">
        <f t="shared" si="10"/>
        <v>100</v>
      </c>
      <c r="T41" s="1577" t="s">
        <v>8</v>
      </c>
      <c r="U41" s="1578">
        <f t="shared" si="11"/>
        <v>100</v>
      </c>
      <c r="V41" s="1577" t="s">
        <v>8</v>
      </c>
      <c r="W41" s="1578">
        <f t="shared" si="12"/>
        <v>100</v>
      </c>
      <c r="X41" s="1571"/>
      <c r="Y41" s="3356"/>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56"/>
      <c r="Q42" s="1576">
        <f t="shared" si="14"/>
        <v>111</v>
      </c>
      <c r="R42" s="1581" t="s">
        <v>8</v>
      </c>
      <c r="S42" s="1582">
        <f t="shared" si="10"/>
        <v>100</v>
      </c>
      <c r="T42" s="1581" t="s">
        <v>8</v>
      </c>
      <c r="U42" s="1582">
        <f t="shared" si="11"/>
        <v>100</v>
      </c>
      <c r="V42" s="1581" t="s">
        <v>8</v>
      </c>
      <c r="W42" s="1582">
        <f t="shared" si="12"/>
        <v>100</v>
      </c>
      <c r="X42" s="1583"/>
      <c r="Y42" s="3356"/>
      <c r="Z42" s="1584">
        <f t="shared" si="13"/>
        <v>111</v>
      </c>
      <c r="AA42" s="1580">
        <f t="shared" si="3"/>
        <v>1</v>
      </c>
      <c r="AB42" s="1580">
        <f t="shared" si="4"/>
        <v>1</v>
      </c>
      <c r="AC42" s="1580">
        <f t="shared" si="5"/>
        <v>1</v>
      </c>
    </row>
    <row r="43" spans="1:29" ht="15">
      <c r="A43" s="610" t="s">
        <v>557</v>
      </c>
      <c r="B43" s="611" t="s">
        <v>2941</v>
      </c>
      <c r="C43" s="612" t="s">
        <v>1</v>
      </c>
      <c r="D43" s="613"/>
      <c r="E43" s="614"/>
      <c r="F43" s="615"/>
      <c r="G43" s="616"/>
      <c r="H43" s="617"/>
      <c r="I43" s="614"/>
      <c r="J43" s="617"/>
      <c r="K43" s="1343"/>
      <c r="L43" s="2148"/>
      <c r="M43" s="2138"/>
      <c r="N43" s="2138"/>
      <c r="O43" s="2149"/>
      <c r="P43" s="3351" t="str">
        <f>A43</f>
        <v>成交单价</v>
      </c>
      <c r="Q43" s="3351"/>
      <c r="R43" s="3377">
        <f>E43</f>
        <v>0</v>
      </c>
      <c r="S43" s="3377"/>
      <c r="T43" s="3377">
        <f>G43</f>
        <v>0</v>
      </c>
      <c r="U43" s="3377"/>
      <c r="V43" s="3377">
        <f>I43</f>
        <v>0</v>
      </c>
      <c r="W43" s="3377"/>
      <c r="X43" s="1563"/>
      <c r="Y43" s="1585"/>
      <c r="Z43" s="1563"/>
      <c r="AA43" s="1563"/>
      <c r="AB43" s="1563"/>
      <c r="AC43" s="1563"/>
    </row>
    <row r="44" spans="1:29" ht="15.75" thickBot="1">
      <c r="A44" s="618" t="s">
        <v>2701</v>
      </c>
      <c r="B44" s="619"/>
      <c r="C44" s="620" t="e">
        <f>R45</f>
        <v>#DIV/0!</v>
      </c>
      <c r="D44" s="621"/>
      <c r="E44" s="620" t="e">
        <f>R44</f>
        <v>#DIV/0!</v>
      </c>
      <c r="F44" s="622"/>
      <c r="G44" s="623" t="e">
        <f>T44</f>
        <v>#DIV/0!</v>
      </c>
      <c r="H44" s="621"/>
      <c r="I44" s="620" t="e">
        <f>V44</f>
        <v>#DIV/0!</v>
      </c>
      <c r="J44" s="621"/>
      <c r="K44" s="1344"/>
      <c r="L44" s="2148"/>
      <c r="M44" s="2138"/>
      <c r="N44" s="2138"/>
      <c r="O44" s="2149"/>
      <c r="P44" s="3351" t="str">
        <f>A44</f>
        <v>比较价格（元/平方米）</v>
      </c>
      <c r="Q44" s="3351"/>
      <c r="R44" s="3396" t="e">
        <f>ROUND(PRODUCT(R43,AA9:AA42),0)</f>
        <v>#DIV/0!</v>
      </c>
      <c r="S44" s="3396"/>
      <c r="T44" s="3396" t="e">
        <f>ROUND(PRODUCT(T43,AB9:AB42),0)</f>
        <v>#DIV/0!</v>
      </c>
      <c r="U44" s="3396"/>
      <c r="V44" s="3396" t="e">
        <f>ROUND(PRODUCT(V43,AC9:AC42),0)</f>
        <v>#DIV/0!</v>
      </c>
      <c r="W44" s="3396"/>
      <c r="X44" s="1563"/>
      <c r="Y44" s="1563"/>
      <c r="Z44" s="1563"/>
      <c r="AA44" s="1563"/>
      <c r="AB44" s="1563"/>
      <c r="AC44" s="1563"/>
    </row>
    <row r="45" spans="1:29" ht="15.75" thickBot="1">
      <c r="A45" s="624" t="s">
        <v>2942</v>
      </c>
      <c r="B45" s="625"/>
      <c r="C45" s="626" t="e">
        <f>R45</f>
        <v>#DIV/0!</v>
      </c>
      <c r="D45" s="626"/>
      <c r="E45" s="626"/>
      <c r="F45" s="626"/>
      <c r="G45" s="626"/>
      <c r="H45" s="626"/>
      <c r="I45" s="626"/>
      <c r="J45" s="626"/>
      <c r="K45" s="1345"/>
      <c r="L45" s="2148"/>
      <c r="M45" s="2138"/>
      <c r="N45" s="2138"/>
      <c r="O45" s="2149"/>
      <c r="P45" s="3348" t="str">
        <f>A45</f>
        <v>估价对象XX用房的比较价格（楼面单价，元/平方米）</v>
      </c>
      <c r="Q45" s="3349"/>
      <c r="R45" s="3395" t="e">
        <f>ROUND(AVERAGE(R44:V44),0)</f>
        <v>#DIV/0!</v>
      </c>
      <c r="S45" s="3395"/>
      <c r="T45" s="3395"/>
      <c r="U45" s="3395"/>
      <c r="V45" s="3395"/>
      <c r="W45" s="3395"/>
      <c r="X45" s="1563"/>
      <c r="Y45" s="1563"/>
      <c r="Z45" s="1563"/>
      <c r="AA45" s="1563"/>
      <c r="AB45" s="1563"/>
      <c r="AC45" s="1563"/>
    </row>
    <row r="46" spans="1:29">
      <c r="A46" s="2149"/>
      <c r="B46" s="2149"/>
      <c r="C46" s="2149"/>
      <c r="D46" s="2149"/>
      <c r="E46" s="2149"/>
      <c r="F46" s="2149"/>
      <c r="G46" s="2152"/>
      <c r="H46" s="2149"/>
      <c r="I46" s="2149"/>
      <c r="J46" s="2149"/>
      <c r="K46" s="2153"/>
      <c r="L46" s="2154"/>
      <c r="M46" s="2138"/>
      <c r="N46" s="2138"/>
      <c r="O46" s="2149"/>
      <c r="P46" s="1563"/>
      <c r="Q46" s="1563"/>
      <c r="R46" s="1563"/>
      <c r="S46" s="1563"/>
      <c r="T46" s="1563"/>
      <c r="U46" s="1563"/>
      <c r="V46" s="1563"/>
      <c r="W46" s="1563"/>
      <c r="X46" s="1563"/>
      <c r="Y46" s="1563"/>
      <c r="Z46" s="1563"/>
      <c r="AA46" s="1563"/>
      <c r="AB46" s="1563"/>
      <c r="AC46" s="1563"/>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4" t="s">
        <v>1726</v>
      </c>
      <c r="D52" s="2231" t="s">
        <v>2297</v>
      </c>
      <c r="E52" s="634" t="s">
        <v>563</v>
      </c>
      <c r="F52" s="1955" t="s">
        <v>564</v>
      </c>
      <c r="G52" s="3390" t="s">
        <v>2288</v>
      </c>
      <c r="H52" s="3391"/>
      <c r="I52" s="1956" t="s">
        <v>1949</v>
      </c>
      <c r="J52" s="1559" t="str">
        <f>项目基本情况!F41</f>
        <v>郑州市</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114058.41</v>
      </c>
      <c r="F53" s="1954" t="e">
        <f t="shared" ref="F53:F62" si="15">ROUND(B53*E53/10000,0)</f>
        <v>#DIV/0!</v>
      </c>
      <c r="G53" s="3392"/>
      <c r="H53" s="3393"/>
      <c r="I53" s="1957">
        <v>1</v>
      </c>
      <c r="J53" s="1560">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394" t="s">
        <v>2289</v>
      </c>
      <c r="H54" s="1958">
        <f>项目基本情况!B43</f>
        <v>0</v>
      </c>
      <c r="I54" s="1957">
        <f>SUMIF(修正!$A$45:$A$56,H54,修正!B45:B56)</f>
        <v>0</v>
      </c>
      <c r="J54" s="1562"/>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394"/>
      <c r="H55" s="1959">
        <f>项目基本情况!B43</f>
        <v>0</v>
      </c>
      <c r="I55" s="1957">
        <f>SUMIF(修正!$A$45:$A$56,H55,修正!C45:C56)</f>
        <v>0</v>
      </c>
      <c r="J55" s="1562"/>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394"/>
      <c r="H56" s="1959">
        <f>项目基本情况!B43</f>
        <v>0</v>
      </c>
      <c r="I56" s="1957">
        <f>SUMIF(修正!$A$45:$A$56,H56,修正!D45:D56)</f>
        <v>0</v>
      </c>
      <c r="J56" s="1562"/>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394"/>
      <c r="H57" s="1959">
        <f>项目基本情况!B43</f>
        <v>0</v>
      </c>
      <c r="I57" s="1957">
        <f>SUMIF(修正!$A$45:$A$56,H57,修正!E45:E56)</f>
        <v>0</v>
      </c>
      <c r="J57" s="1562"/>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2331</v>
      </c>
      <c r="B58" s="641" t="e">
        <f t="shared" si="17"/>
        <v>#DIV/0!</v>
      </c>
      <c r="C58" s="381">
        <f t="shared" si="16"/>
        <v>0</v>
      </c>
      <c r="D58" s="2233">
        <v>0.25</v>
      </c>
      <c r="E58" s="644">
        <f>'数据-汇总表'!E11</f>
        <v>0</v>
      </c>
      <c r="F58" s="1954" t="e">
        <f t="shared" si="15"/>
        <v>#DIV/0!</v>
      </c>
      <c r="G58" s="1960" t="s">
        <v>2290</v>
      </c>
      <c r="H58" s="1959">
        <f>项目基本情况!C43</f>
        <v>0</v>
      </c>
      <c r="I58" s="1957">
        <f>SUMIF(修正!$A$45:$A$56,H58,修正!F45:F56)</f>
        <v>0</v>
      </c>
      <c r="J58" s="1562"/>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2289</v>
      </c>
      <c r="H61" s="1959">
        <f>项目基本情况!B43</f>
        <v>0</v>
      </c>
      <c r="I61" s="1957">
        <f>SUMIF(修正!$A$45:$A$56,H61,修正!H45:H56)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2298</v>
      </c>
      <c r="E63" s="646">
        <f>IF(B43="楼面地价",SUM(E53:E62),'数据-汇总表'!D3)</f>
        <v>54313.53</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2017-10-1</v>
      </c>
      <c r="D65" s="2831">
        <f>EDATE(C65,-3)</f>
        <v>42917</v>
      </c>
      <c r="E65" s="2831">
        <f t="shared" ref="E65:N65" si="18">EDATE(D65,-3)</f>
        <v>42826</v>
      </c>
      <c r="F65" s="2831">
        <f t="shared" si="18"/>
        <v>42736</v>
      </c>
      <c r="G65" s="2831">
        <f t="shared" si="18"/>
        <v>42644</v>
      </c>
      <c r="H65" s="2831">
        <f t="shared" si="18"/>
        <v>42552</v>
      </c>
      <c r="I65" s="2831">
        <f t="shared" si="18"/>
        <v>42461</v>
      </c>
      <c r="J65" s="2831">
        <f t="shared" si="18"/>
        <v>42370</v>
      </c>
      <c r="K65" s="2831">
        <f t="shared" si="18"/>
        <v>42278</v>
      </c>
      <c r="L65" s="2831">
        <f t="shared" si="18"/>
        <v>42186</v>
      </c>
      <c r="M65" s="2831">
        <f t="shared" si="18"/>
        <v>42095</v>
      </c>
      <c r="N65" s="2831">
        <f t="shared" si="18"/>
        <v>42005</v>
      </c>
      <c r="O65" s="2149"/>
      <c r="P65" s="2149"/>
      <c r="Q65" s="2149"/>
      <c r="R65" s="2149"/>
      <c r="S65" s="2149"/>
      <c r="T65" s="2149"/>
      <c r="U65" s="2149"/>
      <c r="V65" s="2149"/>
      <c r="W65" s="2149"/>
      <c r="X65" s="2149"/>
      <c r="Y65" s="2149"/>
      <c r="Z65" s="2149"/>
      <c r="AA65" s="2149"/>
      <c r="AB65" s="2149"/>
      <c r="AC65" s="2149"/>
    </row>
    <row r="66" spans="1:29" ht="21.75" thickBot="1">
      <c r="A66" s="1588" t="s">
        <v>575</v>
      </c>
      <c r="B66" s="1563"/>
      <c r="C66" s="1587"/>
      <c r="D66" s="1587"/>
      <c r="E66" s="1587"/>
      <c r="F66" s="1589"/>
      <c r="G66" s="1589"/>
      <c r="H66" s="1587"/>
      <c r="I66" s="1587"/>
      <c r="J66" s="1587"/>
      <c r="K66" s="1590"/>
      <c r="L66" s="1586"/>
      <c r="M66" s="1587"/>
      <c r="N66" s="1587"/>
      <c r="O66" s="2161"/>
      <c r="P66" s="2161"/>
      <c r="Q66" s="2162"/>
      <c r="R66" s="2149"/>
      <c r="S66" s="2149"/>
      <c r="T66" s="2149"/>
      <c r="U66" s="2149"/>
      <c r="V66" s="2149"/>
      <c r="W66" s="2149"/>
      <c r="X66" s="2149"/>
      <c r="Y66" s="2149"/>
      <c r="Z66" s="2149"/>
      <c r="AA66" s="2149"/>
      <c r="AB66" s="2149"/>
      <c r="AC66" s="2149"/>
    </row>
    <row r="67" spans="1:29" s="1350" customFormat="1" ht="15">
      <c r="A67" s="2596" t="s">
        <v>2539</v>
      </c>
      <c r="B67" s="649"/>
      <c r="C67" s="2826" t="str">
        <f>YEAR(C65)&amp;"-"&amp;ROUNDUP(MONTH(C65)/3,0)</f>
        <v>2017-4</v>
      </c>
      <c r="D67" s="2833" t="str">
        <f t="shared" ref="D67:N67" si="19">YEAR(D65)&amp;"-"&amp;ROUNDUP(MONTH(D65)/3,0)</f>
        <v>2017-3</v>
      </c>
      <c r="E67" s="2833" t="str">
        <f t="shared" si="19"/>
        <v>2017-2</v>
      </c>
      <c r="F67" s="2833" t="str">
        <f t="shared" si="19"/>
        <v>2017-1</v>
      </c>
      <c r="G67" s="2833" t="str">
        <f t="shared" si="19"/>
        <v>2016-4</v>
      </c>
      <c r="H67" s="2833" t="str">
        <f t="shared" si="19"/>
        <v>2016-3</v>
      </c>
      <c r="I67" s="2833" t="str">
        <f t="shared" si="19"/>
        <v>2016-2</v>
      </c>
      <c r="J67" s="2833" t="str">
        <f t="shared" si="19"/>
        <v>2016-1</v>
      </c>
      <c r="K67" s="2833" t="str">
        <f t="shared" si="19"/>
        <v>2015-4</v>
      </c>
      <c r="L67" s="2833" t="str">
        <f t="shared" si="19"/>
        <v>2015-3</v>
      </c>
      <c r="M67" s="2833" t="str">
        <f t="shared" si="19"/>
        <v>2015-2</v>
      </c>
      <c r="N67" s="2833"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30" t="s">
        <v>2657</v>
      </c>
      <c r="B68" s="482" t="str">
        <f>"北京市平均增长率"&amp;TEXT(基准地价!P24,"0.00%")</f>
        <v>北京市平均增长率1.37%</v>
      </c>
      <c r="C68" s="897">
        <v>100</v>
      </c>
      <c r="D68" s="733"/>
      <c r="E68" s="733"/>
      <c r="F68" s="733"/>
      <c r="G68" s="733"/>
      <c r="H68" s="733"/>
      <c r="I68" s="733"/>
      <c r="J68" s="733"/>
      <c r="K68" s="733"/>
      <c r="L68" s="733"/>
      <c r="M68" s="2824"/>
      <c r="N68" s="2825"/>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2"/>
      <c r="D69" s="2823"/>
      <c r="E69" s="2823"/>
      <c r="F69" s="2823"/>
      <c r="G69" s="2823"/>
      <c r="H69" s="2823"/>
      <c r="I69" s="2823"/>
      <c r="J69" s="2823"/>
      <c r="K69" s="2823"/>
      <c r="L69" s="2823"/>
      <c r="M69" s="2823"/>
      <c r="N69" s="2823"/>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2556</v>
      </c>
      <c r="C95" s="2626" t="s">
        <v>2557</v>
      </c>
      <c r="D95" s="2626" t="s">
        <v>2558</v>
      </c>
      <c r="E95" s="2626" t="s">
        <v>2559</v>
      </c>
      <c r="F95" s="2626" t="s">
        <v>2560</v>
      </c>
      <c r="G95" s="2626" t="s">
        <v>2561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5" t="str">
        <f t="shared" si="25"/>
        <v>(含)-</v>
      </c>
      <c r="L109" s="3126" t="str">
        <f t="shared" si="25"/>
        <v>(含)-</v>
      </c>
      <c r="M109" s="3127"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2429</v>
      </c>
      <c r="C114" s="1379"/>
      <c r="D114" s="1379"/>
      <c r="E114" s="1379"/>
      <c r="F114" s="1379"/>
      <c r="G114" s="1379"/>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2430</v>
      </c>
      <c r="D1" s="1525">
        <f>SUM(D29:D30,D33:D39)</f>
        <v>0</v>
      </c>
      <c r="E1" s="1410" t="s">
        <v>2431</v>
      </c>
      <c r="F1" s="2480"/>
      <c r="G1" s="1405"/>
      <c r="H1" s="1405"/>
      <c r="I1" s="1405"/>
      <c r="J1" s="1405"/>
      <c r="K1" s="1405"/>
      <c r="L1" s="1886" t="s">
        <v>2242</v>
      </c>
      <c r="M1" s="1887">
        <f>SUMPRODUCT((区片价!B5:B9=I2)*(区片价!C3:F3=E2)*(区片价!C5:F9))</f>
        <v>0</v>
      </c>
      <c r="N1" s="1888">
        <f>SUMPRODUCT((因素修正幅度!B5:B9=I2)*(因素修正幅度!C3:F3=E2)*(因素修正幅度!C5:F9))</f>
        <v>0</v>
      </c>
      <c r="O1" s="2193"/>
      <c r="P1" s="2193"/>
      <c r="Q1" s="2193"/>
      <c r="R1" s="2968" t="s">
        <v>2770</v>
      </c>
      <c r="S1" s="2968" t="s">
        <v>2771</v>
      </c>
      <c r="T1" s="2968" t="s">
        <v>2792</v>
      </c>
      <c r="U1" s="2968" t="s">
        <v>2793</v>
      </c>
      <c r="V1" s="2968" t="s">
        <v>2794</v>
      </c>
      <c r="W1" s="2193"/>
      <c r="X1" s="2193"/>
      <c r="Y1" s="2193"/>
      <c r="Z1" s="2193"/>
      <c r="AA1" s="2193"/>
      <c r="AB1" s="2193"/>
      <c r="AC1" s="2194"/>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89" t="s">
        <v>2243</v>
      </c>
      <c r="M2" s="1890">
        <f>SUMPRODUCT((区片价!B10:B28=I2)*(区片价!C3:F3=E2)*(区片价!C10:F28))</f>
        <v>0</v>
      </c>
      <c r="N2" s="1891">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5" t="s">
        <v>1689</v>
      </c>
      <c r="B3" s="1041" t="e">
        <f>ROUND(B2*10000/D1,0)</f>
        <v>#DIV/0!</v>
      </c>
      <c r="C3" s="1411" t="s">
        <v>928</v>
      </c>
      <c r="D3" s="1412" t="s">
        <v>929</v>
      </c>
      <c r="E3" s="1416"/>
      <c r="F3" s="1417" t="s">
        <v>2943</v>
      </c>
      <c r="G3" s="1042">
        <f>IF(F3="宗地容积率",'数据-汇总表'!I4,IF(F3="估价对象容积率",'数据-汇总表'!I6,'数据-汇总表'!I7))</f>
        <v>2.1</v>
      </c>
      <c r="H3" s="1418" t="s">
        <v>930</v>
      </c>
      <c r="I3" s="1043">
        <v>8</v>
      </c>
      <c r="J3" s="1414" t="s">
        <v>931</v>
      </c>
      <c r="K3" s="1405"/>
      <c r="L3" s="1889" t="s">
        <v>2244</v>
      </c>
      <c r="M3" s="1890">
        <f>SUMPRODUCT((区片价!B29:B48=I2)*(区片价!C3:F3=E2)*(区片价!C29:F48))</f>
        <v>0</v>
      </c>
      <c r="N3" s="1891">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5"/>
      <c r="L4" s="1889" t="s">
        <v>2245</v>
      </c>
      <c r="M4" s="1890">
        <f>SUMPRODUCT((区片价!B49:B75=I2)*(区片价!C3:F3=E2)*(区片价!C49:F75))</f>
        <v>0</v>
      </c>
      <c r="N4" s="1891">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5" customFormat="1" ht="15.75" thickBot="1">
      <c r="A5" s="1642" t="s">
        <v>1825</v>
      </c>
      <c r="B5" s="1419" t="s">
        <v>932</v>
      </c>
      <c r="C5" s="1044" t="e">
        <f>ROUND(IF(E2="商业",IF(F16="增加",C6*C7+C16,C6*C7-C16),IF(E2="住宅",IF(F16="增加",C6*C12+C16,C6*C12-C16),IF(F16="增加",C6+C16,C6-C16))),0)</f>
        <v>#DIV/0!</v>
      </c>
      <c r="D5" s="3157">
        <f>ROUND(IF(E2="商业",IF(F16="增加",C6+C16,C6-C16)),0)</f>
        <v>0</v>
      </c>
      <c r="E5" s="1420"/>
      <c r="F5" s="1420"/>
      <c r="G5" s="1421"/>
      <c r="H5" s="1421"/>
      <c r="I5" s="1421"/>
      <c r="J5" s="1422"/>
      <c r="K5" s="1598"/>
      <c r="L5" s="1889" t="s">
        <v>2246</v>
      </c>
      <c r="M5" s="1890">
        <f>SUMPRODUCT((区片价!B76:B109=I2)*(区片价!C3:F3=E2)*(区片价!C76:F109))</f>
        <v>0</v>
      </c>
      <c r="N5" s="1891">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89" t="s">
        <v>2247</v>
      </c>
      <c r="M6" s="1890">
        <f>SUMPRODUCT((区片价!B110:B157=I2)*(区片价!C3:F3=E2)*(区片价!C110:F157))</f>
        <v>0</v>
      </c>
      <c r="N6" s="1891">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23"/>
      <c r="AE6" s="1423"/>
      <c r="AF6" s="1423"/>
      <c r="AG6" s="1423"/>
      <c r="AH6" s="1423"/>
      <c r="AI6" s="1423"/>
      <c r="AJ6" s="1424"/>
    </row>
    <row r="7" spans="1:39" ht="24">
      <c r="A7" s="3406" t="str">
        <f>IF(E2="商业",IF(C8="不临58条商业街","",2),"")</f>
        <v/>
      </c>
      <c r="B7" s="1431" t="s">
        <v>933</v>
      </c>
      <c r="C7" s="1046" t="e">
        <f>IF(C8="不临58条商业街",1,ROUND(1+(1.6*E8+1.2*E9+0.8*E10+0.4*E11)*C9,4))</f>
        <v>#DIV/0!</v>
      </c>
      <c r="D7" s="1432" t="s">
        <v>934</v>
      </c>
      <c r="E7" s="1047"/>
      <c r="F7" s="1433"/>
      <c r="G7" s="1434"/>
      <c r="H7" s="1434"/>
      <c r="I7" s="1434"/>
      <c r="J7" s="1435"/>
      <c r="K7" s="1599"/>
      <c r="L7" s="1889" t="s">
        <v>2248</v>
      </c>
      <c r="M7" s="1890">
        <f>SUMPRODUCT((区片价!B158:B205=I2)*(区片价!C3:F3=E2)*(区片价!C158:F205))</f>
        <v>0</v>
      </c>
      <c r="N7" s="1891">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2773</v>
      </c>
      <c r="X7" s="2959">
        <f>G2</f>
        <v>0</v>
      </c>
      <c r="Y7" s="2959" t="s">
        <v>2774</v>
      </c>
      <c r="Z7" s="2960">
        <f>G3</f>
        <v>2.1</v>
      </c>
      <c r="AA7" s="2196"/>
      <c r="AB7" s="2196"/>
      <c r="AC7" s="2197"/>
      <c r="AD7" s="2961"/>
      <c r="AE7" s="2961"/>
      <c r="AF7" s="2961"/>
      <c r="AG7" s="2961"/>
      <c r="AH7" s="2961"/>
      <c r="AI7" s="2961"/>
      <c r="AJ7" s="2962"/>
    </row>
    <row r="8" spans="1:39" ht="15">
      <c r="A8" s="3407"/>
      <c r="B8" s="1418" t="s">
        <v>935</v>
      </c>
      <c r="C8" s="1533"/>
      <c r="D8" s="1048" t="s">
        <v>936</v>
      </c>
      <c r="E8" s="1049" t="e">
        <f>ROUND(C11/E7,4)</f>
        <v>#DIV/0!</v>
      </c>
      <c r="F8" s="1436" t="s">
        <v>937</v>
      </c>
      <c r="G8" s="1437"/>
      <c r="H8" s="1437"/>
      <c r="I8" s="1437"/>
      <c r="J8" s="1438"/>
      <c r="K8" s="1405"/>
      <c r="L8" s="1889" t="s">
        <v>2249</v>
      </c>
      <c r="M8" s="1890">
        <f>SUMPRODUCT((区片价!B206:B244=I2)*(区片价!C3:F3=E2)*(区片价!C206:F244))</f>
        <v>0</v>
      </c>
      <c r="N8" s="1891">
        <f>SUMPRODUCT((因素修正幅度!B206:B244=I2)*(因素修正幅度!C3:F3=E2)*(因素修正幅度!C206:F244))</f>
        <v>0</v>
      </c>
      <c r="O8" s="2193"/>
      <c r="P8" s="2193"/>
      <c r="Q8" s="2193"/>
      <c r="R8" s="2969">
        <v>7</v>
      </c>
      <c r="S8" s="2958"/>
      <c r="T8" s="2969" t="e">
        <f t="shared" si="0"/>
        <v>#DIV/0!</v>
      </c>
      <c r="U8" s="2958"/>
      <c r="V8" s="2969" t="e">
        <f t="shared" si="1"/>
        <v>#DIV/0!</v>
      </c>
      <c r="W8" s="3398" t="s">
        <v>2791</v>
      </c>
      <c r="X8" s="3399"/>
      <c r="Y8" s="1853" t="s">
        <v>2775</v>
      </c>
      <c r="Z8" s="1853" t="s">
        <v>2776</v>
      </c>
      <c r="AA8" s="1853" t="s">
        <v>2777</v>
      </c>
      <c r="AB8" s="1853" t="s">
        <v>2778</v>
      </c>
      <c r="AC8" s="1853" t="s">
        <v>2779</v>
      </c>
      <c r="AD8" s="1853" t="s">
        <v>2780</v>
      </c>
      <c r="AE8" s="1853" t="s">
        <v>2781</v>
      </c>
      <c r="AF8" s="1853" t="s">
        <v>2782</v>
      </c>
      <c r="AG8" s="1853" t="s">
        <v>2783</v>
      </c>
      <c r="AH8" s="1853" t="s">
        <v>2784</v>
      </c>
      <c r="AI8" s="1853" t="s">
        <v>2785</v>
      </c>
      <c r="AJ8" s="1853" t="s">
        <v>2786</v>
      </c>
    </row>
    <row r="9" spans="1:39" ht="15">
      <c r="A9" s="3407"/>
      <c r="B9" s="1418" t="s">
        <v>938</v>
      </c>
      <c r="C9" s="1050">
        <f>SUMIF(修正!C59:C119,C8,修正!E59:E119)</f>
        <v>0</v>
      </c>
      <c r="D9" s="1051" t="s">
        <v>939</v>
      </c>
      <c r="E9" s="1051" t="e">
        <f>ROUND(C11/E7,4)</f>
        <v>#DIV/0!</v>
      </c>
      <c r="F9" s="1436" t="s">
        <v>940</v>
      </c>
      <c r="G9" s="1437"/>
      <c r="H9" s="1437"/>
      <c r="I9" s="1437"/>
      <c r="J9" s="1438"/>
      <c r="K9" s="1405"/>
      <c r="L9" s="1889" t="s">
        <v>2250</v>
      </c>
      <c r="M9" s="1890">
        <f>SUMPRODUCT((区片价!B245:B289=I2)*(区片价!C3:F3=E2)*(区片价!C245:F289))</f>
        <v>0</v>
      </c>
      <c r="N9" s="1891">
        <f>SUMPRODUCT((因素修正幅度!B245:B289=I2)*(因素修正幅度!C3:F3=E2)*(因素修正幅度!C245:F289))</f>
        <v>0</v>
      </c>
      <c r="O9" s="2193"/>
      <c r="P9" s="2193"/>
      <c r="Q9" s="2193"/>
      <c r="R9" s="2969">
        <v>8</v>
      </c>
      <c r="S9" s="2958"/>
      <c r="T9" s="2969" t="e">
        <f t="shared" si="0"/>
        <v>#DIV/0!</v>
      </c>
      <c r="U9" s="2958"/>
      <c r="V9" s="2969" t="e">
        <f t="shared" si="1"/>
        <v>#DIV/0!</v>
      </c>
      <c r="W9" s="3397" t="s">
        <v>2787</v>
      </c>
      <c r="X9" s="2963" t="s">
        <v>2788</v>
      </c>
      <c r="Y9" s="3131"/>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07"/>
      <c r="B10" s="1418" t="s">
        <v>941</v>
      </c>
      <c r="C10" s="1051">
        <f>SUMIF(修正!C59:C119,C8,修正!F59:F119)</f>
        <v>0</v>
      </c>
      <c r="D10" s="1051" t="s">
        <v>942</v>
      </c>
      <c r="E10" s="1051" t="e">
        <f>ROUND(C11/E7,4)</f>
        <v>#DIV/0!</v>
      </c>
      <c r="F10" s="1436" t="s">
        <v>943</v>
      </c>
      <c r="G10" s="1437"/>
      <c r="H10" s="1437"/>
      <c r="I10" s="1437"/>
      <c r="J10" s="1438"/>
      <c r="K10" s="1405"/>
      <c r="L10" s="1889" t="s">
        <v>2251</v>
      </c>
      <c r="M10" s="1890">
        <f>SUMPRODUCT((区片价!B290:B316=I2)*(区片价!C3:F3=E2)*(区片价!C290:F316))</f>
        <v>0</v>
      </c>
      <c r="N10" s="1891">
        <f>SUMPRODUCT((因素修正幅度!B290:B316=I2)*(因素修正幅度!C3:F3=E2)*(因素修正幅度!C290:F316))</f>
        <v>0</v>
      </c>
      <c r="O10" s="2193"/>
      <c r="P10" s="2193"/>
      <c r="Q10" s="2193"/>
      <c r="R10" s="2969">
        <v>9</v>
      </c>
      <c r="S10" s="2958"/>
      <c r="T10" s="2969" t="e">
        <f t="shared" si="0"/>
        <v>#DIV/0!</v>
      </c>
      <c r="U10" s="2958"/>
      <c r="V10" s="2969" t="e">
        <f t="shared" si="1"/>
        <v>#DIV/0!</v>
      </c>
      <c r="W10" s="3397"/>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07"/>
      <c r="B11" s="1439" t="s">
        <v>944</v>
      </c>
      <c r="C11" s="1052">
        <f>C10/4</f>
        <v>0</v>
      </c>
      <c r="D11" s="1052" t="s">
        <v>945</v>
      </c>
      <c r="E11" s="1052" t="e">
        <f>ROUND(C11/E7,4)</f>
        <v>#DIV/0!</v>
      </c>
      <c r="F11" s="1440" t="s">
        <v>946</v>
      </c>
      <c r="G11" s="1441"/>
      <c r="H11" s="1441"/>
      <c r="I11" s="1441"/>
      <c r="J11" s="1442"/>
      <c r="K11" s="1405"/>
      <c r="L11" s="1889" t="s">
        <v>2252</v>
      </c>
      <c r="M11" s="1890">
        <f>SUMPRODUCT((区片价!B317:B337=I2)*(区片价!C3:F3=E2)*(区片价!C317:F337))</f>
        <v>0</v>
      </c>
      <c r="N11" s="1891">
        <f>SUMPRODUCT((因素修正幅度!B317:B337=I2)*(因素修正幅度!C3:F3=E2)*(因素修正幅度!C317:F337))</f>
        <v>0</v>
      </c>
      <c r="O11" s="2193"/>
      <c r="P11" s="2193"/>
      <c r="Q11" s="2193"/>
      <c r="R11" s="2969">
        <v>10</v>
      </c>
      <c r="S11" s="2958"/>
      <c r="T11" s="2969" t="e">
        <f t="shared" si="0"/>
        <v>#DIV/0!</v>
      </c>
      <c r="U11" s="2958"/>
      <c r="V11" s="2969" t="e">
        <f t="shared" si="1"/>
        <v>#DIV/0!</v>
      </c>
      <c r="W11" s="3397" t="s">
        <v>2789</v>
      </c>
      <c r="X11" s="1051" t="s">
        <v>2774</v>
      </c>
      <c r="Y11" s="1657">
        <f>$G$3</f>
        <v>2.1</v>
      </c>
      <c r="Z11" s="1657">
        <f t="shared" ref="Z11:AJ11" si="3">$G$3</f>
        <v>2.1</v>
      </c>
      <c r="AA11" s="1657">
        <f t="shared" si="3"/>
        <v>2.1</v>
      </c>
      <c r="AB11" s="1657">
        <f t="shared" si="3"/>
        <v>2.1</v>
      </c>
      <c r="AC11" s="1657">
        <f t="shared" si="3"/>
        <v>2.1</v>
      </c>
      <c r="AD11" s="1657">
        <f t="shared" si="3"/>
        <v>2.1</v>
      </c>
      <c r="AE11" s="1657">
        <f t="shared" si="3"/>
        <v>2.1</v>
      </c>
      <c r="AF11" s="1657">
        <f t="shared" si="3"/>
        <v>2.1</v>
      </c>
      <c r="AG11" s="1657">
        <f t="shared" si="3"/>
        <v>2.1</v>
      </c>
      <c r="AH11" s="1657">
        <f t="shared" si="3"/>
        <v>2.1</v>
      </c>
      <c r="AI11" s="1657">
        <f t="shared" si="3"/>
        <v>2.1</v>
      </c>
      <c r="AJ11" s="1657">
        <f t="shared" si="3"/>
        <v>2.1</v>
      </c>
    </row>
    <row r="12" spans="1:39" ht="25.5" thickBot="1">
      <c r="A12" s="3406" t="s">
        <v>1873</v>
      </c>
      <c r="B12" s="1443" t="s">
        <v>947</v>
      </c>
      <c r="C12" s="1046">
        <f>ROUND(C15*D15*E15*F15*G15*H15*I15*J15,4)</f>
        <v>1</v>
      </c>
      <c r="D12" s="1444" t="s">
        <v>948</v>
      </c>
      <c r="E12" s="1445"/>
      <c r="F12" s="1445"/>
      <c r="G12" s="1446"/>
      <c r="H12" s="1446"/>
      <c r="I12" s="1446"/>
      <c r="J12" s="1447"/>
      <c r="K12" s="1405"/>
      <c r="L12" s="1892" t="s">
        <v>2253</v>
      </c>
      <c r="M12" s="1893">
        <f>SUMPRODUCT((区片价!B338:B344=I2)*(区片价!C3:F3=E2)*(区片价!C338:F344))</f>
        <v>0</v>
      </c>
      <c r="N12" s="1894">
        <f>SUMPRODUCT((因素修正幅度!B338:B344=I2)*(因素修正幅度!C3:F3=E2)*(因素修正幅度!C338:F344))</f>
        <v>0</v>
      </c>
      <c r="O12" s="2193"/>
      <c r="P12" s="2193"/>
      <c r="Q12" s="2193"/>
      <c r="R12" s="2969">
        <v>11</v>
      </c>
      <c r="S12" s="2958"/>
      <c r="T12" s="2969" t="e">
        <f t="shared" si="0"/>
        <v>#DIV/0!</v>
      </c>
      <c r="U12" s="2958"/>
      <c r="V12" s="2969" t="e">
        <f t="shared" si="1"/>
        <v>#DIV/0!</v>
      </c>
      <c r="W12" s="3397"/>
      <c r="X12" s="2966" t="s">
        <v>2790</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08"/>
      <c r="B13" s="1448" t="s">
        <v>1698</v>
      </c>
      <c r="C13" s="1449" t="s">
        <v>1699</v>
      </c>
      <c r="D13" s="1092" t="s">
        <v>1700</v>
      </c>
      <c r="E13" s="1092" t="s">
        <v>1701</v>
      </c>
      <c r="F13" s="1450" t="s">
        <v>949</v>
      </c>
      <c r="G13" s="1451" t="s">
        <v>1644</v>
      </c>
      <c r="H13" s="1452" t="s">
        <v>1644</v>
      </c>
      <c r="I13" s="1453" t="s">
        <v>1644</v>
      </c>
      <c r="J13" s="1454" t="s">
        <v>1644</v>
      </c>
      <c r="K13" s="1405"/>
      <c r="L13" s="2193"/>
      <c r="M13" s="2193"/>
      <c r="N13" s="2193"/>
      <c r="O13" s="2193"/>
      <c r="P13" s="2193"/>
      <c r="Q13" s="2193"/>
      <c r="R13" s="2969">
        <v>12</v>
      </c>
      <c r="S13" s="2958"/>
      <c r="T13" s="2969" t="e">
        <f t="shared" si="0"/>
        <v>#DIV/0!</v>
      </c>
      <c r="U13" s="2958"/>
      <c r="V13" s="2969" t="e">
        <f t="shared" si="1"/>
        <v>#DIV/0!</v>
      </c>
      <c r="W13" s="3397"/>
      <c r="X13" s="2966"/>
      <c r="Y13" s="2965">
        <f>(-0.163*(Y12^2)-0.59*Y12+7617)*(10^(-4))/Y11</f>
        <v>0.36271428571428571</v>
      </c>
      <c r="Z13" s="2965">
        <f t="shared" ref="Z13:AJ13" si="5">(-0.163*(Z12^2)-0.59*Z12+7617)*(10^(-4))/Z11</f>
        <v>0.36271428571428571</v>
      </c>
      <c r="AA13" s="2965">
        <f t="shared" si="5"/>
        <v>0.36271428571428571</v>
      </c>
      <c r="AB13" s="2965">
        <f t="shared" si="5"/>
        <v>0.36271428571428571</v>
      </c>
      <c r="AC13" s="2965">
        <f t="shared" si="5"/>
        <v>0.36271428571428571</v>
      </c>
      <c r="AD13" s="2965">
        <f t="shared" si="5"/>
        <v>0.36271428571428571</v>
      </c>
      <c r="AE13" s="2965">
        <f t="shared" si="5"/>
        <v>0.36271428571428571</v>
      </c>
      <c r="AF13" s="2965">
        <f t="shared" si="5"/>
        <v>0.36271428571428571</v>
      </c>
      <c r="AG13" s="2965">
        <f t="shared" si="5"/>
        <v>0.36271428571428571</v>
      </c>
      <c r="AH13" s="2965">
        <f t="shared" si="5"/>
        <v>0.36271428571428571</v>
      </c>
      <c r="AI13" s="2965">
        <f t="shared" si="5"/>
        <v>0.36271428571428571</v>
      </c>
      <c r="AJ13" s="2965">
        <f t="shared" si="5"/>
        <v>0.36271428571428571</v>
      </c>
    </row>
    <row r="14" spans="1:39" ht="12.75" customHeight="1" thickBot="1">
      <c r="A14" s="3408"/>
      <c r="B14" s="1455"/>
      <c r="C14" s="1456"/>
      <c r="D14" s="1457"/>
      <c r="E14" s="1457"/>
      <c r="F14" s="1458"/>
      <c r="G14" s="1459" t="s">
        <v>950</v>
      </c>
      <c r="H14" s="1460"/>
      <c r="I14" s="1461"/>
      <c r="J14" s="1462"/>
      <c r="K14" s="1405"/>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09"/>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3"/>
      <c r="R15" s="2969">
        <v>14</v>
      </c>
      <c r="S15" s="2958"/>
      <c r="T15" s="2969" t="e">
        <f t="shared" si="0"/>
        <v>#DIV/0!</v>
      </c>
      <c r="U15" s="2958"/>
      <c r="V15" s="2969" t="e">
        <f t="shared" si="1"/>
        <v>#DIV/0!</v>
      </c>
      <c r="W15" s="2193"/>
      <c r="X15" s="2193"/>
      <c r="Y15" s="2193"/>
      <c r="Z15" s="2193"/>
      <c r="AA15" s="2193"/>
      <c r="AB15" s="2193"/>
      <c r="AC15" s="2194"/>
    </row>
    <row r="16" spans="1:39" ht="24">
      <c r="A16" s="3406"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07"/>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6"/>
      <c r="R17" s="2197"/>
      <c r="S17" s="2197"/>
      <c r="T17" s="2197"/>
      <c r="U17" s="2197"/>
      <c r="V17" s="2197"/>
      <c r="W17" s="2196"/>
      <c r="X17" s="2196"/>
      <c r="Y17" s="2196"/>
      <c r="Z17" s="2196"/>
      <c r="AA17" s="2196"/>
      <c r="AB17" s="2196"/>
      <c r="AC17" s="2197"/>
      <c r="AH17" s="1406"/>
      <c r="AI17" s="1406"/>
      <c r="AJ17" s="1409"/>
      <c r="AK17" s="1409"/>
      <c r="AL17" s="1409"/>
      <c r="AM17" s="1409"/>
    </row>
    <row r="18" spans="1:40" s="1425" customFormat="1" ht="15.75" thickBot="1">
      <c r="A18" s="1645" t="s">
        <v>1831</v>
      </c>
      <c r="B18" s="2804" t="s">
        <v>957</v>
      </c>
      <c r="C18" s="2805">
        <f>SUMIF(修正!C18:C39,E3,修正!E18:E39)</f>
        <v>0</v>
      </c>
      <c r="D18" s="2806"/>
      <c r="E18" s="2807"/>
      <c r="F18" s="2808"/>
      <c r="G18" s="2802"/>
      <c r="H18" s="2802"/>
      <c r="I18" s="2802"/>
      <c r="J18" s="2809"/>
      <c r="K18" s="1485"/>
      <c r="L18" s="1485"/>
      <c r="M18" s="1485"/>
      <c r="N18" s="1485"/>
      <c r="O18" s="1601"/>
      <c r="P18" s="1601"/>
      <c r="Q18" s="2198"/>
      <c r="R18" s="2198"/>
      <c r="S18" s="2198"/>
      <c r="T18" s="2198"/>
      <c r="U18" s="2198"/>
      <c r="V18" s="2198"/>
      <c r="W18" s="2197"/>
      <c r="X18" s="2197"/>
      <c r="Y18" s="2197"/>
      <c r="Z18" s="2197"/>
      <c r="AA18" s="2196"/>
      <c r="AB18" s="2196"/>
      <c r="AC18" s="2199"/>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ROUND(IF(H19="按公示增长率计算",SUMPRODUCT((地价!A3:A19=YEAR(G19)&amp;"-"&amp;ROUNDUP(MONTH(G19)/3,0))*(地价!X2:AB2=E2)*(地价!X3:AB19)),IF(H19="地价指数",M20/M19,(1+I19)^O19)),4)</f>
        <v>#DIV/0!</v>
      </c>
      <c r="D19" s="1478" t="s">
        <v>959</v>
      </c>
      <c r="E19" s="1061">
        <v>41640</v>
      </c>
      <c r="F19" s="1478" t="s">
        <v>960</v>
      </c>
      <c r="G19" s="1062">
        <f>'数据-取费表'!B2</f>
        <v>43021</v>
      </c>
      <c r="H19" s="1479" t="s">
        <v>2944</v>
      </c>
      <c r="I19" s="2816" t="str">
        <f>IF(H19="季度增幅（自定义）",SUMIF(N21:N24,E2,O21:O24),"")</f>
        <v/>
      </c>
      <c r="J19" s="1475"/>
      <c r="K19" s="1485"/>
      <c r="L19" s="3072" t="s">
        <v>2849</v>
      </c>
      <c r="M19" s="3073">
        <f>ROUND(SUMIF(地价!B2:F2,E2,地价!B19:F19),0)</f>
        <v>0</v>
      </c>
      <c r="N19" s="2818" t="s">
        <v>1678</v>
      </c>
      <c r="O19" s="2817">
        <f>ROUNDDOWN(DATEDIF(E19,G19,"M")/3,0)</f>
        <v>15</v>
      </c>
      <c r="P19" s="1600"/>
      <c r="R19" s="2957"/>
      <c r="S19" s="2957"/>
      <c r="T19" s="2957"/>
      <c r="U19" s="2957"/>
      <c r="V19" s="2957"/>
      <c r="W19" s="2199"/>
      <c r="X19" s="2199"/>
      <c r="Y19" s="2199"/>
      <c r="Z19" s="2199"/>
      <c r="AA19" s="2199"/>
      <c r="AB19" s="2199"/>
      <c r="AC19" s="2199"/>
      <c r="AD19" s="1407"/>
      <c r="AE19" s="1407"/>
      <c r="AF19" s="1407"/>
      <c r="AG19" s="1407"/>
      <c r="AH19" s="1476"/>
      <c r="AI19" s="1477"/>
      <c r="AJ19" s="1481"/>
      <c r="AK19" s="1408"/>
      <c r="AL19" s="1424"/>
      <c r="AM19" s="1424"/>
      <c r="AN19" s="1424"/>
    </row>
    <row r="20" spans="1:40" s="1425" customFormat="1" ht="27.75" thickBot="1">
      <c r="A20" s="2810" t="s">
        <v>1838</v>
      </c>
      <c r="B20" s="2811" t="s">
        <v>973</v>
      </c>
      <c r="C20" s="2812" t="e">
        <f>ROUND(POWER(1+G20,J20-I20)*(POWER(1+G20,I20)-1)/(POWER(1+G20,J20)-1),4)</f>
        <v>#DIV/0!</v>
      </c>
      <c r="D20" s="2813" t="s">
        <v>974</v>
      </c>
      <c r="E20" s="3128">
        <f ca="1">存贷款利率!I4/100</f>
        <v>4.3499999999999997E-2</v>
      </c>
      <c r="F20" s="2813" t="s">
        <v>975</v>
      </c>
      <c r="G20" s="2814">
        <f>SUMIF(M15:P15,E2,M17:P17)</f>
        <v>0</v>
      </c>
      <c r="H20" s="2813" t="s">
        <v>976</v>
      </c>
      <c r="I20" s="2803" t="e">
        <f>SUMIF('数据-取费表'!C6:C15,E2,'数据-取费表'!F6:F15)/COUNTIF('数据-取费表'!C6:C15,E2)</f>
        <v>#DIV/0!</v>
      </c>
      <c r="J20" s="2815">
        <f>IF(E2="住宅",70,IF(E2="商业",40,50))</f>
        <v>50</v>
      </c>
      <c r="K20" s="1485"/>
      <c r="L20" s="3074" t="s">
        <v>2850</v>
      </c>
      <c r="M20" s="3075">
        <f>ROUND(SUMPRODUCT((地价!A4:A19=YEAR(G19)&amp;"-"&amp;ROUNDUP(MONTH(G19)/3,0))*(地价!B2:F2=E2)*(地价!B4:F19)),0)</f>
        <v>0</v>
      </c>
      <c r="N20" s="2821" t="s">
        <v>2654</v>
      </c>
      <c r="O20" s="2819" t="s">
        <v>2653</v>
      </c>
      <c r="P20" s="2820" t="s">
        <v>2658</v>
      </c>
      <c r="R20" s="2957"/>
      <c r="S20" s="2957"/>
      <c r="T20" s="2957"/>
      <c r="U20" s="2957"/>
      <c r="V20" s="2957"/>
      <c r="W20" s="2199"/>
      <c r="X20" s="2199"/>
      <c r="Y20" s="2199"/>
      <c r="Z20" s="2199"/>
      <c r="AA20" s="2199"/>
      <c r="AB20" s="2199"/>
      <c r="AC20" s="2199"/>
      <c r="AD20" s="1476"/>
      <c r="AE20" s="1476"/>
      <c r="AF20" s="1476"/>
      <c r="AG20" s="1476"/>
      <c r="AH20" s="1476"/>
      <c r="AI20" s="1476"/>
    </row>
    <row r="21" spans="1:40" s="1425" customFormat="1" ht="14.25">
      <c r="A21" s="1646" t="s">
        <v>1839</v>
      </c>
      <c r="B21" s="1484" t="s">
        <v>2769</v>
      </c>
      <c r="C21" s="1161">
        <f>IF(B21="容积率修正",IF(G3&lt;=10,D22,J22),C23)</f>
        <v>0</v>
      </c>
      <c r="D21" s="1485"/>
      <c r="E21" s="1485"/>
      <c r="F21" s="1485"/>
      <c r="G21" s="1485"/>
      <c r="H21" s="1485"/>
      <c r="I21" s="1485"/>
      <c r="J21" s="1486"/>
      <c r="K21" s="1485"/>
      <c r="L21" s="1485"/>
      <c r="M21" s="1485"/>
      <c r="N21" s="1482" t="s">
        <v>977</v>
      </c>
      <c r="O21" s="1546"/>
      <c r="P21" s="2801">
        <f>SUMPRODUCT((地价!A3:A19=YEAR(G19)&amp;"-"&amp;ROUNDUP(MONTH(G19)/3,0))*(地价!AD2:AH2=N21)*(地价!AD3:AH19))</f>
        <v>1.6E-2</v>
      </c>
      <c r="R21" s="2957"/>
      <c r="S21" s="2957"/>
      <c r="T21" s="2957"/>
      <c r="U21" s="2957"/>
      <c r="V21" s="2957"/>
      <c r="W21" s="2199"/>
      <c r="X21" s="2199"/>
      <c r="Y21" s="2199"/>
      <c r="Z21" s="2199"/>
      <c r="AA21" s="2199"/>
      <c r="AB21" s="2199"/>
      <c r="AC21" s="2199"/>
      <c r="AD21" s="1407"/>
      <c r="AE21" s="1407"/>
      <c r="AF21" s="1407"/>
      <c r="AG21" s="1407"/>
      <c r="AH21" s="1476"/>
      <c r="AI21" s="1476"/>
    </row>
    <row r="22" spans="1:40" s="1425" customFormat="1" ht="14.25">
      <c r="A22" s="1647" t="s">
        <v>1872</v>
      </c>
      <c r="B22" s="1487" t="s">
        <v>978</v>
      </c>
      <c r="C22" s="1063" t="s">
        <v>1704</v>
      </c>
      <c r="D22" s="1063" t="b">
        <f>IF(E22=G22,F22,IF(G3&lt;=10,ROUND(F22+(H22-F22)*(G3-E22)/(G22-E22),4),"——"))</f>
        <v>0</v>
      </c>
      <c r="E22" s="1042">
        <f>ROUNDDOWN(G3,1)</f>
        <v>2.1</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1">
        <f>SUMPRODUCT((地价!A3:A19=YEAR(G19)&amp;"-"&amp;ROUNDUP(MONTH(G19)/3,0))*(地价!AD2:AH2=N22)*(地价!AD3:AH19))</f>
        <v>1.6E-2</v>
      </c>
      <c r="R22" s="2957"/>
      <c r="S22" s="2957"/>
      <c r="T22" s="2957"/>
      <c r="U22" s="2957"/>
      <c r="V22" s="2957"/>
      <c r="W22" s="2199"/>
      <c r="X22" s="2199"/>
      <c r="Y22" s="2199"/>
      <c r="Z22" s="2199"/>
      <c r="AA22" s="2199"/>
      <c r="AB22" s="2199"/>
      <c r="AC22" s="2199"/>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1">
        <f>SUMPRODUCT((地价!A3:A19=YEAR(G19)&amp;"-"&amp;ROUNDUP(MONTH(G19)/3,0))*(地价!AD2:AH2=N23)*(地价!AD3:AH19))</f>
        <v>2.75E-2</v>
      </c>
      <c r="R23" s="2957"/>
      <c r="S23" s="2957"/>
      <c r="T23" s="2957"/>
      <c r="U23" s="2957"/>
      <c r="V23" s="2957"/>
      <c r="W23" s="2199"/>
      <c r="X23" s="2199"/>
      <c r="Y23" s="2199"/>
      <c r="Z23" s="2199"/>
      <c r="AA23" s="2199"/>
      <c r="AB23" s="2199"/>
      <c r="AC23" s="2199"/>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SUMPRODUCT((地价!A3:A19=YEAR(G19)&amp;"-"&amp;ROUNDUP(MONTH(G19)/3,0))*(地价!AD2:AH2=N24)*(地价!AD3:AH19))</f>
        <v>1.37E-2</v>
      </c>
      <c r="R24" s="2957"/>
      <c r="S24" s="2957"/>
      <c r="T24" s="2957"/>
      <c r="U24" s="2957"/>
      <c r="V24" s="2957"/>
      <c r="W24" s="2199"/>
      <c r="X24" s="2199"/>
      <c r="Y24" s="2199"/>
      <c r="Z24" s="2199"/>
      <c r="AA24" s="2199"/>
      <c r="AB24" s="2199"/>
      <c r="AC24" s="2199"/>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199"/>
      <c r="M25" s="2199"/>
      <c r="N25" s="2829" t="s">
        <v>2656</v>
      </c>
      <c r="O25" s="2199"/>
      <c r="P25" s="1545">
        <f>SUMPRODUCT((地价!A3:A19=YEAR(G19)&amp;"-"&amp;ROUNDUP(MONTH(G19)/3,0))*(地价!AD2:AH2=N25)*(地价!AD3:AH19))</f>
        <v>2.46E-2</v>
      </c>
      <c r="R25" s="2957"/>
      <c r="S25" s="2957"/>
      <c r="T25" s="2957"/>
      <c r="U25" s="2957"/>
      <c r="V25" s="2957"/>
      <c r="W25" s="2199"/>
      <c r="X25" s="2199"/>
      <c r="Y25" s="2199"/>
      <c r="Z25" s="2199"/>
      <c r="AA25" s="2199"/>
      <c r="AB25" s="2199"/>
      <c r="AC25" s="2199"/>
    </row>
    <row r="26" spans="1:40" ht="14.25">
      <c r="A26" s="1493"/>
      <c r="B26" s="1487" t="s">
        <v>988</v>
      </c>
      <c r="C26" s="1066" t="e">
        <f>E29+SUM(E33:E39)</f>
        <v>#DIV/0!</v>
      </c>
      <c r="D26" s="1494"/>
      <c r="E26" s="1460"/>
      <c r="F26" s="1495"/>
      <c r="G26" s="1460"/>
      <c r="H26" s="1460"/>
      <c r="I26" s="1460"/>
      <c r="J26" s="1496"/>
      <c r="K26" s="1405"/>
      <c r="L26" s="2199"/>
      <c r="M26" s="2199"/>
      <c r="N26" s="2199"/>
      <c r="O26" s="2199"/>
      <c r="P26" s="2199"/>
      <c r="Q26" s="2199"/>
      <c r="R26" s="2957"/>
      <c r="S26" s="2957"/>
      <c r="T26" s="2957"/>
      <c r="U26" s="2957"/>
      <c r="V26" s="2957"/>
      <c r="W26" s="2199"/>
      <c r="X26" s="2199"/>
      <c r="Y26" s="2199"/>
      <c r="Z26" s="2199"/>
      <c r="AA26" s="2199"/>
      <c r="AB26" s="2199"/>
      <c r="AC26" s="2199"/>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199"/>
      <c r="M27" s="2199"/>
      <c r="N27" s="2199"/>
      <c r="O27" s="2199"/>
      <c r="P27" s="2199"/>
      <c r="Q27" s="2199"/>
      <c r="R27" s="2957"/>
      <c r="S27" s="2957"/>
      <c r="T27" s="2957"/>
      <c r="U27" s="2957"/>
      <c r="V27" s="2957"/>
      <c r="W27" s="2199"/>
      <c r="X27" s="2199"/>
      <c r="Y27" s="2199"/>
      <c r="Z27" s="2199"/>
      <c r="AA27" s="2199"/>
      <c r="AB27" s="2199"/>
      <c r="AC27" s="2199"/>
    </row>
    <row r="28" spans="1:40" ht="14.25">
      <c r="A28" s="1489"/>
      <c r="B28" s="1502" t="s">
        <v>991</v>
      </c>
      <c r="C28" s="1503" t="s">
        <v>992</v>
      </c>
      <c r="D28" s="1503" t="s">
        <v>993</v>
      </c>
      <c r="E28" s="1504" t="s">
        <v>994</v>
      </c>
      <c r="F28" s="1505"/>
      <c r="G28" s="1446"/>
      <c r="H28" s="1446"/>
      <c r="I28" s="1446"/>
      <c r="J28" s="1447"/>
      <c r="K28" s="1405"/>
      <c r="L28" s="2199"/>
      <c r="M28" s="2199"/>
      <c r="N28" s="2199"/>
      <c r="O28" s="2199"/>
      <c r="P28" s="2199"/>
      <c r="Q28" s="2199"/>
      <c r="R28" s="2957"/>
      <c r="S28" s="2957"/>
      <c r="T28" s="2957"/>
      <c r="U28" s="2957"/>
      <c r="V28" s="2957"/>
      <c r="W28" s="2199"/>
      <c r="X28" s="2199"/>
      <c r="Y28" s="2199"/>
      <c r="Z28" s="2199"/>
      <c r="AA28" s="2199"/>
      <c r="AB28" s="2199"/>
      <c r="AC28" s="2199"/>
      <c r="AD28" s="1476"/>
      <c r="AE28" s="1476"/>
      <c r="AF28" s="1476"/>
      <c r="AG28" s="1476"/>
    </row>
    <row r="29" spans="1:40" ht="24">
      <c r="A29" s="1506"/>
      <c r="B29" s="1507" t="s">
        <v>995</v>
      </c>
      <c r="C29" s="1066" t="e">
        <f>ROUND(C5*C18*C19*C20*C21*C24,0)</f>
        <v>#DIV/0!</v>
      </c>
      <c r="D29" s="1508"/>
      <c r="E29" s="1853" t="e">
        <f>ROUND(C29*D29/10000,0)</f>
        <v>#DIV/0!</v>
      </c>
      <c r="F29" s="1509" t="s">
        <v>1703</v>
      </c>
      <c r="G29" s="1510"/>
      <c r="H29" s="1510"/>
      <c r="I29" s="1510"/>
      <c r="J29" s="1511"/>
      <c r="K29" s="1405"/>
      <c r="L29" s="2199"/>
      <c r="M29" s="2199"/>
      <c r="N29" s="2199"/>
      <c r="O29" s="2199"/>
      <c r="P29" s="2199"/>
      <c r="Q29" s="2199"/>
      <c r="R29" s="2957"/>
      <c r="S29" s="2957"/>
      <c r="T29" s="2957"/>
      <c r="U29" s="2957"/>
      <c r="V29" s="2957"/>
      <c r="W29" s="2199"/>
      <c r="X29" s="2199"/>
      <c r="Y29" s="2199"/>
      <c r="Z29" s="2199"/>
      <c r="AA29" s="2199"/>
      <c r="AB29" s="2199"/>
      <c r="AC29" s="2199"/>
      <c r="AH29" s="1406"/>
      <c r="AI29" s="1406"/>
      <c r="AJ29" s="1409"/>
      <c r="AK29" s="1409"/>
      <c r="AL29" s="1409"/>
      <c r="AM29" s="1409"/>
    </row>
    <row r="30" spans="1:40" ht="24.75" thickBot="1">
      <c r="A30" s="1512"/>
      <c r="B30" s="1513" t="s">
        <v>996</v>
      </c>
      <c r="C30" s="1054" t="e">
        <f>ROUND(IF(E2="工业",C29*M39,C29*M38),0)</f>
        <v>#DIV/0!</v>
      </c>
      <c r="D30" s="1514"/>
      <c r="E30" s="1853" t="e">
        <f>ROUND(C30*D30/10000,0)</f>
        <v>#DIV/0!</v>
      </c>
      <c r="F30" s="1515" t="s">
        <v>997</v>
      </c>
      <c r="G30" s="1516"/>
      <c r="H30" s="1516"/>
      <c r="I30" s="1516"/>
      <c r="J30" s="1517"/>
      <c r="K30" s="1405"/>
      <c r="L30" s="2193"/>
      <c r="M30" s="2193"/>
      <c r="N30" s="2193"/>
      <c r="O30" s="2193"/>
      <c r="P30" s="2193"/>
      <c r="Q30" s="2193"/>
      <c r="R30" s="2194"/>
      <c r="S30" s="2194"/>
      <c r="T30" s="2194"/>
      <c r="U30" s="2194"/>
      <c r="V30" s="2194"/>
      <c r="W30" s="2193"/>
      <c r="X30" s="2193"/>
      <c r="Y30" s="2193"/>
      <c r="Z30" s="2193"/>
      <c r="AA30" s="2193"/>
      <c r="AB30" s="2193"/>
      <c r="AC30" s="2193"/>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3"/>
      <c r="M31" s="2193"/>
      <c r="N31" s="2193"/>
      <c r="O31" s="2193"/>
      <c r="P31" s="2193"/>
      <c r="Q31" s="2193"/>
      <c r="R31" s="2194"/>
      <c r="S31" s="2194"/>
      <c r="T31" s="2194"/>
      <c r="U31" s="2194"/>
      <c r="V31" s="2194"/>
      <c r="W31" s="2193"/>
      <c r="X31" s="2193"/>
      <c r="Y31" s="2193"/>
      <c r="Z31" s="2193"/>
      <c r="AA31" s="2193"/>
      <c r="AB31" s="2193"/>
      <c r="AC31" s="2193"/>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3"/>
      <c r="M32" s="2193"/>
      <c r="N32" s="2193"/>
      <c r="O32" s="2193"/>
      <c r="P32" s="2193"/>
      <c r="Q32" s="2193"/>
      <c r="R32" s="2194"/>
      <c r="S32" s="2194"/>
      <c r="T32" s="2194"/>
      <c r="U32" s="2194"/>
      <c r="V32" s="2194"/>
      <c r="W32" s="2193"/>
      <c r="X32" s="2193"/>
      <c r="Y32" s="2193"/>
      <c r="Z32" s="2193"/>
      <c r="AA32" s="2193"/>
      <c r="AB32" s="2193"/>
      <c r="AC32" s="2193"/>
      <c r="AD32" s="1406"/>
      <c r="AE32" s="1406"/>
      <c r="AF32" s="1406"/>
      <c r="AG32" s="1406"/>
      <c r="AH32" s="1406"/>
      <c r="AI32" s="1406"/>
      <c r="AJ32" s="1409"/>
      <c r="AK32" s="1409"/>
      <c r="AL32" s="1409"/>
      <c r="AM32" s="1409"/>
    </row>
    <row r="33" spans="1:40" ht="12.75">
      <c r="A33" s="3412" t="s">
        <v>2971</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3"/>
      <c r="M33" s="2193"/>
      <c r="N33" s="2193"/>
      <c r="O33" s="2193"/>
      <c r="P33" s="2193"/>
      <c r="Q33" s="2193"/>
      <c r="R33" s="2194"/>
      <c r="S33" s="2194"/>
      <c r="T33" s="2194"/>
      <c r="U33" s="2194"/>
      <c r="V33" s="2194"/>
      <c r="W33" s="2193"/>
      <c r="X33" s="2193"/>
      <c r="Y33" s="2193"/>
      <c r="Z33" s="2193"/>
      <c r="AA33" s="2193"/>
      <c r="AB33" s="2193"/>
      <c r="AC33" s="2194"/>
    </row>
    <row r="34" spans="1:40" ht="12.75">
      <c r="A34" s="3413"/>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3"/>
      <c r="M34" s="2193"/>
      <c r="N34" s="2193"/>
      <c r="O34" s="2193"/>
      <c r="P34" s="2193"/>
      <c r="Q34" s="2193"/>
      <c r="R34" s="2194"/>
      <c r="S34" s="2194"/>
      <c r="T34" s="2194"/>
      <c r="U34" s="2194"/>
      <c r="V34" s="2194"/>
      <c r="W34" s="2193"/>
      <c r="X34" s="2193"/>
      <c r="Y34" s="2193"/>
      <c r="Z34" s="2193"/>
      <c r="AA34" s="2193"/>
      <c r="AB34" s="2193"/>
      <c r="AC34" s="2194"/>
    </row>
    <row r="35" spans="1:40" ht="12.75">
      <c r="A35" s="3413"/>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4"/>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3"/>
      <c r="M36" s="2193"/>
      <c r="N36" s="2193"/>
      <c r="O36" s="2193"/>
      <c r="P36" s="2193"/>
      <c r="Q36" s="2193"/>
      <c r="R36" s="2194"/>
      <c r="S36" s="2194"/>
      <c r="T36" s="2194"/>
      <c r="U36" s="2194"/>
      <c r="V36" s="2194"/>
      <c r="W36" s="2193"/>
      <c r="X36" s="2193"/>
      <c r="Y36" s="2193"/>
      <c r="Z36" s="2193"/>
      <c r="AA36" s="2193"/>
      <c r="AB36" s="2193"/>
      <c r="AC36" s="2194"/>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3"/>
      <c r="O37" s="2193"/>
      <c r="P37" s="2193"/>
      <c r="Q37" s="2193"/>
      <c r="R37" s="2194"/>
      <c r="S37" s="2194"/>
      <c r="T37" s="2194"/>
      <c r="U37" s="2194"/>
      <c r="V37" s="2194"/>
      <c r="W37" s="2193"/>
      <c r="X37" s="2193"/>
      <c r="Y37" s="2193"/>
      <c r="Z37" s="2193"/>
      <c r="AA37" s="2193"/>
      <c r="AB37" s="2193"/>
      <c r="AC37" s="2194"/>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3"/>
      <c r="O38" s="2193"/>
      <c r="P38" s="2193"/>
      <c r="Q38" s="2193"/>
      <c r="R38" s="2194"/>
      <c r="S38" s="2194"/>
      <c r="T38" s="2194"/>
      <c r="U38" s="2194"/>
      <c r="V38" s="2194"/>
      <c r="W38" s="2193"/>
      <c r="X38" s="2193"/>
      <c r="Y38" s="2193"/>
      <c r="Z38" s="2193"/>
      <c r="AA38" s="2193"/>
      <c r="AB38" s="2193"/>
      <c r="AC38" s="2194"/>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3"/>
      <c r="O39" s="2193"/>
      <c r="P39" s="2193"/>
      <c r="Q39" s="2193"/>
      <c r="R39" s="2194"/>
      <c r="S39" s="2194"/>
      <c r="T39" s="2194"/>
      <c r="U39" s="2194"/>
      <c r="V39" s="2194"/>
      <c r="W39" s="2193"/>
      <c r="X39" s="2193"/>
      <c r="Y39" s="2193"/>
      <c r="Z39" s="2193"/>
      <c r="AA39" s="2193"/>
      <c r="AB39" s="2193"/>
      <c r="AC39" s="2194"/>
    </row>
    <row r="40" spans="1:40" s="1406"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7"/>
      <c r="AE40" s="1407"/>
      <c r="AF40" s="1407"/>
      <c r="AG40" s="1407"/>
      <c r="AH40" s="1407"/>
      <c r="AI40" s="1407"/>
      <c r="AJ40" s="1407"/>
      <c r="AK40" s="1407"/>
      <c r="AL40" s="1407"/>
      <c r="AM40" s="1407"/>
    </row>
    <row r="41" spans="1:40" s="1406" customFormat="1">
      <c r="A41" s="1407"/>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7"/>
      <c r="AE41" s="1407"/>
      <c r="AF41" s="1407"/>
      <c r="AG41" s="1407"/>
      <c r="AH41" s="1407"/>
      <c r="AI41" s="1407"/>
      <c r="AJ41" s="1407"/>
      <c r="AK41" s="1407"/>
      <c r="AL41" s="1407"/>
      <c r="AM41" s="1407"/>
    </row>
    <row r="42" spans="1:40" s="1406" customFormat="1">
      <c r="A42" s="1407"/>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7"/>
      <c r="AE42" s="1407"/>
      <c r="AF42" s="1407"/>
      <c r="AG42" s="1407"/>
      <c r="AH42" s="1407"/>
      <c r="AI42" s="1407"/>
      <c r="AJ42" s="1407"/>
      <c r="AK42" s="1407"/>
      <c r="AL42" s="1407"/>
      <c r="AM42" s="1407"/>
    </row>
    <row r="43" spans="1:40" s="1406" customFormat="1">
      <c r="A43" s="1407"/>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7"/>
      <c r="AE43" s="1407"/>
      <c r="AF43" s="1407"/>
      <c r="AG43" s="1407"/>
      <c r="AH43" s="1407"/>
      <c r="AI43" s="1407"/>
      <c r="AJ43" s="1407"/>
      <c r="AK43" s="1407"/>
      <c r="AL43" s="1407"/>
      <c r="AM43" s="1407"/>
    </row>
    <row r="44" spans="1:40" s="1406" customFormat="1" ht="15" thickBot="1">
      <c r="A44" s="2447" t="s">
        <v>1008</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7"/>
      <c r="AE44" s="1407"/>
      <c r="AF44" s="1407"/>
      <c r="AG44" s="1407"/>
      <c r="AH44" s="1407"/>
      <c r="AI44" s="1407"/>
      <c r="AJ44" s="1407"/>
      <c r="AK44" s="1407"/>
      <c r="AL44" s="1407"/>
      <c r="AM44" s="1407"/>
    </row>
    <row r="45" spans="1:40" s="1406" customFormat="1" ht="15">
      <c r="A45" s="2452" t="s">
        <v>1009</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7"/>
      <c r="AE45" s="1407"/>
      <c r="AF45" s="1407"/>
      <c r="AG45" s="1407"/>
      <c r="AH45" s="1407"/>
      <c r="AI45" s="1407"/>
      <c r="AJ45" s="1407"/>
      <c r="AK45" s="1407"/>
      <c r="AL45" s="1407"/>
      <c r="AM45" s="1407"/>
    </row>
    <row r="46" spans="1:40" s="1406" customFormat="1" ht="24">
      <c r="A46" s="1070" t="s">
        <v>1010</v>
      </c>
      <c r="B46" s="2436" t="s">
        <v>1011</v>
      </c>
      <c r="C46" s="2458" t="s">
        <v>1012</v>
      </c>
      <c r="D46" s="2459" t="s">
        <v>1013</v>
      </c>
      <c r="E46" s="2460" t="s">
        <v>1015</v>
      </c>
      <c r="F46" s="2461" t="s">
        <v>2254</v>
      </c>
      <c r="G46" s="2459" t="s">
        <v>1016</v>
      </c>
      <c r="H46" s="2442" t="s">
        <v>2422</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7"/>
      <c r="AF46" s="1407"/>
      <c r="AG46" s="1407"/>
      <c r="AH46" s="1407"/>
      <c r="AI46" s="1407"/>
      <c r="AJ46" s="1407"/>
      <c r="AK46" s="1407"/>
      <c r="AL46" s="1407"/>
      <c r="AM46" s="1407"/>
      <c r="AN46" s="1407"/>
    </row>
    <row r="47" spans="1:40" s="1406" customFormat="1" ht="36">
      <c r="A47" s="1070" t="s">
        <v>1022</v>
      </c>
      <c r="B47" s="2439" t="str">
        <f>估价对象房地状况!C16</f>
        <v>估价对象位于XX商圈，周边商业氛围成熟，人流量大，商业繁华度好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7"/>
      <c r="AF47" s="1407"/>
      <c r="AG47" s="1407"/>
      <c r="AH47" s="1407"/>
      <c r="AI47" s="1407"/>
      <c r="AJ47" s="1407"/>
      <c r="AK47" s="1407"/>
      <c r="AL47" s="1407"/>
      <c r="AM47" s="1407"/>
      <c r="AN47" s="1407"/>
    </row>
    <row r="48" spans="1:40" s="1406" customFormat="1" ht="48">
      <c r="A48" s="1070" t="s">
        <v>1023</v>
      </c>
      <c r="B48" s="2436" t="str">
        <f>估价对象房地状况!C18</f>
        <v>估价对象周边道路状况、公共交通通达情况、停车便捷程度，综合评价交通便捷度较好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7"/>
      <c r="AF48" s="1407"/>
      <c r="AG48" s="1407"/>
      <c r="AH48" s="1407"/>
      <c r="AI48" s="1407"/>
      <c r="AJ48" s="1407"/>
      <c r="AK48" s="1407"/>
      <c r="AL48" s="1407"/>
      <c r="AM48" s="1407"/>
      <c r="AN48" s="1407"/>
    </row>
    <row r="49" spans="1:40" s="1406" customFormat="1" ht="24">
      <c r="A49" s="1070" t="s">
        <v>1024</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7"/>
      <c r="AF49" s="1407"/>
      <c r="AG49" s="1407"/>
      <c r="AH49" s="1407"/>
      <c r="AI49" s="1407"/>
      <c r="AJ49" s="1407"/>
      <c r="AK49" s="1407"/>
      <c r="AL49" s="1407"/>
      <c r="AM49" s="1407"/>
      <c r="AN49" s="1407"/>
    </row>
    <row r="50" spans="1:40" s="1406" customFormat="1" ht="36">
      <c r="A50" s="1070" t="s">
        <v>1025</v>
      </c>
      <c r="B50" s="3130" t="s">
        <v>2946</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7"/>
      <c r="AF50" s="1407"/>
      <c r="AG50" s="1407"/>
      <c r="AH50" s="1407"/>
      <c r="AI50" s="1407"/>
      <c r="AJ50" s="1407"/>
      <c r="AK50" s="1407"/>
      <c r="AL50" s="1407"/>
      <c r="AM50" s="1407"/>
      <c r="AN50" s="1407"/>
    </row>
    <row r="51" spans="1:40" s="1406" customFormat="1" ht="24">
      <c r="A51" s="1070" t="s">
        <v>1026</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7"/>
      <c r="AF51" s="1407"/>
      <c r="AG51" s="1407"/>
      <c r="AH51" s="1407"/>
      <c r="AI51" s="1407"/>
      <c r="AJ51" s="1407"/>
      <c r="AK51" s="1407"/>
      <c r="AL51" s="1407"/>
      <c r="AM51" s="1407"/>
      <c r="AN51" s="1407"/>
    </row>
    <row r="52" spans="1:40" s="1406" customFormat="1" ht="24">
      <c r="A52" s="1070" t="s">
        <v>1027</v>
      </c>
      <c r="B52" s="3129" t="s">
        <v>2945</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7"/>
      <c r="AF52" s="1407"/>
      <c r="AG52" s="1407"/>
      <c r="AH52" s="1407"/>
      <c r="AI52" s="1407"/>
      <c r="AJ52" s="1407"/>
      <c r="AK52" s="1407"/>
      <c r="AL52" s="1407"/>
      <c r="AM52" s="1407"/>
      <c r="AN52" s="1407"/>
    </row>
    <row r="53" spans="1:40" s="1406" customFormat="1" ht="24">
      <c r="A53" s="2468" t="s">
        <v>1028</v>
      </c>
      <c r="B53" s="2437" t="str">
        <f>估价对象房地状况!C21</f>
        <v>估价对象所在区域公共配套设施齐备情况</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7"/>
      <c r="AF53" s="1407"/>
      <c r="AG53" s="1407"/>
      <c r="AH53" s="1407"/>
      <c r="AI53" s="1407"/>
      <c r="AJ53" s="1407"/>
      <c r="AK53" s="1407"/>
      <c r="AL53" s="1407"/>
      <c r="AM53" s="1407"/>
      <c r="AN53" s="1407"/>
    </row>
    <row r="54" spans="1:40" s="1406" customFormat="1" ht="24">
      <c r="A54" s="2468" t="s">
        <v>1029</v>
      </c>
      <c r="B54" s="2436" t="str">
        <f>估价对象房地状况!C22</f>
        <v>估价对象所在区域基础设施水平</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7"/>
      <c r="AF54" s="1407"/>
      <c r="AG54" s="1407"/>
      <c r="AH54" s="1407"/>
      <c r="AI54" s="1407"/>
      <c r="AJ54" s="1407"/>
      <c r="AK54" s="1407"/>
      <c r="AL54" s="1407"/>
      <c r="AM54" s="1407"/>
      <c r="AN54" s="1407"/>
    </row>
    <row r="55" spans="1:40" s="1406" customFormat="1" ht="36.75" thickBot="1">
      <c r="A55" s="2469" t="s">
        <v>1030</v>
      </c>
      <c r="B55" s="2440" t="str">
        <f>估价对象房地状况!C20</f>
        <v>区域自然环境：；人文环境；综合评价环境状况一般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7"/>
      <c r="AF55" s="1407"/>
      <c r="AG55" s="1407"/>
      <c r="AH55" s="1407"/>
      <c r="AI55" s="1407"/>
      <c r="AJ55" s="1407"/>
      <c r="AK55" s="1407"/>
      <c r="AL55" s="1407"/>
      <c r="AM55" s="1407"/>
      <c r="AN55" s="1407"/>
    </row>
    <row r="56" spans="1:40" s="1406" customFormat="1" ht="15">
      <c r="A56" s="2452" t="s">
        <v>1031</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7"/>
      <c r="AF56" s="1407"/>
      <c r="AG56" s="1407"/>
      <c r="AH56" s="1407"/>
      <c r="AI56" s="1407"/>
      <c r="AJ56" s="1407"/>
      <c r="AK56" s="1407"/>
      <c r="AL56" s="1407"/>
      <c r="AM56" s="1407"/>
      <c r="AN56" s="1407"/>
    </row>
    <row r="57" spans="1:40" s="1406" customFormat="1" ht="24">
      <c r="A57" s="1070" t="s">
        <v>1010</v>
      </c>
      <c r="B57" s="2436"/>
      <c r="C57" s="2458" t="s">
        <v>1012</v>
      </c>
      <c r="D57" s="2459" t="s">
        <v>1013</v>
      </c>
      <c r="E57" s="2460" t="s">
        <v>1015</v>
      </c>
      <c r="F57" s="2461" t="s">
        <v>2255</v>
      </c>
      <c r="G57" s="2459" t="s">
        <v>1016</v>
      </c>
      <c r="H57" s="2442" t="s">
        <v>2422</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7"/>
      <c r="AF57" s="1407"/>
      <c r="AG57" s="1407"/>
      <c r="AH57" s="1407"/>
      <c r="AI57" s="1407"/>
      <c r="AJ57" s="1407"/>
      <c r="AK57" s="1407"/>
      <c r="AL57" s="1407"/>
      <c r="AM57" s="1407"/>
      <c r="AN57" s="1407"/>
    </row>
    <row r="58" spans="1:40" s="1406" customFormat="1" ht="36">
      <c r="A58" s="1070" t="s">
        <v>1032</v>
      </c>
      <c r="B58" s="2439" t="str">
        <f>估价对象房地状况!C17</f>
        <v>估价对象位于XX商圈，周边办公楼项目较多，入驻率高，办公集聚程度较好</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7"/>
      <c r="AF58" s="1407"/>
      <c r="AG58" s="1407"/>
      <c r="AH58" s="1407"/>
      <c r="AI58" s="1407"/>
      <c r="AJ58" s="1407"/>
      <c r="AK58" s="1407"/>
      <c r="AL58" s="1407"/>
      <c r="AM58" s="1407"/>
      <c r="AN58" s="1407"/>
    </row>
    <row r="59" spans="1:40" s="1406" customFormat="1" ht="48">
      <c r="A59" s="1070" t="s">
        <v>1023</v>
      </c>
      <c r="B59" s="2436" t="str">
        <f>估价对象房地状况!C18</f>
        <v>估价对象周边道路状况、公共交通通达情况、停车便捷程度，综合评价交通便捷度较好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7"/>
      <c r="AF59" s="1407"/>
      <c r="AG59" s="1407"/>
      <c r="AH59" s="1407"/>
      <c r="AI59" s="1407"/>
      <c r="AJ59" s="1407"/>
      <c r="AK59" s="1407"/>
      <c r="AL59" s="1407"/>
      <c r="AM59" s="1407"/>
      <c r="AN59" s="1407"/>
    </row>
    <row r="60" spans="1:40" s="1406" customFormat="1" ht="24">
      <c r="A60" s="1070" t="s">
        <v>1024</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7"/>
      <c r="AF60" s="1407"/>
      <c r="AG60" s="1407"/>
      <c r="AH60" s="1407"/>
      <c r="AI60" s="1407"/>
      <c r="AJ60" s="1407"/>
      <c r="AK60" s="1407"/>
      <c r="AL60" s="1407"/>
      <c r="AM60" s="1407"/>
      <c r="AN60" s="1407"/>
    </row>
    <row r="61" spans="1:40" s="1406" customFormat="1" ht="36">
      <c r="A61" s="1070" t="s">
        <v>1025</v>
      </c>
      <c r="B61" s="3130" t="s">
        <v>2947</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7"/>
      <c r="AF61" s="1407"/>
      <c r="AG61" s="1407"/>
      <c r="AH61" s="1407"/>
      <c r="AI61" s="1407"/>
      <c r="AJ61" s="1407"/>
      <c r="AK61" s="1407"/>
      <c r="AL61" s="1407"/>
      <c r="AM61" s="1407"/>
      <c r="AN61" s="1407"/>
    </row>
    <row r="62" spans="1:40" s="1406" customFormat="1" ht="24">
      <c r="A62" s="1070" t="s">
        <v>1026</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7"/>
      <c r="AF62" s="1407"/>
      <c r="AG62" s="1407"/>
      <c r="AH62" s="1407"/>
      <c r="AI62" s="1407"/>
      <c r="AJ62" s="1407"/>
      <c r="AK62" s="1407"/>
      <c r="AL62" s="1407"/>
      <c r="AM62" s="1407"/>
      <c r="AN62" s="1407"/>
    </row>
    <row r="63" spans="1:40" s="1406" customFormat="1" ht="24">
      <c r="A63" s="1070" t="s">
        <v>1027</v>
      </c>
      <c r="B63" s="3129" t="s">
        <v>2945</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7"/>
      <c r="AF63" s="1407"/>
      <c r="AG63" s="1407"/>
      <c r="AH63" s="1407"/>
      <c r="AI63" s="1407"/>
      <c r="AJ63" s="1407"/>
      <c r="AK63" s="1407"/>
      <c r="AL63" s="1407"/>
      <c r="AM63" s="1407"/>
      <c r="AN63" s="1407"/>
    </row>
    <row r="64" spans="1:40" s="1406" customFormat="1" ht="24">
      <c r="A64" s="1070" t="s">
        <v>1028</v>
      </c>
      <c r="B64" s="2437" t="str">
        <f>估价对象房地状况!C21</f>
        <v>估价对象所在区域公共配套设施齐备情况</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7"/>
      <c r="AF64" s="1407"/>
      <c r="AG64" s="1407"/>
      <c r="AH64" s="1407"/>
      <c r="AI64" s="1407"/>
      <c r="AJ64" s="1407"/>
      <c r="AK64" s="1407"/>
      <c r="AL64" s="1407"/>
      <c r="AM64" s="1407"/>
      <c r="AN64" s="1407"/>
    </row>
    <row r="65" spans="1:40" s="1406" customFormat="1" ht="24">
      <c r="A65" s="1070" t="s">
        <v>1029</v>
      </c>
      <c r="B65" s="2437" t="str">
        <f>估价对象房地状况!C22</f>
        <v>估价对象所在区域基础设施水平</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7"/>
      <c r="AF65" s="1407"/>
      <c r="AG65" s="1407"/>
      <c r="AH65" s="1407"/>
      <c r="AI65" s="1407"/>
      <c r="AJ65" s="1407"/>
      <c r="AK65" s="1407"/>
      <c r="AL65" s="1407"/>
      <c r="AM65" s="1407"/>
      <c r="AN65" s="1407"/>
    </row>
    <row r="66" spans="1:40" s="1406" customFormat="1" ht="36.75" thickBot="1">
      <c r="A66" s="2469" t="s">
        <v>1030</v>
      </c>
      <c r="B66" s="2441" t="str">
        <f>估价对象房地状况!C20</f>
        <v>区域自然环境：；人文环境；综合评价环境状况一般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7"/>
      <c r="AF66" s="1407"/>
      <c r="AG66" s="1407"/>
      <c r="AH66" s="1407"/>
      <c r="AI66" s="1407"/>
      <c r="AJ66" s="1407"/>
      <c r="AK66" s="1407"/>
      <c r="AL66" s="1407"/>
      <c r="AM66" s="1407"/>
      <c r="AN66" s="1407"/>
    </row>
    <row r="67" spans="1:40" s="1406" customFormat="1" ht="15">
      <c r="A67" s="2452" t="s">
        <v>1033</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7"/>
      <c r="AF67" s="1407"/>
      <c r="AG67" s="1407"/>
      <c r="AH67" s="1407"/>
      <c r="AI67" s="1407"/>
      <c r="AJ67" s="1407"/>
      <c r="AK67" s="1407"/>
      <c r="AL67" s="1407"/>
      <c r="AM67" s="1407"/>
      <c r="AN67" s="1407"/>
    </row>
    <row r="68" spans="1:40" s="1406" customFormat="1" ht="24">
      <c r="A68" s="1070" t="s">
        <v>1010</v>
      </c>
      <c r="B68" s="2436"/>
      <c r="C68" s="2458" t="s">
        <v>1012</v>
      </c>
      <c r="D68" s="2459" t="s">
        <v>1013</v>
      </c>
      <c r="E68" s="2460" t="s">
        <v>1015</v>
      </c>
      <c r="F68" s="2461" t="s">
        <v>2256</v>
      </c>
      <c r="G68" s="2459" t="s">
        <v>1016</v>
      </c>
      <c r="H68" s="2442" t="s">
        <v>2422</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7"/>
      <c r="AF68" s="1407"/>
      <c r="AG68" s="1407"/>
      <c r="AH68" s="1407"/>
      <c r="AI68" s="1407"/>
      <c r="AJ68" s="1407"/>
      <c r="AK68" s="1407"/>
      <c r="AL68" s="1407"/>
      <c r="AM68" s="1407"/>
      <c r="AN68" s="1407"/>
    </row>
    <row r="69" spans="1:40" s="1406" customFormat="1" ht="48">
      <c r="A69" s="1070" t="s">
        <v>1034</v>
      </c>
      <c r="B69" s="2439" t="str">
        <f>估价对象房地状况!C15</f>
        <v>估价对象周边居住用地比例、居住小区规模和社区发展完善程度，综合评价居住社区成熟度一般</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7"/>
      <c r="AF69" s="1407"/>
      <c r="AG69" s="1407"/>
      <c r="AH69" s="1407"/>
      <c r="AI69" s="1407"/>
      <c r="AJ69" s="1407"/>
      <c r="AK69" s="1407"/>
      <c r="AL69" s="1407"/>
      <c r="AM69" s="1407"/>
      <c r="AN69" s="1407"/>
    </row>
    <row r="70" spans="1:40" s="1406" customFormat="1" ht="48">
      <c r="A70" s="1070" t="s">
        <v>1035</v>
      </c>
      <c r="B70" s="2436" t="str">
        <f>估价对象房地状况!C18</f>
        <v>估价对象周边道路状况、公共交通通达情况、停车便捷程度，综合评价交通便捷度较好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7"/>
      <c r="AF70" s="1407"/>
      <c r="AG70" s="1407"/>
      <c r="AH70" s="1407"/>
      <c r="AI70" s="1407"/>
      <c r="AJ70" s="1407"/>
      <c r="AK70" s="1407"/>
      <c r="AL70" s="1407"/>
      <c r="AM70" s="1407"/>
      <c r="AN70" s="1407"/>
    </row>
    <row r="71" spans="1:40" s="1406" customFormat="1" ht="24">
      <c r="A71" s="1070" t="s">
        <v>1024</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7"/>
      <c r="AF71" s="1407"/>
      <c r="AG71" s="1407"/>
      <c r="AH71" s="1407"/>
      <c r="AI71" s="1407"/>
      <c r="AJ71" s="1407"/>
      <c r="AK71" s="1407"/>
      <c r="AL71" s="1407"/>
      <c r="AM71" s="1407"/>
      <c r="AN71" s="1407"/>
    </row>
    <row r="72" spans="1:40" s="1406" customFormat="1" ht="14.25">
      <c r="A72" s="1070" t="s">
        <v>1036</v>
      </c>
      <c r="B72" s="2436">
        <f>估价对象房地状况!C24</f>
        <v>0</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7"/>
      <c r="AF72" s="1407"/>
      <c r="AG72" s="1407"/>
      <c r="AH72" s="1407"/>
      <c r="AI72" s="1407"/>
      <c r="AJ72" s="1407"/>
      <c r="AK72" s="1407"/>
      <c r="AL72" s="1407"/>
      <c r="AM72" s="1407"/>
      <c r="AN72" s="1407"/>
    </row>
    <row r="73" spans="1:40" s="1406" customFormat="1" ht="24">
      <c r="A73" s="1070" t="s">
        <v>1028</v>
      </c>
      <c r="B73" s="2437" t="str">
        <f>估价对象房地状况!C21</f>
        <v>估价对象所在区域公共配套设施齐备情况</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7"/>
      <c r="AF73" s="1407"/>
      <c r="AG73" s="1407"/>
      <c r="AH73" s="1407"/>
      <c r="AI73" s="1407"/>
      <c r="AJ73" s="1407"/>
      <c r="AK73" s="1407"/>
      <c r="AL73" s="1407"/>
      <c r="AM73" s="1407"/>
      <c r="AN73" s="1407"/>
    </row>
    <row r="74" spans="1:40" s="1406" customFormat="1" ht="24">
      <c r="A74" s="1070" t="s">
        <v>1029</v>
      </c>
      <c r="B74" s="2437" t="str">
        <f>估价对象房地状况!C22</f>
        <v>估价对象所在区域基础设施水平</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7"/>
      <c r="AF74" s="1407"/>
      <c r="AG74" s="1407"/>
      <c r="AH74" s="1407"/>
      <c r="AI74" s="1407"/>
      <c r="AJ74" s="1407"/>
      <c r="AK74" s="1407"/>
      <c r="AL74" s="1407"/>
      <c r="AM74" s="1407"/>
      <c r="AN74" s="1407"/>
    </row>
    <row r="75" spans="1:40" s="1406" customFormat="1" ht="24">
      <c r="A75" s="1070" t="s">
        <v>1027</v>
      </c>
      <c r="B75" s="3129" t="s">
        <v>2945</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7"/>
      <c r="AF75" s="1407"/>
      <c r="AG75" s="1407"/>
      <c r="AH75" s="1407"/>
      <c r="AI75" s="1407"/>
      <c r="AJ75" s="1407"/>
      <c r="AK75" s="1407"/>
      <c r="AL75" s="1407"/>
      <c r="AM75" s="1407"/>
      <c r="AN75" s="1407"/>
    </row>
    <row r="76" spans="1:40" ht="36">
      <c r="A76" s="1070" t="s">
        <v>1030</v>
      </c>
      <c r="B76" s="2439" t="str">
        <f>估价对象房地状况!C20</f>
        <v>区域自然环境：；人文环境；综合评价环境状况一般</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7"/>
      <c r="AN76" s="1408"/>
    </row>
    <row r="77" spans="1:40" ht="24.75" thickBot="1">
      <c r="A77" s="2469" t="s">
        <v>1037</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9"/>
      <c r="AD77" s="1408"/>
      <c r="AJ77" s="1407"/>
      <c r="AN77" s="1408"/>
    </row>
    <row r="78" spans="1:40" ht="15">
      <c r="A78" s="2452" t="s">
        <v>1038</v>
      </c>
      <c r="B78" s="2453">
        <f>1+E80</f>
        <v>1</v>
      </c>
      <c r="C78" s="2472"/>
      <c r="D78" s="2455"/>
      <c r="E78" s="2456"/>
      <c r="F78" s="2457"/>
      <c r="G78" s="2451"/>
      <c r="H78" s="2451"/>
      <c r="I78" s="2451"/>
      <c r="J78" s="1069"/>
      <c r="K78" s="1069"/>
      <c r="L78" s="1069"/>
      <c r="M78" s="1069"/>
      <c r="N78" s="1069"/>
      <c r="AC78" s="1409"/>
      <c r="AD78" s="1408"/>
      <c r="AJ78" s="1407"/>
      <c r="AN78" s="1408"/>
    </row>
    <row r="79" spans="1:40" ht="24">
      <c r="A79" s="1070" t="s">
        <v>1010</v>
      </c>
      <c r="B79" s="2436"/>
      <c r="C79" s="2458" t="s">
        <v>1012</v>
      </c>
      <c r="D79" s="2459" t="s">
        <v>1013</v>
      </c>
      <c r="E79" s="2460" t="s">
        <v>1015</v>
      </c>
      <c r="F79" s="2461" t="s">
        <v>2257</v>
      </c>
      <c r="G79" s="2459" t="s">
        <v>1016</v>
      </c>
      <c r="H79" s="2442" t="s">
        <v>2422</v>
      </c>
      <c r="I79" s="2459" t="s">
        <v>1014</v>
      </c>
      <c r="J79" s="2462" t="s">
        <v>1017</v>
      </c>
      <c r="K79" s="2462" t="s">
        <v>1018</v>
      </c>
      <c r="L79" s="2462" t="s">
        <v>1019</v>
      </c>
      <c r="M79" s="2462" t="s">
        <v>1020</v>
      </c>
      <c r="N79" s="2462" t="s">
        <v>1021</v>
      </c>
      <c r="AC79" s="1409"/>
      <c r="AD79" s="1408"/>
      <c r="AJ79" s="1407"/>
      <c r="AN79" s="1408"/>
    </row>
    <row r="80" spans="1:40" ht="36">
      <c r="A80" s="1070" t="s">
        <v>1039</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9"/>
      <c r="AD80" s="1408"/>
      <c r="AJ80" s="1407"/>
      <c r="AN80" s="1408"/>
    </row>
    <row r="81" spans="1:40" ht="48">
      <c r="A81" s="1070" t="s">
        <v>1035</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9"/>
      <c r="AD81" s="1408"/>
      <c r="AJ81" s="1407"/>
      <c r="AN81" s="1408"/>
    </row>
    <row r="82" spans="1:40" ht="24">
      <c r="A82" s="1070" t="s">
        <v>1024</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9"/>
      <c r="AD82" s="1408"/>
      <c r="AJ82" s="1407"/>
      <c r="AN82" s="1408"/>
    </row>
    <row r="83" spans="1:40" ht="14.25">
      <c r="A83" s="1070" t="s">
        <v>1036</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9"/>
      <c r="AD83" s="1408"/>
      <c r="AJ83" s="1407"/>
      <c r="AN83" s="1408"/>
    </row>
    <row r="84" spans="1:40" ht="24">
      <c r="A84" s="1070" t="s">
        <v>1028</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9"/>
      <c r="AD84" s="1408"/>
      <c r="AJ84" s="1407"/>
      <c r="AN84" s="1408"/>
    </row>
    <row r="85" spans="1:40" ht="24">
      <c r="A85" s="1070" t="s">
        <v>1029</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9"/>
      <c r="AD85" s="1408"/>
      <c r="AJ85" s="1407"/>
      <c r="AN85" s="1408"/>
    </row>
    <row r="86" spans="1:40" ht="24">
      <c r="A86" s="1070" t="s">
        <v>1027</v>
      </c>
      <c r="B86" s="3129" t="s">
        <v>2945</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9"/>
      <c r="AD86" s="1408"/>
      <c r="AJ86" s="1407"/>
      <c r="AN86" s="1408"/>
    </row>
    <row r="87" spans="1:40" ht="36.75" thickBot="1">
      <c r="A87" s="2469" t="s">
        <v>1040</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9"/>
      <c r="AD87" s="1408"/>
      <c r="AJ87" s="1407"/>
      <c r="AN87" s="1408"/>
    </row>
    <row r="90" spans="1:40">
      <c r="A90" s="3410" t="s">
        <v>1635</v>
      </c>
      <c r="B90" s="3410"/>
      <c r="C90" s="3410"/>
      <c r="D90" s="3410"/>
      <c r="E90" s="3410"/>
      <c r="F90" s="3410"/>
      <c r="G90" s="3410"/>
      <c r="H90" s="3410"/>
      <c r="I90" s="3410"/>
      <c r="J90" s="3410"/>
      <c r="K90" s="2478"/>
      <c r="L90" s="2478"/>
      <c r="M90" s="2478"/>
      <c r="N90" s="2478"/>
    </row>
    <row r="91" spans="1:40">
      <c r="A91" s="3411" t="s">
        <v>1445</v>
      </c>
      <c r="B91" s="3411" t="s">
        <v>1636</v>
      </c>
      <c r="C91" s="1143" t="s">
        <v>1637</v>
      </c>
      <c r="D91" s="1144"/>
      <c r="E91" s="1144"/>
      <c r="F91" s="1144"/>
      <c r="G91" s="1144"/>
      <c r="H91" s="1144"/>
      <c r="I91" s="1144"/>
      <c r="J91" s="1145"/>
      <c r="K91" s="1137"/>
      <c r="L91" s="1137"/>
      <c r="M91" s="1137"/>
      <c r="N91" s="1137"/>
    </row>
    <row r="92" spans="1:40">
      <c r="A92" s="3411"/>
      <c r="B92" s="3411"/>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00" t="s">
        <v>2772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1"/>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0" t="s">
        <v>1639</v>
      </c>
      <c r="B101" s="1150" t="s">
        <v>907</v>
      </c>
      <c r="C101" s="1151">
        <f>$G$3</f>
        <v>2.1</v>
      </c>
      <c r="D101" s="1151">
        <f t="shared" ref="D101:N101" si="31">$G$3</f>
        <v>2.1</v>
      </c>
      <c r="E101" s="1151">
        <f t="shared" si="31"/>
        <v>2.1</v>
      </c>
      <c r="F101" s="1151">
        <f t="shared" si="31"/>
        <v>2.1</v>
      </c>
      <c r="G101" s="1151">
        <f t="shared" si="31"/>
        <v>2.1</v>
      </c>
      <c r="H101" s="1151">
        <f t="shared" si="31"/>
        <v>2.1</v>
      </c>
      <c r="I101" s="1151">
        <f t="shared" si="31"/>
        <v>2.1</v>
      </c>
      <c r="J101" s="1151">
        <f t="shared" si="31"/>
        <v>2.1</v>
      </c>
      <c r="K101" s="1151">
        <f t="shared" si="31"/>
        <v>2.1</v>
      </c>
      <c r="L101" s="1151">
        <f t="shared" si="31"/>
        <v>2.1</v>
      </c>
      <c r="M101" s="1151">
        <f t="shared" si="31"/>
        <v>2.1</v>
      </c>
      <c r="N101" s="1151">
        <f t="shared" si="31"/>
        <v>2.1</v>
      </c>
    </row>
    <row r="102" spans="1:14">
      <c r="A102" s="3401"/>
      <c r="B102" s="1146">
        <v>1</v>
      </c>
      <c r="C102" s="1147">
        <f>1.9362/C101</f>
        <v>0.92199999999999993</v>
      </c>
      <c r="D102" s="1147">
        <f>1.9362/D101</f>
        <v>0.92199999999999993</v>
      </c>
      <c r="E102" s="1147">
        <f>1.8629/E101</f>
        <v>0.88709523809523805</v>
      </c>
      <c r="F102" s="1147">
        <f>1.8629/F101</f>
        <v>0.88709523809523805</v>
      </c>
      <c r="G102" s="1147">
        <f>1.8629/G101</f>
        <v>0.88709523809523805</v>
      </c>
      <c r="H102" s="1147">
        <f>1.8629/H101</f>
        <v>0.88709523809523805</v>
      </c>
      <c r="I102" s="1147">
        <f>1.8629/I101</f>
        <v>0.88709523809523805</v>
      </c>
      <c r="J102" s="1147">
        <f>1.942/J101</f>
        <v>0.92476190476190467</v>
      </c>
      <c r="K102" s="1147">
        <f>1.942/K101</f>
        <v>0.92476190476190467</v>
      </c>
      <c r="L102" s="1147">
        <f>1.942/L101</f>
        <v>0.92476190476190467</v>
      </c>
      <c r="M102" s="1147">
        <f>1.942/M101</f>
        <v>0.92476190476190467</v>
      </c>
      <c r="N102" s="1147">
        <f>1.942/N101</f>
        <v>0.92476190476190467</v>
      </c>
    </row>
    <row r="103" spans="1:14">
      <c r="A103" s="3401"/>
      <c r="B103" s="1146">
        <v>2</v>
      </c>
      <c r="C103" s="1147">
        <f>1.4198/C101</f>
        <v>0.67609523809523808</v>
      </c>
      <c r="D103" s="1147">
        <f>1.4198/D101</f>
        <v>0.67609523809523808</v>
      </c>
      <c r="E103" s="1147">
        <f>1.3372/E101</f>
        <v>0.63676190476190475</v>
      </c>
      <c r="F103" s="1147">
        <f>1.3372/F101</f>
        <v>0.63676190476190475</v>
      </c>
      <c r="G103" s="1147">
        <f>1.3372/G101</f>
        <v>0.63676190476190475</v>
      </c>
      <c r="H103" s="1147">
        <f>1.3372/H101</f>
        <v>0.63676190476190475</v>
      </c>
      <c r="I103" s="1147">
        <f>1.3372/I101</f>
        <v>0.63676190476190475</v>
      </c>
      <c r="J103" s="1147">
        <f>1.2799/J101</f>
        <v>0.6094761904761905</v>
      </c>
      <c r="K103" s="1147">
        <f>1.2799/K101</f>
        <v>0.6094761904761905</v>
      </c>
      <c r="L103" s="1147">
        <f>1.2799/L101</f>
        <v>0.6094761904761905</v>
      </c>
      <c r="M103" s="1147">
        <f>1.2799/M101</f>
        <v>0.6094761904761905</v>
      </c>
      <c r="N103" s="1147">
        <f>1.2799/N101</f>
        <v>0.6094761904761905</v>
      </c>
    </row>
    <row r="104" spans="1:14">
      <c r="A104" s="3401"/>
      <c r="B104" s="1146">
        <v>3</v>
      </c>
      <c r="C104" s="1147">
        <f>1.1594/C101</f>
        <v>0.55209523809523808</v>
      </c>
      <c r="D104" s="1147">
        <f>1.1594/D101</f>
        <v>0.55209523809523808</v>
      </c>
      <c r="E104" s="1147">
        <f>1.0788/E101</f>
        <v>0.51371428571428568</v>
      </c>
      <c r="F104" s="1147">
        <f>1.0788/F101</f>
        <v>0.51371428571428568</v>
      </c>
      <c r="G104" s="1147">
        <f>1.0788/G101</f>
        <v>0.51371428571428568</v>
      </c>
      <c r="H104" s="1147">
        <f>1.0788/H101</f>
        <v>0.51371428571428568</v>
      </c>
      <c r="I104" s="1147">
        <f>1.0788/I101</f>
        <v>0.51371428571428568</v>
      </c>
      <c r="J104" s="1147">
        <f>1.0072/J101</f>
        <v>0.47961904761904767</v>
      </c>
      <c r="K104" s="1147">
        <f>1.0072/K101</f>
        <v>0.47961904761904767</v>
      </c>
      <c r="L104" s="1147">
        <f>1.0072/L101</f>
        <v>0.47961904761904767</v>
      </c>
      <c r="M104" s="1147">
        <f>1.0072/M101</f>
        <v>0.47961904761904767</v>
      </c>
      <c r="N104" s="1147">
        <f>1.0072/N101</f>
        <v>0.47961904761904767</v>
      </c>
    </row>
    <row r="105" spans="1:14">
      <c r="A105" s="3401"/>
      <c r="B105" s="1146">
        <v>4</v>
      </c>
      <c r="C105" s="1147">
        <f>0.9622/C101</f>
        <v>0.4581904761904762</v>
      </c>
      <c r="D105" s="1147">
        <f>0.9622/D101</f>
        <v>0.4581904761904762</v>
      </c>
      <c r="E105" s="1147">
        <f>0.8656/E101</f>
        <v>0.41219047619047616</v>
      </c>
      <c r="F105" s="1147">
        <f>0.8656/F101</f>
        <v>0.41219047619047616</v>
      </c>
      <c r="G105" s="1147">
        <f>0.8656/G101</f>
        <v>0.41219047619047616</v>
      </c>
      <c r="H105" s="1147">
        <f>0.8656/H101</f>
        <v>0.41219047619047616</v>
      </c>
      <c r="I105" s="1147">
        <f>0.8656/I101</f>
        <v>0.41219047619047616</v>
      </c>
      <c r="J105" s="1147">
        <f>0.7525/J101</f>
        <v>0.35833333333333328</v>
      </c>
      <c r="K105" s="1147">
        <f>0.7525/K101</f>
        <v>0.35833333333333328</v>
      </c>
      <c r="L105" s="1147">
        <f>0.7525/L101</f>
        <v>0.35833333333333328</v>
      </c>
      <c r="M105" s="1147">
        <f>0.7525/M101</f>
        <v>0.35833333333333328</v>
      </c>
      <c r="N105" s="1147">
        <f>0.7525/N101</f>
        <v>0.35833333333333328</v>
      </c>
    </row>
    <row r="106" spans="1:14">
      <c r="A106" s="3401"/>
      <c r="B106" s="1146">
        <v>5</v>
      </c>
      <c r="C106" s="1147">
        <f>0.8417/C101</f>
        <v>0.40080952380952378</v>
      </c>
      <c r="D106" s="1147">
        <f>0.8417/D101</f>
        <v>0.40080952380952378</v>
      </c>
      <c r="E106" s="1147">
        <f>0.7371/E101</f>
        <v>0.35099999999999998</v>
      </c>
      <c r="F106" s="1147">
        <f>0.7371/F101</f>
        <v>0.35099999999999998</v>
      </c>
      <c r="G106" s="1147">
        <f>0.7371/G101</f>
        <v>0.35099999999999998</v>
      </c>
      <c r="H106" s="1147">
        <f>0.7371/H101</f>
        <v>0.35099999999999998</v>
      </c>
      <c r="I106" s="1147">
        <f>0.7371/I101</f>
        <v>0.35099999999999998</v>
      </c>
      <c r="J106" s="1147">
        <f>0.5659/J101</f>
        <v>0.26947619047619042</v>
      </c>
      <c r="K106" s="1147">
        <f>0.5659/K101</f>
        <v>0.26947619047619042</v>
      </c>
      <c r="L106" s="1147">
        <f>0.5659/L101</f>
        <v>0.26947619047619042</v>
      </c>
      <c r="M106" s="1147">
        <f>0.5659/M101</f>
        <v>0.26947619047619042</v>
      </c>
      <c r="N106" s="1147">
        <f>0.5659/N101</f>
        <v>0.26947619047619042</v>
      </c>
    </row>
    <row r="107" spans="1:14">
      <c r="A107" s="3401"/>
      <c r="B107" s="1146">
        <v>6</v>
      </c>
      <c r="C107" s="1147">
        <f>0.7608/C101</f>
        <v>0.36228571428571427</v>
      </c>
      <c r="D107" s="1147">
        <f>0.7608/D101</f>
        <v>0.36228571428571427</v>
      </c>
      <c r="E107" s="1147">
        <f>0.6482/E101</f>
        <v>0.30866666666666664</v>
      </c>
      <c r="F107" s="1147">
        <f>0.6482/F101</f>
        <v>0.30866666666666664</v>
      </c>
      <c r="G107" s="1147">
        <f>0.6482/G101</f>
        <v>0.30866666666666664</v>
      </c>
      <c r="H107" s="1147">
        <f>0.6482/H101</f>
        <v>0.30866666666666664</v>
      </c>
      <c r="I107" s="1147">
        <f>0.6482/I101</f>
        <v>0.30866666666666664</v>
      </c>
      <c r="J107" s="1147">
        <f>0.4525/J101</f>
        <v>0.21547619047619046</v>
      </c>
      <c r="K107" s="1147">
        <f>0.4525/K101</f>
        <v>0.21547619047619046</v>
      </c>
      <c r="L107" s="1147">
        <f>0.4525/L101</f>
        <v>0.21547619047619046</v>
      </c>
      <c r="M107" s="1147">
        <f>0.4525/M101</f>
        <v>0.21547619047619046</v>
      </c>
      <c r="N107" s="1147">
        <f>0.4525/N101</f>
        <v>0.21547619047619046</v>
      </c>
    </row>
    <row r="108" spans="1:14">
      <c r="A108" s="3401"/>
      <c r="B108" s="3403"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2"/>
      <c r="B109" s="3404"/>
      <c r="C109" s="1149">
        <f>(-0.163*(C108^2)-0.59*C108+7617)*(10^(-4))/C101</f>
        <v>0.36199276190476187</v>
      </c>
      <c r="D109" s="1149">
        <f>(-0.163*(D108^2)-0.59*D108+7617)*(10^(-4))/D101</f>
        <v>0.36199276190476187</v>
      </c>
      <c r="E109" s="1149">
        <f>(-0.161*(E108^2)-7.509*E108+6533)*(10^(-4))/E101</f>
        <v>0.30774400000000002</v>
      </c>
      <c r="F109" s="1149">
        <f>(-0.161*(F108^2)-7.509*F108+6533)*(10^(-4))/F101</f>
        <v>0.30774400000000002</v>
      </c>
      <c r="G109" s="1149">
        <f>(-0.161*(G108^2)-7.509*G108+6533)*(10^(-4))/G101</f>
        <v>0.30774400000000002</v>
      </c>
      <c r="H109" s="1149">
        <f>(-0.161*(H108^2)-7.509*H108+6533)*(10^(-4))/H101</f>
        <v>0.30774400000000002</v>
      </c>
      <c r="I109" s="1149">
        <f>(-0.161*(I108^2)-7.509*I108+6533)*(10^(-4))/I101</f>
        <v>0.30774400000000002</v>
      </c>
      <c r="J109" s="1149">
        <f>(-0.214*(J108^2)-21.991*J108+4665)*(10^(-4))/J101</f>
        <v>0.21311314285714286</v>
      </c>
      <c r="K109" s="1149">
        <f>(-0.214*(K108^2)-21.991*K108+4665)*(10^(-4))/K101</f>
        <v>0.21311314285714286</v>
      </c>
      <c r="L109" s="1149">
        <f>(-0.214*(L108^2)-21.991*L108+4665)*(10^(-4))/L101</f>
        <v>0.21311314285714286</v>
      </c>
      <c r="M109" s="1149">
        <f>(-0.214*(M108^2)-21.991*M108+4665)*(10^(-4))/M101</f>
        <v>0.21311314285714286</v>
      </c>
      <c r="N109" s="1149">
        <f>(-0.214*(N108^2)-21.991*N108+4665)*(10^(-4))/N101</f>
        <v>0.21311314285714286</v>
      </c>
    </row>
    <row r="110" spans="1:14">
      <c r="A110" s="3405" t="s">
        <v>1641</v>
      </c>
      <c r="B110" s="3405"/>
      <c r="C110" s="3405"/>
      <c r="D110" s="3405"/>
      <c r="E110" s="3405"/>
      <c r="F110" s="3405"/>
      <c r="G110" s="3405"/>
      <c r="H110" s="3405"/>
      <c r="I110" s="3405"/>
      <c r="J110" s="3405"/>
      <c r="K110" s="2476"/>
      <c r="L110" s="2476"/>
      <c r="M110" s="2476"/>
      <c r="N110" s="2476"/>
    </row>
    <row r="112" spans="1:14" ht="12.75" thickBot="1"/>
    <row r="113" spans="1:13" ht="25.5" thickBot="1">
      <c r="A113" s="1019" t="s">
        <v>897</v>
      </c>
      <c r="B113" s="2479">
        <f>G3</f>
        <v>2.1</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0.91379999999999995</v>
      </c>
      <c r="C115" s="1033">
        <f>B115</f>
        <v>0.91379999999999995</v>
      </c>
      <c r="D115" s="1033">
        <f>ROUND(0.8331-0.0109*B113,4)</f>
        <v>0.81020000000000003</v>
      </c>
      <c r="E115" s="1033">
        <f>D115</f>
        <v>0.81020000000000003</v>
      </c>
      <c r="F115" s="1033">
        <f>E115</f>
        <v>0.81020000000000003</v>
      </c>
      <c r="G115" s="1033">
        <f>F115</f>
        <v>0.81020000000000003</v>
      </c>
      <c r="H115" s="1033">
        <f>G115</f>
        <v>0.81020000000000003</v>
      </c>
      <c r="I115" s="1033">
        <f>ROUND(0.689-0.0155*B113,4)</f>
        <v>0.65649999999999997</v>
      </c>
      <c r="J115" s="1033">
        <f t="shared" ref="J115:M118" si="33">I115</f>
        <v>0.65649999999999997</v>
      </c>
      <c r="K115" s="1033">
        <f t="shared" si="33"/>
        <v>0.65649999999999997</v>
      </c>
      <c r="L115" s="1033">
        <f t="shared" si="33"/>
        <v>0.65649999999999997</v>
      </c>
      <c r="M115" s="1034">
        <f t="shared" si="33"/>
        <v>0.65649999999999997</v>
      </c>
    </row>
    <row r="116" spans="1:13" ht="12.75">
      <c r="A116" s="1032" t="s">
        <v>902</v>
      </c>
      <c r="B116" s="1033">
        <f>ROUND(0.949-0.012*B113,4)</f>
        <v>0.92379999999999995</v>
      </c>
      <c r="C116" s="1033">
        <f>B116</f>
        <v>0.92379999999999995</v>
      </c>
      <c r="D116" s="1033">
        <f>ROUND(0.8567-0.013*B113,4)</f>
        <v>0.82940000000000003</v>
      </c>
      <c r="E116" s="1033">
        <f t="shared" ref="E116:H117" si="34">D116</f>
        <v>0.82940000000000003</v>
      </c>
      <c r="F116" s="1033">
        <f t="shared" si="34"/>
        <v>0.82940000000000003</v>
      </c>
      <c r="G116" s="1033">
        <f t="shared" si="34"/>
        <v>0.82940000000000003</v>
      </c>
      <c r="H116" s="1033">
        <f t="shared" si="34"/>
        <v>0.82940000000000003</v>
      </c>
      <c r="I116" s="1033">
        <f>ROUND(0.7694-0.014*B113,4)</f>
        <v>0.74</v>
      </c>
      <c r="J116" s="1033">
        <f t="shared" si="33"/>
        <v>0.74</v>
      </c>
      <c r="K116" s="1033">
        <f t="shared" si="33"/>
        <v>0.74</v>
      </c>
      <c r="L116" s="1033">
        <f t="shared" si="33"/>
        <v>0.74</v>
      </c>
      <c r="M116" s="1034">
        <f t="shared" si="33"/>
        <v>0.74</v>
      </c>
    </row>
    <row r="117" spans="1:13" ht="12.75">
      <c r="A117" s="1035" t="s">
        <v>903</v>
      </c>
      <c r="B117" s="1033">
        <f>ROUND(0.8808-0.006*B113,4)</f>
        <v>0.86819999999999997</v>
      </c>
      <c r="C117" s="1033">
        <f>B117</f>
        <v>0.86819999999999997</v>
      </c>
      <c r="D117" s="1033">
        <f>ROUND(0.8748-0.008*B113,4)</f>
        <v>0.85799999999999998</v>
      </c>
      <c r="E117" s="1033">
        <f t="shared" si="34"/>
        <v>0.85799999999999998</v>
      </c>
      <c r="F117" s="1033">
        <f t="shared" si="34"/>
        <v>0.85799999999999998</v>
      </c>
      <c r="G117" s="1033">
        <f t="shared" si="34"/>
        <v>0.85799999999999998</v>
      </c>
      <c r="H117" s="1033">
        <f t="shared" si="34"/>
        <v>0.85799999999999998</v>
      </c>
      <c r="I117" s="1033">
        <f>ROUND(0.7412-0.0095*B113,4)</f>
        <v>0.72130000000000005</v>
      </c>
      <c r="J117" s="1033">
        <f t="shared" si="33"/>
        <v>0.72130000000000005</v>
      </c>
      <c r="K117" s="1033">
        <f t="shared" si="33"/>
        <v>0.72130000000000005</v>
      </c>
      <c r="L117" s="1033">
        <f t="shared" si="33"/>
        <v>0.72130000000000005</v>
      </c>
      <c r="M117" s="1034">
        <f t="shared" si="33"/>
        <v>0.72130000000000005</v>
      </c>
    </row>
    <row r="118" spans="1:13" ht="13.5" thickBot="1">
      <c r="A118" s="1036" t="s">
        <v>904</v>
      </c>
      <c r="B118" s="1037">
        <f>ROUND(0.7275-0.01*B113,4)</f>
        <v>0.70650000000000002</v>
      </c>
      <c r="C118" s="1037">
        <f>B118</f>
        <v>0.70650000000000002</v>
      </c>
      <c r="D118" s="1037">
        <f>ROUND(0.7043-0.012*B113,4)</f>
        <v>0.67910000000000004</v>
      </c>
      <c r="E118" s="1037">
        <f>D118</f>
        <v>0.67910000000000004</v>
      </c>
      <c r="F118" s="1037">
        <f>E118</f>
        <v>0.67910000000000004</v>
      </c>
      <c r="G118" s="1037">
        <f>ROUND(0.6299-0.0122*B113,4)</f>
        <v>0.60429999999999995</v>
      </c>
      <c r="H118" s="1037">
        <f>G118</f>
        <v>0.60429999999999995</v>
      </c>
      <c r="I118" s="1037">
        <f>ROUND(0.5667-0.0136*B113,4)</f>
        <v>0.53810000000000002</v>
      </c>
      <c r="J118" s="1037">
        <f t="shared" si="33"/>
        <v>0.53810000000000002</v>
      </c>
      <c r="K118" s="1037">
        <f t="shared" si="33"/>
        <v>0.53810000000000002</v>
      </c>
      <c r="L118" s="1037">
        <f t="shared" si="33"/>
        <v>0.53810000000000002</v>
      </c>
      <c r="M118" s="1038">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11" t="s">
        <v>1009</v>
      </c>
      <c r="B18" s="1157" t="s">
        <v>1448</v>
      </c>
      <c r="C18" s="1134" t="s">
        <v>1449</v>
      </c>
      <c r="D18" s="1135"/>
      <c r="E18" s="1157">
        <v>1</v>
      </c>
      <c r="F18" s="1136" t="s">
        <v>1450</v>
      </c>
      <c r="G18" s="1137"/>
      <c r="H18" s="1108"/>
      <c r="I18" s="1108"/>
    </row>
    <row r="19" spans="1:9" s="1603" customFormat="1" ht="19.5" customHeight="1">
      <c r="A19" s="3411"/>
      <c r="B19" s="3411" t="s">
        <v>1451</v>
      </c>
      <c r="C19" s="1134" t="s">
        <v>1452</v>
      </c>
      <c r="D19" s="1135"/>
      <c r="E19" s="1157">
        <v>0.9</v>
      </c>
      <c r="F19" s="1136" t="s">
        <v>1453</v>
      </c>
      <c r="G19" s="1137"/>
      <c r="H19" s="1108"/>
      <c r="I19" s="1108"/>
    </row>
    <row r="20" spans="1:9" s="1603" customFormat="1" ht="19.5" customHeight="1">
      <c r="A20" s="3411"/>
      <c r="B20" s="3411"/>
      <c r="C20" s="1134" t="s">
        <v>1454</v>
      </c>
      <c r="D20" s="1135"/>
      <c r="E20" s="1157">
        <v>1.1000000000000001</v>
      </c>
      <c r="F20" s="1136" t="s">
        <v>1455</v>
      </c>
      <c r="G20" s="1137"/>
      <c r="H20" s="1108"/>
      <c r="I20" s="1108"/>
    </row>
    <row r="21" spans="1:9" s="1603" customFormat="1" ht="19.5" customHeight="1">
      <c r="A21" s="3411"/>
      <c r="B21" s="3411"/>
      <c r="C21" s="1134" t="s">
        <v>1456</v>
      </c>
      <c r="D21" s="1135"/>
      <c r="E21" s="1157">
        <v>0.8</v>
      </c>
      <c r="F21" s="1136" t="s">
        <v>1457</v>
      </c>
      <c r="G21" s="1137"/>
      <c r="H21" s="1108"/>
      <c r="I21" s="1108"/>
    </row>
    <row r="22" spans="1:9" s="1603" customFormat="1" ht="19.5" customHeight="1">
      <c r="A22" s="3411"/>
      <c r="B22" s="3411"/>
      <c r="C22" s="1134" t="s">
        <v>1458</v>
      </c>
      <c r="D22" s="1135"/>
      <c r="E22" s="1157">
        <v>0.5</v>
      </c>
      <c r="F22" s="1136"/>
      <c r="G22" s="1137"/>
      <c r="H22" s="1108"/>
      <c r="I22" s="1108"/>
    </row>
    <row r="23" spans="1:9" s="1603" customFormat="1" ht="19.5" customHeight="1">
      <c r="A23" s="3411" t="s">
        <v>1031</v>
      </c>
      <c r="B23" s="1157" t="s">
        <v>1448</v>
      </c>
      <c r="C23" s="1134" t="s">
        <v>1459</v>
      </c>
      <c r="D23" s="1135"/>
      <c r="E23" s="1157">
        <v>1</v>
      </c>
      <c r="F23" s="1136" t="s">
        <v>1460</v>
      </c>
      <c r="G23" s="1137"/>
      <c r="H23" s="1108"/>
      <c r="I23" s="1108"/>
    </row>
    <row r="24" spans="1:9" s="1603" customFormat="1" ht="19.5" customHeight="1">
      <c r="A24" s="3411"/>
      <c r="B24" s="3411" t="s">
        <v>1451</v>
      </c>
      <c r="C24" s="1134" t="s">
        <v>1461</v>
      </c>
      <c r="D24" s="1135"/>
      <c r="E24" s="1157">
        <v>0.5</v>
      </c>
      <c r="F24" s="1136"/>
      <c r="G24" s="1137"/>
      <c r="H24" s="1108"/>
      <c r="I24" s="1108"/>
    </row>
    <row r="25" spans="1:9" s="1603" customFormat="1" ht="19.5" customHeight="1">
      <c r="A25" s="3411"/>
      <c r="B25" s="3411"/>
      <c r="C25" s="1134" t="s">
        <v>1462</v>
      </c>
      <c r="D25" s="1135"/>
      <c r="E25" s="1157">
        <v>1.1000000000000001</v>
      </c>
      <c r="F25" s="1136"/>
      <c r="G25" s="1137"/>
      <c r="H25" s="1108"/>
      <c r="I25" s="1108"/>
    </row>
    <row r="26" spans="1:9" s="1603" customFormat="1" ht="19.5" customHeight="1">
      <c r="A26" s="3411"/>
      <c r="B26" s="3411"/>
      <c r="C26" s="1134" t="s">
        <v>1463</v>
      </c>
      <c r="D26" s="1135"/>
      <c r="E26" s="1157">
        <v>1.1000000000000001</v>
      </c>
      <c r="F26" s="1136"/>
      <c r="G26" s="1137"/>
      <c r="H26" s="1108"/>
      <c r="I26" s="1108"/>
    </row>
    <row r="27" spans="1:9" s="1603" customFormat="1" ht="19.5" customHeight="1">
      <c r="A27" s="3411"/>
      <c r="B27" s="3411"/>
      <c r="C27" s="1134" t="s">
        <v>1464</v>
      </c>
      <c r="D27" s="1135"/>
      <c r="E27" s="1157">
        <v>0.9</v>
      </c>
      <c r="F27" s="1136" t="s">
        <v>1465</v>
      </c>
      <c r="G27" s="1137"/>
      <c r="H27" s="1108"/>
      <c r="I27" s="1108"/>
    </row>
    <row r="28" spans="1:9" s="1603" customFormat="1" ht="19.5" customHeight="1">
      <c r="A28" s="3411"/>
      <c r="B28" s="3411"/>
      <c r="C28" s="1134" t="s">
        <v>1466</v>
      </c>
      <c r="D28" s="1135"/>
      <c r="E28" s="1157">
        <v>0.9</v>
      </c>
      <c r="F28" s="1136" t="s">
        <v>1467</v>
      </c>
      <c r="G28" s="1137"/>
      <c r="H28" s="1108"/>
      <c r="I28" s="1108"/>
    </row>
    <row r="29" spans="1:9" s="1603" customFormat="1" ht="19.5" customHeight="1">
      <c r="A29" s="3411"/>
      <c r="B29" s="3411"/>
      <c r="C29" s="1134" t="s">
        <v>1468</v>
      </c>
      <c r="D29" s="1135"/>
      <c r="E29" s="1157">
        <v>0.9</v>
      </c>
      <c r="F29" s="1136" t="s">
        <v>1469</v>
      </c>
      <c r="G29" s="1137"/>
      <c r="H29" s="1108"/>
      <c r="I29" s="1108"/>
    </row>
    <row r="30" spans="1:9" s="1603" customFormat="1" ht="19.5" customHeight="1">
      <c r="A30" s="3411"/>
      <c r="B30" s="3411"/>
      <c r="C30" s="1134" t="s">
        <v>1470</v>
      </c>
      <c r="D30" s="1135"/>
      <c r="E30" s="1157">
        <v>0.9</v>
      </c>
      <c r="F30" s="1136" t="s">
        <v>1471</v>
      </c>
      <c r="G30" s="1137"/>
      <c r="H30" s="1108"/>
      <c r="I30" s="1108"/>
    </row>
    <row r="31" spans="1:9" s="1603" customFormat="1" ht="19.5" customHeight="1">
      <c r="A31" s="3411"/>
      <c r="B31" s="3411"/>
      <c r="C31" s="1134" t="s">
        <v>1472</v>
      </c>
      <c r="D31" s="1135"/>
      <c r="E31" s="1157">
        <v>0.8</v>
      </c>
      <c r="F31" s="1136" t="s">
        <v>1473</v>
      </c>
      <c r="G31" s="1137"/>
      <c r="H31" s="1108"/>
      <c r="I31" s="1108"/>
    </row>
    <row r="32" spans="1:9" s="1603" customFormat="1" ht="19.5" customHeight="1">
      <c r="A32" s="3411"/>
      <c r="B32" s="3411"/>
      <c r="C32" s="1134" t="s">
        <v>1474</v>
      </c>
      <c r="D32" s="1135"/>
      <c r="E32" s="1157">
        <v>0.8</v>
      </c>
      <c r="F32" s="1136" t="s">
        <v>1475</v>
      </c>
      <c r="G32" s="1137"/>
      <c r="H32" s="1108"/>
      <c r="I32" s="1108"/>
    </row>
    <row r="33" spans="1:9" s="1603" customFormat="1" ht="19.5" customHeight="1">
      <c r="A33" s="3411" t="s">
        <v>1476</v>
      </c>
      <c r="B33" s="1157" t="s">
        <v>1448</v>
      </c>
      <c r="C33" s="1134" t="s">
        <v>1477</v>
      </c>
      <c r="D33" s="1135"/>
      <c r="E33" s="1157">
        <v>1</v>
      </c>
      <c r="F33" s="1136" t="s">
        <v>1478</v>
      </c>
      <c r="G33" s="1137"/>
      <c r="H33" s="1108"/>
      <c r="I33" s="1108"/>
    </row>
    <row r="34" spans="1:9" s="1603" customFormat="1" ht="19.5" customHeight="1">
      <c r="A34" s="3411"/>
      <c r="B34" s="1157" t="s">
        <v>1451</v>
      </c>
      <c r="C34" s="1134" t="s">
        <v>1479</v>
      </c>
      <c r="D34" s="1135"/>
      <c r="E34" s="1157">
        <v>1.5</v>
      </c>
      <c r="F34" s="1136" t="s">
        <v>1480</v>
      </c>
      <c r="G34" s="1137"/>
      <c r="H34" s="1108"/>
      <c r="I34" s="1108"/>
    </row>
    <row r="35" spans="1:9" s="1603" customFormat="1" ht="19.5" customHeight="1">
      <c r="A35" s="3411" t="s">
        <v>1434</v>
      </c>
      <c r="B35" s="1157" t="s">
        <v>1448</v>
      </c>
      <c r="C35" s="1134" t="s">
        <v>1481</v>
      </c>
      <c r="D35" s="1135"/>
      <c r="E35" s="1157">
        <v>1</v>
      </c>
      <c r="F35" s="1136" t="s">
        <v>1482</v>
      </c>
      <c r="G35" s="1137"/>
      <c r="H35" s="1108"/>
      <c r="I35" s="1108"/>
    </row>
    <row r="36" spans="1:9" s="1603" customFormat="1" ht="19.5" customHeight="1">
      <c r="A36" s="3411"/>
      <c r="B36" s="3411" t="s">
        <v>1451</v>
      </c>
      <c r="C36" s="1134" t="s">
        <v>1483</v>
      </c>
      <c r="D36" s="1135"/>
      <c r="E36" s="1157">
        <v>1</v>
      </c>
      <c r="F36" s="1136" t="s">
        <v>1484</v>
      </c>
      <c r="G36" s="1137"/>
      <c r="H36" s="1108"/>
      <c r="I36" s="1108"/>
    </row>
    <row r="37" spans="1:9" s="1603" customFormat="1" ht="19.5" customHeight="1">
      <c r="A37" s="3411"/>
      <c r="B37" s="3411"/>
      <c r="C37" s="1134" t="s">
        <v>1485</v>
      </c>
      <c r="D37" s="1135"/>
      <c r="E37" s="1157">
        <v>1.5</v>
      </c>
      <c r="F37" s="1136" t="s">
        <v>1486</v>
      </c>
      <c r="G37" s="1137"/>
      <c r="H37" s="1108"/>
      <c r="I37" s="1108"/>
    </row>
    <row r="38" spans="1:9" s="1603" customFormat="1" ht="19.5" customHeight="1">
      <c r="A38" s="3411"/>
      <c r="B38" s="3411"/>
      <c r="C38" s="1134" t="s">
        <v>1487</v>
      </c>
      <c r="D38" s="1135"/>
      <c r="E38" s="1157">
        <v>1</v>
      </c>
      <c r="F38" s="1136" t="s">
        <v>1488</v>
      </c>
      <c r="G38" s="1137"/>
      <c r="H38" s="1108"/>
      <c r="I38" s="1108"/>
    </row>
    <row r="39" spans="1:9" s="1603" customFormat="1" ht="19.5" customHeight="1">
      <c r="A39" s="3411"/>
      <c r="B39" s="3411"/>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11" t="s">
        <v>1503</v>
      </c>
      <c r="C61" s="1071" t="s">
        <v>1504</v>
      </c>
      <c r="D61" s="1071" t="s">
        <v>1505</v>
      </c>
      <c r="E61" s="1142">
        <v>0.5</v>
      </c>
      <c r="F61" s="1157">
        <v>80</v>
      </c>
      <c r="H61" s="1108">
        <f>SUMIF(C59:C119,基准地价!C8,E59:E119)</f>
        <v>0</v>
      </c>
    </row>
    <row r="62" spans="1:8" s="1108" customFormat="1" ht="24">
      <c r="A62" s="1157">
        <v>2</v>
      </c>
      <c r="B62" s="3411"/>
      <c r="C62" s="1071" t="s">
        <v>1506</v>
      </c>
      <c r="D62" s="1071" t="s">
        <v>1507</v>
      </c>
      <c r="E62" s="1142">
        <v>0.5</v>
      </c>
      <c r="F62" s="1157">
        <v>80</v>
      </c>
    </row>
    <row r="63" spans="1:8" s="1108" customFormat="1" ht="36">
      <c r="A63" s="1157">
        <v>3</v>
      </c>
      <c r="B63" s="3411"/>
      <c r="C63" s="1071" t="s">
        <v>1508</v>
      </c>
      <c r="D63" s="1071" t="s">
        <v>1509</v>
      </c>
      <c r="E63" s="1142">
        <v>0.5</v>
      </c>
      <c r="F63" s="1157">
        <v>80</v>
      </c>
    </row>
    <row r="64" spans="1:8" s="1108" customFormat="1" ht="36">
      <c r="A64" s="1157">
        <v>4</v>
      </c>
      <c r="B64" s="3411"/>
      <c r="C64" s="1071" t="s">
        <v>1510</v>
      </c>
      <c r="D64" s="1071" t="s">
        <v>1511</v>
      </c>
      <c r="E64" s="1142">
        <v>0.4</v>
      </c>
      <c r="F64" s="1157">
        <v>60</v>
      </c>
    </row>
    <row r="65" spans="1:6" s="1108" customFormat="1" ht="36">
      <c r="A65" s="1157">
        <v>5</v>
      </c>
      <c r="B65" s="3411"/>
      <c r="C65" s="1071" t="s">
        <v>1512</v>
      </c>
      <c r="D65" s="1071" t="s">
        <v>1513</v>
      </c>
      <c r="E65" s="1142">
        <v>0.2</v>
      </c>
      <c r="F65" s="1157">
        <v>30</v>
      </c>
    </row>
    <row r="66" spans="1:6" s="1108" customFormat="1" ht="36">
      <c r="A66" s="1157">
        <v>6</v>
      </c>
      <c r="B66" s="3411"/>
      <c r="C66" s="1071" t="s">
        <v>1514</v>
      </c>
      <c r="D66" s="1071" t="s">
        <v>1515</v>
      </c>
      <c r="E66" s="1142">
        <v>0.3</v>
      </c>
      <c r="F66" s="1157">
        <v>50</v>
      </c>
    </row>
    <row r="67" spans="1:6" s="1108" customFormat="1" ht="36">
      <c r="A67" s="1157">
        <v>7</v>
      </c>
      <c r="B67" s="3411"/>
      <c r="C67" s="1071" t="s">
        <v>1516</v>
      </c>
      <c r="D67" s="1071" t="s">
        <v>1517</v>
      </c>
      <c r="E67" s="1142">
        <v>0.2</v>
      </c>
      <c r="F67" s="1157">
        <v>30</v>
      </c>
    </row>
    <row r="68" spans="1:6" s="1108" customFormat="1" ht="36">
      <c r="A68" s="1157">
        <v>8</v>
      </c>
      <c r="B68" s="3411"/>
      <c r="C68" s="1071" t="s">
        <v>1518</v>
      </c>
      <c r="D68" s="1071" t="s">
        <v>1519</v>
      </c>
      <c r="E68" s="1142">
        <v>0.2</v>
      </c>
      <c r="F68" s="1157">
        <v>30</v>
      </c>
    </row>
    <row r="69" spans="1:6" s="1108" customFormat="1" ht="36">
      <c r="A69" s="1157">
        <v>9</v>
      </c>
      <c r="B69" s="3411"/>
      <c r="C69" s="1071" t="s">
        <v>1520</v>
      </c>
      <c r="D69" s="1071" t="s">
        <v>1521</v>
      </c>
      <c r="E69" s="1142">
        <v>0.2</v>
      </c>
      <c r="F69" s="1157">
        <v>30</v>
      </c>
    </row>
    <row r="70" spans="1:6" s="1108" customFormat="1" ht="48">
      <c r="A70" s="1157">
        <v>10</v>
      </c>
      <c r="B70" s="3411"/>
      <c r="C70" s="1071" t="s">
        <v>1522</v>
      </c>
      <c r="D70" s="1071" t="s">
        <v>1523</v>
      </c>
      <c r="E70" s="1142">
        <v>0.2</v>
      </c>
      <c r="F70" s="1157">
        <v>30</v>
      </c>
    </row>
    <row r="71" spans="1:6" s="1108" customFormat="1" ht="48">
      <c r="A71" s="1157">
        <v>11</v>
      </c>
      <c r="B71" s="3411"/>
      <c r="C71" s="1071" t="s">
        <v>1524</v>
      </c>
      <c r="D71" s="1071" t="s">
        <v>1525</v>
      </c>
      <c r="E71" s="1142">
        <v>0.2</v>
      </c>
      <c r="F71" s="1157">
        <v>30</v>
      </c>
    </row>
    <row r="72" spans="1:6" s="1108" customFormat="1" ht="36">
      <c r="A72" s="1157">
        <v>12</v>
      </c>
      <c r="B72" s="3411"/>
      <c r="C72" s="1071" t="s">
        <v>1526</v>
      </c>
      <c r="D72" s="1071" t="s">
        <v>1527</v>
      </c>
      <c r="E72" s="1142">
        <v>0.5</v>
      </c>
      <c r="F72" s="1157">
        <v>80</v>
      </c>
    </row>
    <row r="73" spans="1:6" s="1108" customFormat="1" ht="24">
      <c r="A73" s="1157">
        <v>13</v>
      </c>
      <c r="B73" s="3411"/>
      <c r="C73" s="1071" t="s">
        <v>1528</v>
      </c>
      <c r="D73" s="1071" t="s">
        <v>1529</v>
      </c>
      <c r="E73" s="1142">
        <v>0.4</v>
      </c>
      <c r="F73" s="1157">
        <v>60</v>
      </c>
    </row>
    <row r="74" spans="1:6" s="1108" customFormat="1" ht="24">
      <c r="A74" s="1157">
        <v>14</v>
      </c>
      <c r="B74" s="3411"/>
      <c r="C74" s="1071" t="s">
        <v>1530</v>
      </c>
      <c r="D74" s="1071" t="s">
        <v>1531</v>
      </c>
      <c r="E74" s="1142">
        <v>0.2</v>
      </c>
      <c r="F74" s="1157">
        <v>30</v>
      </c>
    </row>
    <row r="75" spans="1:6" s="1108" customFormat="1" ht="24">
      <c r="A75" s="1157">
        <v>15</v>
      </c>
      <c r="B75" s="3411"/>
      <c r="C75" s="1071" t="s">
        <v>1532</v>
      </c>
      <c r="D75" s="1071" t="s">
        <v>1533</v>
      </c>
      <c r="E75" s="1142">
        <v>0.2</v>
      </c>
      <c r="F75" s="1157">
        <v>30</v>
      </c>
    </row>
    <row r="76" spans="1:6" s="1108" customFormat="1" ht="24">
      <c r="A76" s="1157">
        <v>16</v>
      </c>
      <c r="B76" s="3411" t="s">
        <v>1534</v>
      </c>
      <c r="C76" s="1071" t="s">
        <v>1535</v>
      </c>
      <c r="D76" s="1071" t="s">
        <v>1536</v>
      </c>
      <c r="E76" s="1142">
        <v>0.5</v>
      </c>
      <c r="F76" s="1157">
        <v>80</v>
      </c>
    </row>
    <row r="77" spans="1:6" s="1108" customFormat="1" ht="24">
      <c r="A77" s="1157">
        <v>17</v>
      </c>
      <c r="B77" s="3411"/>
      <c r="C77" s="1071" t="s">
        <v>1537</v>
      </c>
      <c r="D77" s="1071" t="s">
        <v>1538</v>
      </c>
      <c r="E77" s="1142">
        <v>0.5</v>
      </c>
      <c r="F77" s="1157">
        <v>80</v>
      </c>
    </row>
    <row r="78" spans="1:6" s="1108" customFormat="1" ht="24">
      <c r="A78" s="1157">
        <v>18</v>
      </c>
      <c r="B78" s="3411"/>
      <c r="C78" s="1071" t="s">
        <v>1539</v>
      </c>
      <c r="D78" s="1071" t="s">
        <v>1540</v>
      </c>
      <c r="E78" s="1142">
        <v>0.2</v>
      </c>
      <c r="F78" s="1157">
        <v>30</v>
      </c>
    </row>
    <row r="79" spans="1:6" s="1108" customFormat="1" ht="24">
      <c r="A79" s="1157">
        <v>19</v>
      </c>
      <c r="B79" s="3411"/>
      <c r="C79" s="1071" t="s">
        <v>1541</v>
      </c>
      <c r="D79" s="1071" t="s">
        <v>1542</v>
      </c>
      <c r="E79" s="1142">
        <v>0.5</v>
      </c>
      <c r="F79" s="1157">
        <v>80</v>
      </c>
    </row>
    <row r="80" spans="1:6" s="1108" customFormat="1" ht="36">
      <c r="A80" s="1157">
        <v>20</v>
      </c>
      <c r="B80" s="3411"/>
      <c r="C80" s="1071" t="s">
        <v>1543</v>
      </c>
      <c r="D80" s="1071" t="s">
        <v>1544</v>
      </c>
      <c r="E80" s="1142">
        <v>0.2</v>
      </c>
      <c r="F80" s="1157">
        <v>30</v>
      </c>
    </row>
    <row r="81" spans="1:6" s="1108" customFormat="1" ht="36">
      <c r="A81" s="1157">
        <v>21</v>
      </c>
      <c r="B81" s="3411"/>
      <c r="C81" s="1071" t="s">
        <v>1545</v>
      </c>
      <c r="D81" s="1071" t="s">
        <v>1546</v>
      </c>
      <c r="E81" s="1142">
        <v>0.2</v>
      </c>
      <c r="F81" s="1157">
        <v>30</v>
      </c>
    </row>
    <row r="82" spans="1:6" s="1108" customFormat="1" ht="48">
      <c r="A82" s="1157">
        <v>22</v>
      </c>
      <c r="B82" s="3411"/>
      <c r="C82" s="1071" t="s">
        <v>1547</v>
      </c>
      <c r="D82" s="1071" t="s">
        <v>1548</v>
      </c>
      <c r="E82" s="1142">
        <v>0.2</v>
      </c>
      <c r="F82" s="1157">
        <v>30</v>
      </c>
    </row>
    <row r="83" spans="1:6" s="1108" customFormat="1" ht="48">
      <c r="A83" s="1157">
        <v>23</v>
      </c>
      <c r="B83" s="3411"/>
      <c r="C83" s="1071" t="s">
        <v>1549</v>
      </c>
      <c r="D83" s="1071" t="s">
        <v>1550</v>
      </c>
      <c r="E83" s="1142">
        <v>0.2</v>
      </c>
      <c r="F83" s="1157">
        <v>30</v>
      </c>
    </row>
    <row r="84" spans="1:6" s="1108" customFormat="1" ht="36">
      <c r="A84" s="1157">
        <v>24</v>
      </c>
      <c r="B84" s="3411"/>
      <c r="C84" s="1071" t="s">
        <v>1551</v>
      </c>
      <c r="D84" s="1071" t="s">
        <v>1552</v>
      </c>
      <c r="E84" s="1142">
        <v>0.2</v>
      </c>
      <c r="F84" s="1157">
        <v>30</v>
      </c>
    </row>
    <row r="85" spans="1:6" s="1108" customFormat="1" ht="36">
      <c r="A85" s="1157">
        <v>25</v>
      </c>
      <c r="B85" s="3411"/>
      <c r="C85" s="1071" t="s">
        <v>1553</v>
      </c>
      <c r="D85" s="1071" t="s">
        <v>1554</v>
      </c>
      <c r="E85" s="1142">
        <v>0.5</v>
      </c>
      <c r="F85" s="1157">
        <v>80</v>
      </c>
    </row>
    <row r="86" spans="1:6" s="1108" customFormat="1" ht="36">
      <c r="A86" s="1157">
        <v>26</v>
      </c>
      <c r="B86" s="3411"/>
      <c r="C86" s="1071" t="s">
        <v>1555</v>
      </c>
      <c r="D86" s="1071" t="s">
        <v>1556</v>
      </c>
      <c r="E86" s="1142">
        <v>0.2</v>
      </c>
      <c r="F86" s="1157">
        <v>30</v>
      </c>
    </row>
    <row r="87" spans="1:6" s="1108" customFormat="1" ht="36">
      <c r="A87" s="1157">
        <v>27</v>
      </c>
      <c r="B87" s="3411"/>
      <c r="C87" s="1071" t="s">
        <v>1557</v>
      </c>
      <c r="D87" s="1071" t="s">
        <v>1558</v>
      </c>
      <c r="E87" s="1142">
        <v>0.2</v>
      </c>
      <c r="F87" s="1157">
        <v>30</v>
      </c>
    </row>
    <row r="88" spans="1:6" s="1108" customFormat="1" ht="36">
      <c r="A88" s="1157">
        <v>28</v>
      </c>
      <c r="B88" s="3411"/>
      <c r="C88" s="1071" t="s">
        <v>1559</v>
      </c>
      <c r="D88" s="1071" t="s">
        <v>1560</v>
      </c>
      <c r="E88" s="1142">
        <v>0.2</v>
      </c>
      <c r="F88" s="1157">
        <v>30</v>
      </c>
    </row>
    <row r="89" spans="1:6" s="1108" customFormat="1" ht="24">
      <c r="A89" s="1157">
        <v>29</v>
      </c>
      <c r="B89" s="3411"/>
      <c r="C89" s="1071" t="s">
        <v>1561</v>
      </c>
      <c r="D89" s="1071" t="s">
        <v>1562</v>
      </c>
      <c r="E89" s="1142">
        <v>0.2</v>
      </c>
      <c r="F89" s="1157">
        <v>30</v>
      </c>
    </row>
    <row r="90" spans="1:6" s="1108" customFormat="1" ht="24">
      <c r="A90" s="1157">
        <v>30</v>
      </c>
      <c r="B90" s="3411"/>
      <c r="C90" s="1071" t="s">
        <v>1563</v>
      </c>
      <c r="D90" s="1071" t="s">
        <v>1564</v>
      </c>
      <c r="E90" s="1142">
        <v>0.2</v>
      </c>
      <c r="F90" s="1157">
        <v>30</v>
      </c>
    </row>
    <row r="91" spans="1:6" s="1108" customFormat="1" ht="36">
      <c r="A91" s="1157">
        <v>31</v>
      </c>
      <c r="B91" s="3411"/>
      <c r="C91" s="1071" t="s">
        <v>1565</v>
      </c>
      <c r="D91" s="1071" t="s">
        <v>1566</v>
      </c>
      <c r="E91" s="1142">
        <v>0.2</v>
      </c>
      <c r="F91" s="1157">
        <v>30</v>
      </c>
    </row>
    <row r="92" spans="1:6" s="1108" customFormat="1" ht="24">
      <c r="A92" s="1157">
        <v>32</v>
      </c>
      <c r="B92" s="3411" t="s">
        <v>1567</v>
      </c>
      <c r="C92" s="1157" t="s">
        <v>1568</v>
      </c>
      <c r="D92" s="1071" t="s">
        <v>1569</v>
      </c>
      <c r="E92" s="1142">
        <v>0.2</v>
      </c>
      <c r="F92" s="1157">
        <v>30</v>
      </c>
    </row>
    <row r="93" spans="1:6" s="1108" customFormat="1" ht="36">
      <c r="A93" s="1157">
        <v>33</v>
      </c>
      <c r="B93" s="3411"/>
      <c r="C93" s="1157" t="s">
        <v>1570</v>
      </c>
      <c r="D93" s="1071" t="s">
        <v>1571</v>
      </c>
      <c r="E93" s="1142">
        <v>0.2</v>
      </c>
      <c r="F93" s="1157">
        <v>30</v>
      </c>
    </row>
    <row r="94" spans="1:6" s="1108" customFormat="1" ht="48">
      <c r="A94" s="1157">
        <v>34</v>
      </c>
      <c r="B94" s="3411"/>
      <c r="C94" s="1157" t="s">
        <v>1572</v>
      </c>
      <c r="D94" s="1071" t="s">
        <v>1573</v>
      </c>
      <c r="E94" s="1142">
        <v>0.2</v>
      </c>
      <c r="F94" s="1157">
        <v>30</v>
      </c>
    </row>
    <row r="95" spans="1:6" s="1108" customFormat="1" ht="36">
      <c r="A95" s="1157">
        <v>35</v>
      </c>
      <c r="B95" s="3411"/>
      <c r="C95" s="1157" t="s">
        <v>1574</v>
      </c>
      <c r="D95" s="1071" t="s">
        <v>1575</v>
      </c>
      <c r="E95" s="1142">
        <v>0.2</v>
      </c>
      <c r="F95" s="1157">
        <v>30</v>
      </c>
    </row>
    <row r="96" spans="1:6" s="1108" customFormat="1" ht="48">
      <c r="A96" s="1157">
        <v>36</v>
      </c>
      <c r="B96" s="3411"/>
      <c r="C96" s="1071" t="s">
        <v>1576</v>
      </c>
      <c r="D96" s="1071" t="s">
        <v>1577</v>
      </c>
      <c r="E96" s="1142">
        <v>0.2</v>
      </c>
      <c r="F96" s="1157">
        <v>30</v>
      </c>
    </row>
    <row r="97" spans="1:6" s="1108" customFormat="1" ht="36">
      <c r="A97" s="1157">
        <v>37</v>
      </c>
      <c r="B97" s="3411"/>
      <c r="C97" s="1157" t="s">
        <v>1578</v>
      </c>
      <c r="D97" s="1071" t="s">
        <v>1579</v>
      </c>
      <c r="E97" s="1142">
        <v>0.2</v>
      </c>
      <c r="F97" s="1157">
        <v>30</v>
      </c>
    </row>
    <row r="98" spans="1:6" s="1108" customFormat="1" ht="36">
      <c r="A98" s="1157">
        <v>38</v>
      </c>
      <c r="B98" s="3411"/>
      <c r="C98" s="1157" t="s">
        <v>1580</v>
      </c>
      <c r="D98" s="1071" t="s">
        <v>1581</v>
      </c>
      <c r="E98" s="1142">
        <v>0.2</v>
      </c>
      <c r="F98" s="1157">
        <v>30</v>
      </c>
    </row>
    <row r="99" spans="1:6" s="1108" customFormat="1" ht="36">
      <c r="A99" s="1157">
        <v>39</v>
      </c>
      <c r="B99" s="3411" t="s">
        <v>1582</v>
      </c>
      <c r="C99" s="1157" t="s">
        <v>1583</v>
      </c>
      <c r="D99" s="1071" t="s">
        <v>1584</v>
      </c>
      <c r="E99" s="1142">
        <v>0.3</v>
      </c>
      <c r="F99" s="1157">
        <v>50</v>
      </c>
    </row>
    <row r="100" spans="1:6" s="1108" customFormat="1" ht="24">
      <c r="A100" s="1157">
        <v>40</v>
      </c>
      <c r="B100" s="3411"/>
      <c r="C100" s="1157" t="s">
        <v>1585</v>
      </c>
      <c r="D100" s="1071" t="s">
        <v>1586</v>
      </c>
      <c r="E100" s="1142">
        <v>0.2</v>
      </c>
      <c r="F100" s="1157">
        <v>30</v>
      </c>
    </row>
    <row r="101" spans="1:6" s="1108" customFormat="1" ht="36">
      <c r="A101" s="1157">
        <v>41</v>
      </c>
      <c r="B101" s="3411"/>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11" t="s">
        <v>1597</v>
      </c>
      <c r="C105" s="1157" t="s">
        <v>1598</v>
      </c>
      <c r="D105" s="1071" t="s">
        <v>1599</v>
      </c>
      <c r="E105" s="1142">
        <v>0.2</v>
      </c>
      <c r="F105" s="1157">
        <v>30</v>
      </c>
    </row>
    <row r="106" spans="1:6" s="1108" customFormat="1" ht="36">
      <c r="A106" s="1157">
        <v>46</v>
      </c>
      <c r="B106" s="3411"/>
      <c r="C106" s="1157" t="s">
        <v>1600</v>
      </c>
      <c r="D106" s="1071" t="s">
        <v>1601</v>
      </c>
      <c r="E106" s="1142">
        <v>0.2</v>
      </c>
      <c r="F106" s="1157">
        <v>30</v>
      </c>
    </row>
    <row r="107" spans="1:6" s="1108" customFormat="1" ht="36">
      <c r="A107" s="1157">
        <v>47</v>
      </c>
      <c r="B107" s="3411" t="s">
        <v>1602</v>
      </c>
      <c r="C107" s="1157" t="s">
        <v>1603</v>
      </c>
      <c r="D107" s="1071" t="s">
        <v>1604</v>
      </c>
      <c r="E107" s="1142">
        <v>0.3</v>
      </c>
      <c r="F107" s="1157">
        <v>50</v>
      </c>
    </row>
    <row r="108" spans="1:6" s="1108" customFormat="1" ht="36">
      <c r="A108" s="1157">
        <v>48</v>
      </c>
      <c r="B108" s="3411"/>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11" t="s">
        <v>1613</v>
      </c>
      <c r="C111" s="1157" t="s">
        <v>1614</v>
      </c>
      <c r="D111" s="1071" t="s">
        <v>1615</v>
      </c>
      <c r="E111" s="1142">
        <v>0.2</v>
      </c>
      <c r="F111" s="1157">
        <v>30</v>
      </c>
    </row>
    <row r="112" spans="1:6" s="1108" customFormat="1" ht="24">
      <c r="A112" s="1157">
        <v>52</v>
      </c>
      <c r="B112" s="3411"/>
      <c r="C112" s="1157" t="s">
        <v>1616</v>
      </c>
      <c r="D112" s="1071" t="s">
        <v>1617</v>
      </c>
      <c r="E112" s="1142">
        <v>0.2</v>
      </c>
      <c r="F112" s="1157">
        <v>30</v>
      </c>
    </row>
    <row r="113" spans="1:14" s="1108" customFormat="1" ht="24">
      <c r="A113" s="1157">
        <v>53</v>
      </c>
      <c r="B113" s="3411"/>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11" t="s">
        <v>1626</v>
      </c>
      <c r="C116" s="1157" t="s">
        <v>1627</v>
      </c>
      <c r="D116" s="1071" t="s">
        <v>1628</v>
      </c>
      <c r="E116" s="1142">
        <v>0.2</v>
      </c>
      <c r="F116" s="1157">
        <v>30</v>
      </c>
    </row>
    <row r="117" spans="1:14" ht="36">
      <c r="A117" s="1157">
        <v>57</v>
      </c>
      <c r="B117" s="3411"/>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10" t="s">
        <v>1635</v>
      </c>
      <c r="B121" s="3410"/>
      <c r="C121" s="3410"/>
      <c r="D121" s="3410"/>
      <c r="E121" s="3410"/>
      <c r="F121" s="3410"/>
      <c r="G121" s="3410"/>
      <c r="H121" s="3410"/>
      <c r="I121" s="3410"/>
      <c r="J121" s="341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5" t="s">
        <v>1041</v>
      </c>
      <c r="B1" s="3415"/>
      <c r="C1" s="3415"/>
      <c r="D1" s="3415"/>
      <c r="E1" s="3415"/>
      <c r="F1" s="3415"/>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16" t="s">
        <v>1054</v>
      </c>
      <c r="B2" s="3416"/>
      <c r="C2" s="3416"/>
      <c r="D2" s="3416"/>
      <c r="E2" s="3416"/>
      <c r="F2" s="3416"/>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17"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18"/>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2426</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2427</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19" t="s">
        <v>2083</v>
      </c>
      <c r="B1" s="3419"/>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2959</v>
      </c>
      <c r="B1" s="3142"/>
      <c r="C1" s="3142"/>
      <c r="D1" s="3142"/>
      <c r="E1" s="3142"/>
      <c r="F1" s="3142"/>
    </row>
    <row r="2" spans="1:6" ht="14.25">
      <c r="A2" s="3143" t="s">
        <v>2953</v>
      </c>
      <c r="B2" s="3144" t="e">
        <f ca="1">SUMIF(B7:B14,"&lt;&gt;#ref!",B7:B14)</f>
        <v>#DIV/0!</v>
      </c>
      <c r="C2" s="3143" t="s">
        <v>2954</v>
      </c>
      <c r="D2" s="3142"/>
      <c r="E2" s="3142"/>
      <c r="F2" s="3142"/>
    </row>
    <row r="3" spans="1:6" ht="14.25">
      <c r="A3" s="3143" t="s">
        <v>2956</v>
      </c>
      <c r="B3" s="3144" t="e">
        <f ca="1">ROUND(B2*10000/E3,0)</f>
        <v>#DIV/0!</v>
      </c>
      <c r="C3" s="3143" t="s">
        <v>2082</v>
      </c>
      <c r="D3" s="3143" t="s">
        <v>2955</v>
      </c>
      <c r="E3" s="3144" t="e">
        <f ca="1">SUM(E7:E14)</f>
        <v>#REF!</v>
      </c>
      <c r="F3" s="3142"/>
    </row>
    <row r="4" spans="1:6" ht="14.25">
      <c r="A4" s="3143" t="s">
        <v>2963</v>
      </c>
      <c r="B4" s="3144" t="e">
        <f ca="1">ROUND(B2*10000/E4,0)</f>
        <v>#DIV/0!</v>
      </c>
      <c r="C4" s="3143" t="s">
        <v>2082</v>
      </c>
      <c r="D4" s="3143" t="s">
        <v>2964</v>
      </c>
      <c r="E4" s="3144" t="e">
        <f ca="1">SUM(F7:F14)</f>
        <v>#REF!</v>
      </c>
      <c r="F4" s="3142"/>
    </row>
    <row r="5" spans="1:6" ht="14.25">
      <c r="A5" s="3145"/>
      <c r="B5" s="1885"/>
      <c r="C5" s="1885"/>
      <c r="D5" s="1885"/>
      <c r="E5" s="1885"/>
      <c r="F5" s="3142"/>
    </row>
    <row r="6" spans="1:6" ht="28.5">
      <c r="A6" s="3146" t="s">
        <v>2960</v>
      </c>
      <c r="B6" s="3143" t="s">
        <v>2957</v>
      </c>
      <c r="C6" s="3144"/>
      <c r="D6" s="1885"/>
      <c r="E6" s="3143" t="s">
        <v>2958</v>
      </c>
      <c r="F6" s="3143" t="s">
        <v>2962</v>
      </c>
    </row>
    <row r="7" spans="1:6" ht="14.25">
      <c r="A7" s="260" t="s">
        <v>2961</v>
      </c>
      <c r="B7" s="3147" t="e">
        <f ca="1">SUMIF(INDIRECT("'"&amp;A7&amp;"'"&amp;"!A:A"),"总价",INDIRECT("'"&amp;A7&amp;"'"&amp;"!B:B"))</f>
        <v>#DIV/0!</v>
      </c>
      <c r="C7" s="3143" t="s">
        <v>2954</v>
      </c>
      <c r="D7" s="1885"/>
      <c r="E7" s="3148">
        <f ca="1">SUMIF(INDIRECT("'"&amp;A7&amp;"'"&amp;"!C:C"),"建筑面积",INDIRECT("'"&amp;A7&amp;"'"&amp;"!D:D"))</f>
        <v>0</v>
      </c>
      <c r="F7" s="3148">
        <f ca="1">SUMIF(INDIRECT("'"&amp;A7&amp;"'"&amp;"!E:E"),"土地面积",INDIRECT("'"&amp;A7&amp;"'"&amp;"!F:F"))</f>
        <v>0</v>
      </c>
    </row>
    <row r="8" spans="1:6" ht="14.25">
      <c r="A8" s="260"/>
      <c r="B8" s="3147" t="e">
        <f t="shared" ref="B8:B14" ca="1" si="0">SUMIF(INDIRECT("'"&amp;A8&amp;"'"&amp;"!A:A"),"总价",INDIRECT("'"&amp;A8&amp;"'"&amp;"!B:B"))</f>
        <v>#REF!</v>
      </c>
      <c r="C8" s="3143" t="s">
        <v>2954</v>
      </c>
      <c r="D8" s="1885"/>
      <c r="E8" s="3148" t="e">
        <f t="shared" ref="E8:E14" ca="1" si="1">SUMIF(INDIRECT("'"&amp;A8&amp;"'"&amp;"!C:C"),"建筑面积",INDIRECT("'"&amp;A8&amp;"'"&amp;"!D:D"))</f>
        <v>#REF!</v>
      </c>
      <c r="F8" s="3148" t="e">
        <f t="shared" ref="F8:F14" ca="1" si="2">SUMIF(INDIRECT("'"&amp;A8&amp;"'"&amp;"!E:E"),"土地面积",INDIRECT("'"&amp;A8&amp;"'"&amp;"!F:F"))</f>
        <v>#REF!</v>
      </c>
    </row>
    <row r="9" spans="1:6" ht="14.25">
      <c r="A9" s="260"/>
      <c r="B9" s="3147" t="e">
        <f t="shared" ca="1" si="0"/>
        <v>#REF!</v>
      </c>
      <c r="C9" s="3143" t="s">
        <v>2954</v>
      </c>
      <c r="D9" s="1885"/>
      <c r="E9" s="3148" t="e">
        <f t="shared" ca="1" si="1"/>
        <v>#REF!</v>
      </c>
      <c r="F9" s="3148" t="e">
        <f t="shared" ca="1" si="2"/>
        <v>#REF!</v>
      </c>
    </row>
    <row r="10" spans="1:6" ht="14.25">
      <c r="A10" s="260"/>
      <c r="B10" s="3147" t="e">
        <f t="shared" ca="1" si="0"/>
        <v>#REF!</v>
      </c>
      <c r="C10" s="3143" t="s">
        <v>2954</v>
      </c>
      <c r="D10" s="1885"/>
      <c r="E10" s="3148" t="e">
        <f t="shared" ca="1" si="1"/>
        <v>#REF!</v>
      </c>
      <c r="F10" s="3148" t="e">
        <f t="shared" ca="1" si="2"/>
        <v>#REF!</v>
      </c>
    </row>
    <row r="11" spans="1:6" ht="14.25">
      <c r="A11" s="260"/>
      <c r="B11" s="3147" t="e">
        <f t="shared" ca="1" si="0"/>
        <v>#REF!</v>
      </c>
      <c r="C11" s="3143" t="s">
        <v>2954</v>
      </c>
      <c r="D11" s="1885"/>
      <c r="E11" s="3148" t="e">
        <f t="shared" ca="1" si="1"/>
        <v>#REF!</v>
      </c>
      <c r="F11" s="3148" t="e">
        <f t="shared" ca="1" si="2"/>
        <v>#REF!</v>
      </c>
    </row>
    <row r="12" spans="1:6" ht="14.25">
      <c r="A12" s="260"/>
      <c r="B12" s="3147" t="e">
        <f t="shared" ca="1" si="0"/>
        <v>#REF!</v>
      </c>
      <c r="C12" s="3143" t="s">
        <v>2954</v>
      </c>
      <c r="D12" s="1885"/>
      <c r="E12" s="3148" t="e">
        <f t="shared" ca="1" si="1"/>
        <v>#REF!</v>
      </c>
      <c r="F12" s="3148" t="e">
        <f t="shared" ca="1" si="2"/>
        <v>#REF!</v>
      </c>
    </row>
    <row r="13" spans="1:6" ht="14.25">
      <c r="A13" s="260"/>
      <c r="B13" s="3147" t="e">
        <f t="shared" ca="1" si="0"/>
        <v>#REF!</v>
      </c>
      <c r="C13" s="3143" t="s">
        <v>2954</v>
      </c>
      <c r="D13" s="1885"/>
      <c r="E13" s="3148" t="e">
        <f t="shared" ca="1" si="1"/>
        <v>#REF!</v>
      </c>
      <c r="F13" s="3148" t="e">
        <f t="shared" ca="1" si="2"/>
        <v>#REF!</v>
      </c>
    </row>
    <row r="14" spans="1:6" ht="14.25">
      <c r="A14" s="3141"/>
      <c r="B14" s="3147" t="e">
        <f t="shared" ca="1" si="0"/>
        <v>#REF!</v>
      </c>
      <c r="C14" s="3143" t="s">
        <v>2954</v>
      </c>
      <c r="D14" s="1885"/>
      <c r="E14" s="3148" t="e">
        <f t="shared" ca="1" si="1"/>
        <v>#REF!</v>
      </c>
      <c r="F14" s="314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2378</v>
      </c>
      <c r="F1" s="2416">
        <f ca="1">J54</f>
        <v>0</v>
      </c>
      <c r="G1" s="777">
        <f>MATCH(C1,'数据-取费表'!A6:A16,0)+5</f>
        <v>7</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6"/>
      <c r="I2" s="2061"/>
      <c r="J2" s="2061"/>
      <c r="K2" s="2062"/>
      <c r="L2" s="2061"/>
      <c r="M2" s="2061"/>
    </row>
    <row r="3" spans="1:25" ht="18" customHeight="1">
      <c r="A3" s="1649" t="s">
        <v>1688</v>
      </c>
      <c r="B3" s="1395">
        <f ca="1">ROUND(B2*10000/'数据-汇总表'!E3,0)</f>
        <v>0</v>
      </c>
      <c r="C3" s="1354"/>
      <c r="D3" s="2059"/>
      <c r="E3" s="2060"/>
      <c r="F3" s="2060"/>
      <c r="G3" s="1594"/>
      <c r="H3" s="779" t="s">
        <v>696</v>
      </c>
      <c r="I3" s="2061"/>
      <c r="J3" s="2061"/>
      <c r="K3" s="2062"/>
      <c r="L3" s="2061"/>
      <c r="M3" s="2061"/>
    </row>
    <row r="4" spans="1:25" ht="18" customHeight="1">
      <c r="A4" s="1650" t="s">
        <v>697</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698</v>
      </c>
      <c r="D5" s="2059"/>
      <c r="E5" s="2060"/>
      <c r="F5" s="2060"/>
      <c r="G5" s="1594"/>
      <c r="H5" s="779"/>
      <c r="I5" s="2061"/>
      <c r="J5" s="2061"/>
      <c r="K5" s="2062"/>
      <c r="L5" s="2061"/>
      <c r="M5" s="2061"/>
    </row>
    <row r="6" spans="1:25" ht="18" customHeight="1">
      <c r="A6" s="1832" t="s">
        <v>699</v>
      </c>
      <c r="B6" s="1824" t="s">
        <v>700</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2463</v>
      </c>
      <c r="C7" s="53">
        <f ca="1">C8+C12+C14</f>
        <v>0</v>
      </c>
      <c r="D7" s="2524" t="s">
        <v>2466</v>
      </c>
      <c r="E7" s="2518"/>
      <c r="F7" s="2519"/>
      <c r="G7" s="1596"/>
      <c r="H7" s="784">
        <v>1</v>
      </c>
      <c r="I7" s="785" t="s">
        <v>2463</v>
      </c>
      <c r="J7" s="53">
        <f ca="1">J8+J12+J14</f>
        <v>0</v>
      </c>
      <c r="K7" s="2524" t="s">
        <v>2466</v>
      </c>
      <c r="L7" s="2518"/>
      <c r="M7" s="2519"/>
    </row>
    <row r="8" spans="1:25" ht="18" customHeight="1">
      <c r="A8" s="1834" t="s">
        <v>1826</v>
      </c>
      <c r="B8" s="3421" t="s">
        <v>2468</v>
      </c>
      <c r="C8" s="1829">
        <f ca="1">ROUND(F8*F10*F9*(1-F11)/10000,0)</f>
        <v>0</v>
      </c>
      <c r="D8" s="1826" t="s">
        <v>2540</v>
      </c>
      <c r="E8" s="61" t="s">
        <v>638</v>
      </c>
      <c r="F8" s="788">
        <f ca="1">INDIRECT("'数据-取费表'!u"&amp;$G$1)</f>
        <v>0</v>
      </c>
      <c r="G8" s="1596"/>
      <c r="H8" s="2532" t="s">
        <v>1826</v>
      </c>
      <c r="I8" s="3421" t="s">
        <v>2468</v>
      </c>
      <c r="J8" s="786">
        <f ca="1">ROUND(M8*M10*M9*(1-M11)/10000,0)</f>
        <v>0</v>
      </c>
      <c r="K8" s="344" t="s">
        <v>2540</v>
      </c>
      <c r="L8" s="787" t="s">
        <v>1740</v>
      </c>
      <c r="M8" s="788">
        <f ca="1">INDIRECT("'数据-取费表'!z"&amp;$G$1)</f>
        <v>0</v>
      </c>
    </row>
    <row r="9" spans="1:25" ht="18" customHeight="1">
      <c r="A9" s="2528"/>
      <c r="B9" s="3422"/>
      <c r="C9" s="1830"/>
      <c r="D9" s="1827"/>
      <c r="E9" s="61" t="s">
        <v>639</v>
      </c>
      <c r="F9" s="788">
        <f ca="1">IF(INDIRECT("'数据-取费表'!ah"&amp;$G$1)="",INDIRECT("'数据-取费表'!k"&amp;$G$1),INDIRECT("'数据-取费表'!ah"&amp;$G$1))</f>
        <v>0</v>
      </c>
      <c r="G9" s="1596"/>
      <c r="H9" s="2517"/>
      <c r="I9" s="3422"/>
      <c r="J9" s="791"/>
      <c r="K9" s="792"/>
      <c r="L9" s="787" t="s">
        <v>1741</v>
      </c>
      <c r="M9" s="788">
        <f ca="1">F9</f>
        <v>0</v>
      </c>
    </row>
    <row r="10" spans="1:25" ht="18" customHeight="1">
      <c r="A10" s="2521"/>
      <c r="B10" s="3423"/>
      <c r="C10" s="1830"/>
      <c r="D10" s="1827"/>
      <c r="E10" s="61" t="s">
        <v>640</v>
      </c>
      <c r="F10" s="788">
        <f ca="1">INDIRECT("'数据-取费表'!ai"&amp;$G$1)</f>
        <v>0</v>
      </c>
      <c r="G10" s="1596"/>
      <c r="H10" s="2517"/>
      <c r="I10" s="3423"/>
      <c r="J10" s="791"/>
      <c r="K10" s="792"/>
      <c r="L10" s="787" t="s">
        <v>1742</v>
      </c>
      <c r="M10" s="788">
        <f ca="1">INDIRECT("'数据-取费表'!ai"&amp;$G$1)</f>
        <v>0</v>
      </c>
    </row>
    <row r="11" spans="1:25" ht="18" customHeight="1">
      <c r="A11" s="789"/>
      <c r="B11" s="3424"/>
      <c r="C11" s="1830"/>
      <c r="D11" s="1827"/>
      <c r="E11" s="61" t="s">
        <v>641</v>
      </c>
      <c r="F11" s="797">
        <f ca="1">INDIRECT("'数据-取费表'!w"&amp;$G$1)</f>
        <v>0</v>
      </c>
      <c r="G11" s="1596"/>
      <c r="H11" s="2533"/>
      <c r="I11" s="3423"/>
      <c r="J11" s="791"/>
      <c r="K11" s="792"/>
      <c r="L11" s="798" t="s">
        <v>1743</v>
      </c>
      <c r="M11" s="799">
        <f ca="1">INDIRECT("'数据-取费表'!ab"&amp;$G$1)</f>
        <v>0</v>
      </c>
    </row>
    <row r="12" spans="1:25" ht="18" customHeight="1">
      <c r="A12" s="1834" t="s">
        <v>1827</v>
      </c>
      <c r="B12" s="2522" t="s">
        <v>2464</v>
      </c>
      <c r="C12" s="802">
        <f ca="1">ROUND(IF(F12="押一",F8*F10*F9/12*F13,IF(F12="押二",F8*F10*F9/12*2*F13,IF(F12="押三",F8*F10*F9/12*3*F13,C13*F13)))/10000,0)</f>
        <v>0</v>
      </c>
      <c r="D12" s="2529" t="s">
        <v>2471</v>
      </c>
      <c r="E12" s="2526" t="s">
        <v>2469</v>
      </c>
      <c r="F12" s="2649"/>
      <c r="G12" s="1596"/>
      <c r="H12" s="2589" t="s">
        <v>1827</v>
      </c>
      <c r="I12" s="2594" t="s">
        <v>2464</v>
      </c>
      <c r="J12" s="786">
        <f ca="1">ROUND(IF(M12="押一",M8*M10*M9/12*M13,IF(M12="押二",M8*M10*M9/12*2*M13,IF(M12="押三",M8*M10*M9/12*3*M13,J13*M13)))/10000,0)</f>
        <v>0</v>
      </c>
      <c r="K12" s="2529" t="s">
        <v>2471</v>
      </c>
      <c r="L12" s="2526" t="s">
        <v>2469</v>
      </c>
      <c r="M12" s="2649"/>
    </row>
    <row r="13" spans="1:25" ht="18" customHeight="1">
      <c r="A13" s="793"/>
      <c r="B13" s="2523" t="s">
        <v>2579</v>
      </c>
      <c r="C13" s="2527"/>
      <c r="D13" s="792"/>
      <c r="E13" s="2526" t="s">
        <v>2461</v>
      </c>
      <c r="F13" s="799">
        <f ca="1">'数据-取费表'!B39</f>
        <v>1.4999999999999999E-2</v>
      </c>
      <c r="G13" s="1596"/>
      <c r="H13" s="2590"/>
      <c r="I13" s="2523" t="s">
        <v>2579</v>
      </c>
      <c r="J13" s="2527"/>
      <c r="K13" s="2591"/>
      <c r="L13" s="2526" t="s">
        <v>2461</v>
      </c>
      <c r="M13" s="2520">
        <f ca="1">'数据-取费表'!B39</f>
        <v>1.4999999999999999E-2</v>
      </c>
    </row>
    <row r="14" spans="1:25" ht="18" customHeight="1" thickBot="1">
      <c r="A14" s="2565" t="s">
        <v>2473</v>
      </c>
      <c r="B14" s="2566" t="s">
        <v>2465</v>
      </c>
      <c r="C14" s="2567"/>
      <c r="D14" s="2568"/>
      <c r="E14" s="2569"/>
      <c r="F14" s="2570"/>
      <c r="G14" s="1596"/>
      <c r="H14" s="2579" t="s">
        <v>2473</v>
      </c>
      <c r="I14" s="2592" t="s">
        <v>2465</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6"/>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6"/>
      <c r="H16" s="806" t="s">
        <v>2073</v>
      </c>
      <c r="I16" s="2235" t="s">
        <v>2833</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1" t="s">
        <v>662</v>
      </c>
      <c r="L20" s="787" t="s">
        <v>650</v>
      </c>
      <c r="M20" s="812">
        <f>'数据-取费表'!B41</f>
        <v>0</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6"/>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0.03</v>
      </c>
      <c r="G22" s="1597"/>
      <c r="H22" s="1836" t="s">
        <v>1852</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0.03</v>
      </c>
      <c r="G23" s="1597"/>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6"/>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2441</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1.4E-3</v>
      </c>
      <c r="D26" s="2599"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6"/>
      <c r="H27" s="800" t="s">
        <v>1830</v>
      </c>
      <c r="I27" s="3043" t="s">
        <v>2830</v>
      </c>
      <c r="J27" s="802">
        <f ca="1">J7-J18</f>
        <v>0</v>
      </c>
      <c r="K27" s="1983" t="s">
        <v>701</v>
      </c>
      <c r="L27" s="1985"/>
      <c r="M27" s="823"/>
    </row>
    <row r="28" spans="1:25" ht="18" customHeight="1">
      <c r="A28" s="806" t="s">
        <v>1877</v>
      </c>
      <c r="B28" s="787" t="s">
        <v>2442</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0</v>
      </c>
      <c r="D30" s="815" t="s">
        <v>710</v>
      </c>
      <c r="E30" s="787" t="s">
        <v>650</v>
      </c>
      <c r="F30" s="812">
        <f>'数据-取费表'!B41</f>
        <v>0</v>
      </c>
      <c r="G30" s="1597"/>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2831</v>
      </c>
      <c r="C31" s="2572">
        <f ca="1">ROUND((C21+C22+C25+C28)/(1-F23-C26-C29-C30),0)</f>
        <v>0</v>
      </c>
      <c r="D31" s="2573"/>
      <c r="E31" s="2574"/>
      <c r="F31" s="2575"/>
      <c r="G31" s="1597"/>
      <c r="H31" s="826" t="s">
        <v>1874</v>
      </c>
      <c r="I31" s="3044" t="s">
        <v>2832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0</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3</v>
      </c>
      <c r="G36" s="2066"/>
      <c r="H36" s="2069"/>
      <c r="I36" s="3420"/>
      <c r="J36" s="2083"/>
      <c r="K36" s="2084"/>
      <c r="L36" s="2083"/>
      <c r="M36" s="2083"/>
    </row>
    <row r="37" spans="1:18" ht="18" customHeight="1">
      <c r="A37" s="818"/>
      <c r="B37" s="796"/>
      <c r="C37" s="69"/>
      <c r="D37" s="819"/>
      <c r="E37" s="787" t="s">
        <v>675</v>
      </c>
      <c r="F37" s="788">
        <f ca="1">INDIRECT("'数据-取费表'!r"&amp;$G$1)</f>
        <v>0</v>
      </c>
      <c r="G37" s="2066"/>
      <c r="H37" s="2069"/>
      <c r="I37" s="3420"/>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9" t="s">
        <v>713</v>
      </c>
      <c r="E43" s="3161" t="s">
        <v>2972</v>
      </c>
      <c r="F43" s="3162">
        <f ca="1">INDIRECT("'数据-取费表'!j"&amp;$G$1)</f>
        <v>0</v>
      </c>
      <c r="G43" s="2066"/>
      <c r="H43" s="2066"/>
      <c r="I43" s="2066"/>
      <c r="J43" s="2066"/>
      <c r="K43" s="2087"/>
      <c r="L43" s="2066"/>
      <c r="M43" s="2066"/>
    </row>
    <row r="44" spans="1:18" ht="18" customHeight="1">
      <c r="A44" s="806" t="s">
        <v>1880</v>
      </c>
      <c r="B44" s="838" t="s">
        <v>714</v>
      </c>
      <c r="C44" s="1360">
        <f ca="1">C42-C43</f>
        <v>0</v>
      </c>
      <c r="D44" s="466" t="s">
        <v>715</v>
      </c>
      <c r="E44" s="467"/>
      <c r="F44" s="468"/>
      <c r="G44" s="2066"/>
      <c r="H44" s="2066"/>
      <c r="I44" s="2066"/>
      <c r="J44" s="2066"/>
      <c r="K44" s="2087"/>
      <c r="L44" s="2066"/>
      <c r="M44" s="2066"/>
    </row>
    <row r="45" spans="1:18" ht="18" customHeight="1">
      <c r="A45" s="806" t="s">
        <v>1881</v>
      </c>
      <c r="B45" s="1359" t="s">
        <v>716</v>
      </c>
      <c r="C45" s="3070">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3" t="s">
        <v>2975</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2346</v>
      </c>
      <c r="J47" s="2383"/>
      <c r="K47" s="2384"/>
      <c r="L47" s="2385" t="str">
        <f ca="1">IF(M48="住宅",0,IF(L49&gt;J52,L61,J61))</f>
        <v>0</v>
      </c>
      <c r="O47" s="2422" t="s">
        <v>2414</v>
      </c>
      <c r="P47" s="1596"/>
      <c r="Q47" s="1608"/>
      <c r="R47" s="1596"/>
    </row>
    <row r="48" spans="1:18" s="2063" customFormat="1" ht="18" customHeight="1" thickBot="1">
      <c r="A48" s="2088"/>
      <c r="C48" s="2091"/>
      <c r="D48" s="2092"/>
      <c r="E48" s="2092"/>
      <c r="F48" s="2093"/>
      <c r="G48" s="2094"/>
      <c r="I48" s="2386" t="s">
        <v>2347</v>
      </c>
      <c r="J48" s="2391"/>
      <c r="K48" s="2392" t="s">
        <v>2353</v>
      </c>
      <c r="L48" s="2393">
        <f ca="1">INDIRECT("'数据-取费表'!d"&amp;$G$1)</f>
        <v>0</v>
      </c>
      <c r="M48" s="3158" t="str">
        <f>IF(ISNUMBER(FIND("住宅",C1)),"住宅","非住宅")</f>
        <v>非住宅</v>
      </c>
      <c r="O48" s="2423" t="s">
        <v>2379</v>
      </c>
      <c r="P48" s="2424" t="s">
        <v>2380</v>
      </c>
      <c r="Q48" s="2425" t="s">
        <v>2381</v>
      </c>
      <c r="R48" s="2424" t="s">
        <v>2382</v>
      </c>
    </row>
    <row r="49" spans="1:18" s="2063" customFormat="1" ht="18" customHeight="1" thickBot="1">
      <c r="A49" s="2088"/>
      <c r="D49" s="2095"/>
      <c r="E49" s="2096"/>
      <c r="F49" s="2093"/>
      <c r="G49" s="2094"/>
      <c r="H49" s="2097"/>
      <c r="I49" s="2387" t="s">
        <v>2348</v>
      </c>
      <c r="J49" s="2394"/>
      <c r="K49" s="2395" t="s">
        <v>2355</v>
      </c>
      <c r="L49" s="2396">
        <f ca="1">INDIRECT("'数据-取费表'!f"&amp;$G$1)</f>
        <v>0</v>
      </c>
      <c r="O49" s="2426" t="s">
        <v>2383</v>
      </c>
      <c r="P49" s="2427" t="s">
        <v>2409</v>
      </c>
      <c r="Q49" s="2428">
        <f ca="1">C41+J31</f>
        <v>0</v>
      </c>
      <c r="R49" s="2427" t="s">
        <v>2384</v>
      </c>
    </row>
    <row r="50" spans="1:18" s="2063" customFormat="1" ht="18" customHeight="1" thickBot="1">
      <c r="A50" s="2088"/>
      <c r="D50" s="2098"/>
      <c r="E50" s="2098"/>
      <c r="F50" s="2092"/>
      <c r="G50" s="2099"/>
      <c r="H50" s="2097"/>
      <c r="I50" s="2387" t="s">
        <v>2349</v>
      </c>
      <c r="J50" s="2397"/>
      <c r="K50" s="2398" t="s">
        <v>2356</v>
      </c>
      <c r="L50" s="2399"/>
      <c r="O50" s="2426" t="s">
        <v>2385</v>
      </c>
      <c r="P50" s="2427" t="s">
        <v>2410</v>
      </c>
      <c r="Q50" s="2428" t="str">
        <f ca="1">J61</f>
        <v>0</v>
      </c>
      <c r="R50" s="2427" t="s">
        <v>2386</v>
      </c>
    </row>
    <row r="51" spans="1:18" s="2063" customFormat="1" ht="18" customHeight="1" thickBot="1">
      <c r="A51" s="2100"/>
      <c r="D51" s="2098"/>
      <c r="E51" s="2098"/>
      <c r="F51" s="2089"/>
      <c r="H51" s="2097"/>
      <c r="I51" s="2387" t="s">
        <v>2350</v>
      </c>
      <c r="J51" s="2400">
        <f>SUMPRODUCT((I64:I66=J48)*(J63:L63=J49)*(J64:L66))</f>
        <v>0</v>
      </c>
      <c r="K51" s="2398" t="s">
        <v>2357</v>
      </c>
      <c r="L51" s="2399"/>
      <c r="O51" s="2429" t="s">
        <v>2387</v>
      </c>
      <c r="P51" s="2427" t="s">
        <v>2411</v>
      </c>
      <c r="Q51" s="2428">
        <f ca="1">C31</f>
        <v>0</v>
      </c>
      <c r="R51" s="2427" t="s">
        <v>2384</v>
      </c>
    </row>
    <row r="52" spans="1:18" s="2063" customFormat="1" ht="18" customHeight="1" thickBot="1">
      <c r="A52" s="2100"/>
      <c r="F52" s="2089"/>
      <c r="I52" s="2388" t="s">
        <v>2351</v>
      </c>
      <c r="J52" s="2401">
        <f>IF(J50="",J51,J50+J51-YEAR('数据-取费表'!B3))</f>
        <v>0</v>
      </c>
      <c r="K52" s="2387" t="s">
        <v>2358</v>
      </c>
      <c r="L52" s="2402">
        <f ca="1">ROUND(-PV(INDIRECT("'数据-取费表'!h"&amp;$G$1),L49,(C40-C14*J36),0),0)</f>
        <v>0</v>
      </c>
      <c r="O52" s="2429" t="s">
        <v>2388</v>
      </c>
      <c r="P52" s="2427" t="s">
        <v>2389</v>
      </c>
      <c r="Q52" s="2430" t="e">
        <f ca="1">J59</f>
        <v>#VALUE!</v>
      </c>
      <c r="R52" s="2431"/>
    </row>
    <row r="53" spans="1:18" s="2063" customFormat="1" ht="18" customHeight="1" thickBot="1">
      <c r="A53" s="2100"/>
      <c r="F53" s="2089"/>
      <c r="I53" s="2389" t="s">
        <v>2425</v>
      </c>
      <c r="J53" s="2403"/>
      <c r="K53" s="2389" t="s">
        <v>2424</v>
      </c>
      <c r="L53" s="2403"/>
      <c r="O53" s="2429" t="s">
        <v>2390</v>
      </c>
      <c r="P53" s="2427" t="s">
        <v>2391</v>
      </c>
      <c r="Q53" s="2430">
        <f>J53</f>
        <v>0</v>
      </c>
      <c r="R53" s="2431"/>
    </row>
    <row r="54" spans="1:18" s="2063" customFormat="1" ht="43.5" thickBot="1">
      <c r="A54" s="2100"/>
      <c r="I54" s="2390" t="s">
        <v>2352</v>
      </c>
      <c r="J54" s="2404">
        <f ca="1">IF(M48="住宅",J52,IF(J52&gt;L49,L49-'数据-取费表'!B25,J52))</f>
        <v>0</v>
      </c>
      <c r="K54" s="3425"/>
      <c r="L54" s="3426"/>
      <c r="O54" s="2429" t="s">
        <v>2392</v>
      </c>
      <c r="P54" s="2427" t="s">
        <v>2393</v>
      </c>
      <c r="Q54" s="2428">
        <f ca="1">J54</f>
        <v>0</v>
      </c>
      <c r="R54" s="2427" t="s">
        <v>2394</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2395</v>
      </c>
      <c r="P55" s="2427" t="s">
        <v>2412</v>
      </c>
      <c r="Q55" s="2428">
        <f ca="1">Q49+Q50</f>
        <v>0</v>
      </c>
      <c r="R55" s="2431" t="s">
        <v>2396</v>
      </c>
    </row>
    <row r="56" spans="1:18" s="2063" customFormat="1" ht="16.5" thickBot="1">
      <c r="A56" s="2100"/>
      <c r="B56" s="2101"/>
      <c r="C56" s="2101"/>
      <c r="I56" s="3135" t="s">
        <v>2359</v>
      </c>
      <c r="J56" s="3159" t="e">
        <f ca="1">ROUND(IF(J48="钢混",J58/J51,1-(1-2%)*(J51-J58)/J51),3)</f>
        <v>#VALUE!</v>
      </c>
      <c r="K56" s="2405" t="s">
        <v>2360</v>
      </c>
      <c r="L56" s="2406"/>
      <c r="O56" s="2432" t="s">
        <v>2415</v>
      </c>
      <c r="P56" s="1596"/>
      <c r="Q56" s="1608"/>
      <c r="R56" s="1596"/>
    </row>
    <row r="57" spans="1:18" s="2063" customFormat="1" ht="43.5" thickBot="1">
      <c r="A57" s="2100"/>
      <c r="B57" s="2101"/>
      <c r="C57" s="2101"/>
      <c r="I57" s="2407" t="s">
        <v>2361</v>
      </c>
      <c r="J57" s="3158" t="s">
        <v>1680</v>
      </c>
      <c r="K57" s="2387" t="s">
        <v>2366</v>
      </c>
      <c r="L57" s="2396">
        <f ca="1">IF(L49&lt;J52,"——",L49-J52)</f>
        <v>0</v>
      </c>
      <c r="O57" s="2423" t="s">
        <v>2379</v>
      </c>
      <c r="P57" s="2424" t="s">
        <v>2380</v>
      </c>
      <c r="Q57" s="2425" t="s">
        <v>2381</v>
      </c>
      <c r="R57" s="2424" t="s">
        <v>2382</v>
      </c>
    </row>
    <row r="58" spans="1:18" s="2063" customFormat="1" ht="29.25" thickBot="1">
      <c r="A58" s="2100"/>
      <c r="B58" s="2101"/>
      <c r="C58" s="2101"/>
      <c r="I58" s="2408" t="s">
        <v>2362</v>
      </c>
      <c r="J58" s="2410" t="str">
        <f ca="1">IF(OR(M48="住宅",J52&lt;L49,J57="是"),"——",J52-L49)</f>
        <v>——</v>
      </c>
      <c r="K58" s="2387" t="s">
        <v>2367</v>
      </c>
      <c r="L58" s="2396">
        <f ca="1">IF(L49&lt;J52,"——",IF(L56="比较法",L50,IF(L56="基准地价",L51,L52)))</f>
        <v>0</v>
      </c>
      <c r="O58" s="2426" t="s">
        <v>2383</v>
      </c>
      <c r="P58" s="2427" t="s">
        <v>2409</v>
      </c>
      <c r="Q58" s="2428">
        <f ca="1">C41+J31</f>
        <v>0</v>
      </c>
      <c r="R58" s="2427" t="s">
        <v>2384</v>
      </c>
    </row>
    <row r="59" spans="1:18" s="2063" customFormat="1" ht="29.25" thickBot="1">
      <c r="A59" s="2100"/>
      <c r="B59" s="2101"/>
      <c r="C59" s="2101"/>
      <c r="I59" s="2408" t="s">
        <v>2363</v>
      </c>
      <c r="J59" s="3160" t="e">
        <f ca="1">IF(J56&lt;0.4,0.4,J56)</f>
        <v>#VALUE!</v>
      </c>
      <c r="K59" s="2387" t="s">
        <v>2368</v>
      </c>
      <c r="L59" s="2396">
        <f ca="1">IF(ISERROR(POWER(1+L53,L48-L49)*(POWER(1+L53,L49)-1)/(POWER(1+L53,L48)-1)),0,POWER(1+L53,L48-L49)*(POWER(1+L53,L49)-1)/(POWER(1+L53,L48)-1))</f>
        <v>0</v>
      </c>
      <c r="O59" s="2426" t="s">
        <v>2385</v>
      </c>
      <c r="P59" s="2427" t="s">
        <v>2416</v>
      </c>
      <c r="Q59" s="2428" t="e">
        <f ca="1">L61</f>
        <v>#DIV/0!</v>
      </c>
      <c r="R59" s="2431" t="s">
        <v>2418</v>
      </c>
    </row>
    <row r="60" spans="1:18" s="2063" customFormat="1" ht="29.25" thickBot="1">
      <c r="A60" s="2100"/>
      <c r="B60" s="2101"/>
      <c r="C60" s="2101"/>
      <c r="I60" s="2408" t="s">
        <v>2364</v>
      </c>
      <c r="J60" s="2410" t="str">
        <f ca="1">IF(OR(M48="住宅",J52&lt;L49,J57="是"),"——",ROUND(C30*J59,0))</f>
        <v>——</v>
      </c>
      <c r="K60" s="2387" t="s">
        <v>2369</v>
      </c>
      <c r="L60" s="2396">
        <f ca="1">IF(ISERROR(POWER(1+L53,L48-J52)*(POWER(1+L53,J52)-1)/(POWER(1+L53,L48)-1)),0,POWER(1+L53,L48-J52)*(POWER(1+L53,J52)-1)/(POWER(1+L53,L48)-1))</f>
        <v>0</v>
      </c>
      <c r="O60" s="2429" t="s">
        <v>2387</v>
      </c>
      <c r="P60" s="2427" t="s">
        <v>2417</v>
      </c>
      <c r="Q60" s="2428">
        <f>IF(L56="比较法",L50,IF(L56="基准地价",L51,0))</f>
        <v>0</v>
      </c>
      <c r="R60" s="2427" t="s">
        <v>2384</v>
      </c>
    </row>
    <row r="61" spans="1:18" s="2063" customFormat="1" ht="15.75" thickBot="1">
      <c r="A61" s="2100"/>
      <c r="B61" s="2101"/>
      <c r="C61" s="2101"/>
      <c r="I61" s="2409" t="s">
        <v>2365</v>
      </c>
      <c r="J61" s="2411" t="str">
        <f ca="1">IF(OR(M48="住宅",J52&lt;L49,J57="是"),"0",ROUND(J60/(1+J53)^J54,0))</f>
        <v>0</v>
      </c>
      <c r="K61" s="2412" t="s">
        <v>2370</v>
      </c>
      <c r="L61" s="2411" t="e">
        <f ca="1">IF(OR(M48="住宅",L49&lt;J52),0,ROUND(L58*(L59/L60-1),0))</f>
        <v>#DIV/0!</v>
      </c>
      <c r="O61" s="2429" t="s">
        <v>2388</v>
      </c>
      <c r="P61" s="2427" t="s">
        <v>2397</v>
      </c>
      <c r="Q61" s="2430">
        <f>L53</f>
        <v>0</v>
      </c>
      <c r="R61" s="2431"/>
    </row>
    <row r="62" spans="1:18" s="2063" customFormat="1" ht="20.25" thickBot="1">
      <c r="A62" s="2100"/>
      <c r="B62" s="2101"/>
      <c r="C62" s="2101"/>
      <c r="K62" s="2090"/>
      <c r="O62" s="2429" t="s">
        <v>2390</v>
      </c>
      <c r="P62" s="2427" t="s">
        <v>2398</v>
      </c>
      <c r="Q62" s="2428">
        <f ca="1">L59</f>
        <v>0</v>
      </c>
      <c r="R62" s="2431" t="s">
        <v>2399</v>
      </c>
    </row>
    <row r="63" spans="1:18" s="2063" customFormat="1" ht="20.25" thickBot="1">
      <c r="A63" s="2100"/>
      <c r="B63" s="2101"/>
      <c r="C63" s="2101"/>
      <c r="I63" s="2413" t="s">
        <v>2371</v>
      </c>
      <c r="J63" s="2414" t="s">
        <v>2372</v>
      </c>
      <c r="K63" s="2414" t="s">
        <v>2373</v>
      </c>
      <c r="L63" s="2414" t="s">
        <v>2354</v>
      </c>
      <c r="M63" s="3137" t="s">
        <v>2951</v>
      </c>
      <c r="O63" s="2429" t="s">
        <v>2392</v>
      </c>
      <c r="P63" s="2427" t="s">
        <v>2400</v>
      </c>
      <c r="Q63" s="2428">
        <f ca="1">L60</f>
        <v>0</v>
      </c>
      <c r="R63" s="2431" t="s">
        <v>2401</v>
      </c>
    </row>
    <row r="64" spans="1:18" s="2063" customFormat="1" ht="15.75" thickBot="1">
      <c r="A64" s="2100"/>
      <c r="B64" s="2101"/>
      <c r="C64" s="2101"/>
      <c r="I64" s="2413" t="s">
        <v>2374</v>
      </c>
      <c r="J64" s="2414">
        <v>70</v>
      </c>
      <c r="K64" s="2414">
        <v>50</v>
      </c>
      <c r="L64" s="2414">
        <v>80</v>
      </c>
      <c r="M64" s="3138">
        <v>0.02</v>
      </c>
      <c r="O64" s="2426" t="s">
        <v>2395</v>
      </c>
      <c r="P64" s="2427" t="s">
        <v>2412</v>
      </c>
      <c r="Q64" s="2428" t="e">
        <f ca="1">Q58+Q59</f>
        <v>#DIV/0!</v>
      </c>
      <c r="R64" s="2431" t="s">
        <v>2396</v>
      </c>
    </row>
    <row r="65" spans="1:18" s="2063" customFormat="1" ht="16.5" thickBot="1">
      <c r="A65" s="2100"/>
      <c r="B65" s="2101"/>
      <c r="C65" s="2101"/>
      <c r="I65" s="2413" t="s">
        <v>2375</v>
      </c>
      <c r="J65" s="2414">
        <v>50</v>
      </c>
      <c r="K65" s="2414">
        <v>35</v>
      </c>
      <c r="L65" s="2414">
        <v>60</v>
      </c>
      <c r="M65" s="3139">
        <v>0</v>
      </c>
      <c r="O65" s="2432" t="s">
        <v>2419</v>
      </c>
      <c r="P65" s="1596"/>
      <c r="Q65" s="1608"/>
      <c r="R65" s="1596"/>
    </row>
    <row r="66" spans="1:18" s="2063" customFormat="1" ht="15.75" thickBot="1">
      <c r="A66" s="2100"/>
      <c r="B66" s="2101"/>
      <c r="C66" s="2101"/>
      <c r="I66" s="2413" t="s">
        <v>2376</v>
      </c>
      <c r="J66" s="2414">
        <v>40</v>
      </c>
      <c r="K66" s="2414">
        <v>30</v>
      </c>
      <c r="L66" s="2414">
        <v>50</v>
      </c>
      <c r="M66" s="3138">
        <v>0.02</v>
      </c>
      <c r="O66" s="2423" t="s">
        <v>2379</v>
      </c>
      <c r="P66" s="2424" t="s">
        <v>2380</v>
      </c>
      <c r="Q66" s="2425" t="s">
        <v>2381</v>
      </c>
      <c r="R66" s="2424" t="s">
        <v>2382</v>
      </c>
    </row>
    <row r="67" spans="1:18" s="2063" customFormat="1" ht="15.75" thickBot="1">
      <c r="A67" s="2100"/>
      <c r="B67" s="2101"/>
      <c r="C67" s="2101"/>
      <c r="K67" s="2090"/>
      <c r="O67" s="2426" t="s">
        <v>2383</v>
      </c>
      <c r="P67" s="2427" t="s">
        <v>2409</v>
      </c>
      <c r="Q67" s="2428">
        <f ca="1">C41+J31</f>
        <v>0</v>
      </c>
      <c r="R67" s="2427" t="s">
        <v>2384</v>
      </c>
    </row>
    <row r="68" spans="1:18" s="2063" customFormat="1" ht="20.25" thickBot="1">
      <c r="A68" s="2100"/>
      <c r="B68" s="2101"/>
      <c r="C68" s="2101"/>
      <c r="K68" s="2090"/>
      <c r="O68" s="2426" t="s">
        <v>2385</v>
      </c>
      <c r="P68" s="2427" t="s">
        <v>2416</v>
      </c>
      <c r="Q68" s="2428" t="e">
        <f ca="1">L61</f>
        <v>#DIV/0!</v>
      </c>
      <c r="R68" s="2431" t="s">
        <v>2418</v>
      </c>
    </row>
    <row r="69" spans="1:18" s="2063" customFormat="1" ht="21.75" thickBot="1">
      <c r="A69" s="2100"/>
      <c r="B69" s="2101"/>
      <c r="C69" s="2101"/>
      <c r="K69" s="2090"/>
      <c r="O69" s="2429" t="s">
        <v>2387</v>
      </c>
      <c r="P69" s="2427" t="s">
        <v>2417</v>
      </c>
      <c r="Q69" s="2433">
        <f ca="1">L52</f>
        <v>0</v>
      </c>
      <c r="R69" s="2434" t="s">
        <v>2420</v>
      </c>
    </row>
    <row r="70" spans="1:18" s="2063" customFormat="1" ht="20.25" thickBot="1">
      <c r="A70" s="2100"/>
      <c r="B70" s="2101"/>
      <c r="C70" s="2101"/>
      <c r="K70" s="2090"/>
      <c r="O70" s="2429" t="s">
        <v>2388</v>
      </c>
      <c r="P70" s="2435" t="s">
        <v>2402</v>
      </c>
      <c r="Q70" s="2428">
        <f ca="1">ROUND(Q71-Q72*Q73,0)</f>
        <v>0</v>
      </c>
      <c r="R70" s="2431"/>
    </row>
    <row r="71" spans="1:18" s="2063" customFormat="1" ht="15.75" thickBot="1">
      <c r="A71" s="2100"/>
      <c r="B71" s="2101"/>
      <c r="C71" s="2101"/>
      <c r="K71" s="2090"/>
      <c r="O71" s="2429" t="s">
        <v>2403</v>
      </c>
      <c r="P71" s="2435" t="s">
        <v>2404</v>
      </c>
      <c r="Q71" s="2428">
        <f ca="1">C42</f>
        <v>0</v>
      </c>
      <c r="R71" s="2427" t="s">
        <v>2384</v>
      </c>
    </row>
    <row r="72" spans="1:18" s="2063" customFormat="1" ht="15.75" thickBot="1">
      <c r="A72" s="2100"/>
      <c r="B72" s="2101"/>
      <c r="C72" s="2101"/>
      <c r="K72" s="2090"/>
      <c r="O72" s="2429" t="s">
        <v>2405</v>
      </c>
      <c r="P72" s="2435" t="s">
        <v>2406</v>
      </c>
      <c r="Q72" s="2428">
        <f ca="1">C15</f>
        <v>0</v>
      </c>
      <c r="R72" s="2427" t="s">
        <v>2384</v>
      </c>
    </row>
    <row r="73" spans="1:18" s="2063" customFormat="1" ht="15.75" thickBot="1">
      <c r="A73" s="2100"/>
      <c r="B73" s="2101"/>
      <c r="C73" s="2101"/>
      <c r="K73" s="2090"/>
      <c r="O73" s="2429" t="s">
        <v>2407</v>
      </c>
      <c r="P73" s="2435" t="s">
        <v>2408</v>
      </c>
      <c r="Q73" s="2430">
        <f ca="1">F43</f>
        <v>0</v>
      </c>
      <c r="R73" s="2431"/>
    </row>
    <row r="74" spans="1:18" s="2063" customFormat="1" ht="15.75" thickBot="1">
      <c r="A74" s="2100"/>
      <c r="B74" s="2101"/>
      <c r="C74" s="2101"/>
      <c r="K74" s="2090"/>
      <c r="O74" s="2429" t="s">
        <v>2390</v>
      </c>
      <c r="P74" s="2427" t="s">
        <v>2397</v>
      </c>
      <c r="Q74" s="2430">
        <f>L53</f>
        <v>0</v>
      </c>
      <c r="R74" s="2431"/>
    </row>
    <row r="75" spans="1:18" s="2063" customFormat="1" ht="20.25" thickBot="1">
      <c r="A75" s="2100"/>
      <c r="B75" s="2101"/>
      <c r="C75" s="2101"/>
      <c r="K75" s="2090"/>
      <c r="O75" s="2429" t="s">
        <v>2392</v>
      </c>
      <c r="P75" s="2427" t="s">
        <v>2398</v>
      </c>
      <c r="Q75" s="2428">
        <f ca="1">L59</f>
        <v>0</v>
      </c>
      <c r="R75" s="2431" t="s">
        <v>2399</v>
      </c>
    </row>
    <row r="76" spans="1:18" s="2063" customFormat="1" ht="20.25" thickBot="1">
      <c r="A76" s="2100"/>
      <c r="B76" s="2101"/>
      <c r="C76" s="2101"/>
      <c r="K76" s="2090"/>
      <c r="O76" s="2429" t="s">
        <v>2421</v>
      </c>
      <c r="P76" s="2427" t="s">
        <v>2400</v>
      </c>
      <c r="Q76" s="2428">
        <f ca="1">L60</f>
        <v>0</v>
      </c>
      <c r="R76" s="2431" t="s">
        <v>2401</v>
      </c>
    </row>
    <row r="77" spans="1:18" s="2063" customFormat="1" ht="15.75" thickBot="1">
      <c r="A77" s="2100"/>
      <c r="B77" s="2101"/>
      <c r="C77" s="2101"/>
      <c r="K77" s="2090"/>
      <c r="O77" s="2426" t="s">
        <v>2395</v>
      </c>
      <c r="P77" s="2427" t="s">
        <v>2412</v>
      </c>
      <c r="Q77" s="2428" t="e">
        <f ca="1">Q67+Q68</f>
        <v>#DIV/0!</v>
      </c>
      <c r="R77" s="2431" t="s">
        <v>2396</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K35" sqref="K3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33" t="s">
        <v>2582</v>
      </c>
      <c r="C1" s="3433"/>
      <c r="D1" s="3433"/>
      <c r="E1" s="3433"/>
      <c r="F1" s="3433"/>
      <c r="G1" s="3432" t="s">
        <v>2583</v>
      </c>
      <c r="H1" s="3432"/>
      <c r="I1" s="3432"/>
      <c r="J1" s="3432"/>
      <c r="K1" s="3432"/>
      <c r="L1" s="3432"/>
      <c r="N1" s="3432" t="s">
        <v>2584</v>
      </c>
      <c r="O1" s="3432"/>
      <c r="P1" s="3432"/>
      <c r="Q1" s="3432"/>
      <c r="R1" s="2683"/>
      <c r="S1" s="3432" t="s">
        <v>2585</v>
      </c>
      <c r="T1" s="3432"/>
      <c r="U1" s="3432"/>
      <c r="V1" s="3432"/>
      <c r="X1" s="3431" t="s">
        <v>2647</v>
      </c>
      <c r="Y1" s="3432"/>
      <c r="Z1" s="3432"/>
      <c r="AA1" s="3432"/>
      <c r="AB1" s="3432"/>
      <c r="AD1" s="3431" t="s">
        <v>2652</v>
      </c>
      <c r="AE1" s="3432"/>
      <c r="AF1" s="3432"/>
      <c r="AG1" s="3432"/>
      <c r="AH1" s="3432"/>
    </row>
    <row r="2" spans="1:34" s="2786" customFormat="1" ht="14.25" thickBot="1">
      <c r="B2" s="2796" t="s">
        <v>2586</v>
      </c>
      <c r="C2" s="2796" t="s">
        <v>2650</v>
      </c>
      <c r="D2" s="2787" t="s">
        <v>1646</v>
      </c>
      <c r="E2" s="2787" t="s">
        <v>1953</v>
      </c>
      <c r="F2" s="2796" t="s">
        <v>2651</v>
      </c>
      <c r="G2" s="2790"/>
      <c r="H2" s="2789"/>
      <c r="I2" s="2796" t="s">
        <v>2966</v>
      </c>
      <c r="J2" s="2787" t="s">
        <v>2968</v>
      </c>
      <c r="K2" s="2787" t="s">
        <v>2969</v>
      </c>
      <c r="L2" s="2796" t="s">
        <v>2970</v>
      </c>
      <c r="N2" s="2796" t="s">
        <v>2586</v>
      </c>
      <c r="O2" s="2787" t="s">
        <v>2967</v>
      </c>
      <c r="P2" s="2787" t="s">
        <v>1953</v>
      </c>
      <c r="Q2" s="2796" t="s">
        <v>2651</v>
      </c>
      <c r="R2" s="2788"/>
      <c r="S2" s="2796" t="s">
        <v>2586</v>
      </c>
      <c r="T2" s="2787" t="s">
        <v>2967</v>
      </c>
      <c r="U2" s="2787" t="s">
        <v>1953</v>
      </c>
      <c r="V2" s="2796" t="s">
        <v>2651</v>
      </c>
      <c r="X2" s="2796" t="s">
        <v>2586</v>
      </c>
      <c r="Y2" s="2796" t="s">
        <v>2650</v>
      </c>
      <c r="Z2" s="2787" t="s">
        <v>1646</v>
      </c>
      <c r="AA2" s="2787" t="s">
        <v>1953</v>
      </c>
      <c r="AB2" s="2796" t="s">
        <v>2651</v>
      </c>
      <c r="AD2" s="2796" t="s">
        <v>2586</v>
      </c>
      <c r="AE2" s="2796" t="s">
        <v>2650</v>
      </c>
      <c r="AF2" s="2787" t="s">
        <v>1646</v>
      </c>
      <c r="AG2" s="2787" t="s">
        <v>1953</v>
      </c>
      <c r="AH2" s="2796" t="s">
        <v>2651</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2587</v>
      </c>
      <c r="B4" s="2685"/>
      <c r="C4" s="2685"/>
      <c r="D4" s="2685"/>
      <c r="E4" s="2685"/>
      <c r="F4" s="2685"/>
      <c r="G4" s="3430">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2" customFormat="1">
      <c r="A5" s="3150" t="s">
        <v>2588</v>
      </c>
      <c r="B5" s="2827">
        <f t="shared" ref="B5:C7" si="2">B6*(1+N5)</f>
        <v>429.62688667359998</v>
      </c>
      <c r="C5" s="2827">
        <f t="shared" si="2"/>
        <v>318.97763788800006</v>
      </c>
      <c r="D5" s="2827">
        <f>C5</f>
        <v>318.97763788800006</v>
      </c>
      <c r="E5" s="2827">
        <f t="shared" ref="E5:F7" si="3">E6*(1+P5)</f>
        <v>613.03761713879999</v>
      </c>
      <c r="F5" s="2827">
        <f t="shared" si="3"/>
        <v>278.506175276448</v>
      </c>
      <c r="G5" s="3428"/>
      <c r="H5" s="3151">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3"/>
      <c r="S5" s="3154"/>
      <c r="T5" s="3153"/>
      <c r="U5" s="3153"/>
      <c r="V5" s="3153"/>
      <c r="W5" s="2794" t="s">
        <v>2648</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2" customFormat="1">
      <c r="A6" s="2684" t="s">
        <v>2589</v>
      </c>
      <c r="B6" s="2699">
        <f t="shared" si="2"/>
        <v>419.31181600000002</v>
      </c>
      <c r="C6" s="2699">
        <f t="shared" si="2"/>
        <v>313.95436800000004</v>
      </c>
      <c r="D6" s="2699">
        <f>C6</f>
        <v>313.95436800000004</v>
      </c>
      <c r="E6" s="2699">
        <f t="shared" si="3"/>
        <v>596.63028431999999</v>
      </c>
      <c r="F6" s="2699">
        <f t="shared" si="3"/>
        <v>274.74220703999998</v>
      </c>
      <c r="G6" s="3428"/>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2590</v>
      </c>
      <c r="B7" s="2699">
        <f t="shared" si="2"/>
        <v>405.524</v>
      </c>
      <c r="C7" s="2699">
        <f t="shared" si="2"/>
        <v>307.79840000000002</v>
      </c>
      <c r="D7" s="2699">
        <f>C7</f>
        <v>307.79840000000002</v>
      </c>
      <c r="E7" s="2699">
        <f t="shared" si="3"/>
        <v>574.67759999999998</v>
      </c>
      <c r="F7" s="2699">
        <f t="shared" si="3"/>
        <v>270.20280000000002</v>
      </c>
      <c r="G7" s="3429"/>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972</v>
      </c>
      <c r="B8" s="2691">
        <v>392</v>
      </c>
      <c r="C8" s="2691">
        <v>302</v>
      </c>
      <c r="D8" s="2691">
        <f>C8</f>
        <v>302</v>
      </c>
      <c r="E8" s="2691">
        <v>553</v>
      </c>
      <c r="F8" s="2692">
        <v>266</v>
      </c>
      <c r="G8" s="3430">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971</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28"/>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961</v>
      </c>
      <c r="B10" s="2699">
        <f t="shared" si="11"/>
        <v>360.06949782209392</v>
      </c>
      <c r="C10" s="2699">
        <f t="shared" si="11"/>
        <v>289.84672674747821</v>
      </c>
      <c r="D10" s="2699">
        <f t="shared" si="12"/>
        <v>289.84672674747821</v>
      </c>
      <c r="E10" s="2699">
        <f t="shared" si="13"/>
        <v>501.06543001181495</v>
      </c>
      <c r="F10" s="2699">
        <f t="shared" si="13"/>
        <v>256.82882500744967</v>
      </c>
      <c r="G10" s="3428"/>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970</v>
      </c>
      <c r="B11" s="2699">
        <f t="shared" si="11"/>
        <v>346.720748986128</v>
      </c>
      <c r="C11" s="2699">
        <f t="shared" si="11"/>
        <v>284.30282172386285</v>
      </c>
      <c r="D11" s="2699">
        <f t="shared" si="12"/>
        <v>284.30282172386285</v>
      </c>
      <c r="E11" s="2699">
        <f t="shared" si="13"/>
        <v>479.58023546306947</v>
      </c>
      <c r="F11" s="2699">
        <f t="shared" si="13"/>
        <v>253.25788877571213</v>
      </c>
      <c r="G11" s="3429"/>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969</v>
      </c>
      <c r="B12" s="2691">
        <v>333</v>
      </c>
      <c r="C12" s="2691">
        <v>277</v>
      </c>
      <c r="D12" s="2691">
        <f t="shared" si="12"/>
        <v>277</v>
      </c>
      <c r="E12" s="2691">
        <v>459</v>
      </c>
      <c r="F12" s="2692">
        <v>249</v>
      </c>
      <c r="G12" s="3427">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968</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28"/>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967</v>
      </c>
      <c r="B14" s="2699">
        <f t="shared" si="15"/>
        <v>322.34053690220776</v>
      </c>
      <c r="C14" s="2699">
        <f t="shared" si="15"/>
        <v>271.46160770422546</v>
      </c>
      <c r="D14" s="2699">
        <f t="shared" si="12"/>
        <v>271.46160770422546</v>
      </c>
      <c r="E14" s="2699">
        <f t="shared" si="16"/>
        <v>442.69434542172456</v>
      </c>
      <c r="F14" s="2699">
        <f t="shared" si="16"/>
        <v>241.34030753190925</v>
      </c>
      <c r="G14" s="3428"/>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966</v>
      </c>
      <c r="B15" s="2699">
        <f t="shared" si="15"/>
        <v>319.87748030386797</v>
      </c>
      <c r="C15" s="2699">
        <f t="shared" si="15"/>
        <v>269.60135833173649</v>
      </c>
      <c r="D15" s="2699">
        <f t="shared" si="12"/>
        <v>269.60135833173649</v>
      </c>
      <c r="E15" s="2699">
        <f t="shared" si="16"/>
        <v>439.18089823583784</v>
      </c>
      <c r="F15" s="2699">
        <f t="shared" si="16"/>
        <v>239.23503918706311</v>
      </c>
      <c r="G15" s="3429"/>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965</v>
      </c>
      <c r="B16" s="2713">
        <v>318</v>
      </c>
      <c r="C16" s="2713">
        <v>268</v>
      </c>
      <c r="D16" s="2713">
        <f t="shared" si="12"/>
        <v>268</v>
      </c>
      <c r="E16" s="2713">
        <v>437</v>
      </c>
      <c r="F16" s="2714">
        <v>237</v>
      </c>
      <c r="G16" s="3427">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964</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28"/>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963</v>
      </c>
      <c r="B18" s="2699">
        <f t="shared" si="17"/>
        <v>314.72141172386546</v>
      </c>
      <c r="C18" s="2699">
        <f t="shared" si="17"/>
        <v>263.03901319069001</v>
      </c>
      <c r="D18" s="2699">
        <f t="shared" si="12"/>
        <v>263.03901319069001</v>
      </c>
      <c r="E18" s="2699">
        <f t="shared" si="18"/>
        <v>433.65745506782821</v>
      </c>
      <c r="F18" s="2699">
        <f t="shared" si="18"/>
        <v>233.23005080045735</v>
      </c>
      <c r="G18" s="3428"/>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962</v>
      </c>
      <c r="B19" s="2718">
        <f t="shared" si="17"/>
        <v>307.34512863658733</v>
      </c>
      <c r="C19" s="2718">
        <f t="shared" si="17"/>
        <v>257.80556031626975</v>
      </c>
      <c r="D19" s="2718">
        <f t="shared" si="12"/>
        <v>257.80556031626975</v>
      </c>
      <c r="E19" s="2718">
        <f t="shared" si="18"/>
        <v>422.70928459677179</v>
      </c>
      <c r="F19" s="2718">
        <f t="shared" si="18"/>
        <v>229.73803270336617</v>
      </c>
      <c r="G19" s="3429"/>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2649</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2591</v>
      </c>
      <c r="B20" s="2691">
        <v>299</v>
      </c>
      <c r="C20" s="2691">
        <v>252</v>
      </c>
      <c r="D20" s="2691">
        <f t="shared" si="12"/>
        <v>252</v>
      </c>
      <c r="E20" s="2691">
        <v>409</v>
      </c>
      <c r="F20" s="2692">
        <v>227</v>
      </c>
      <c r="G20" s="3434">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2592</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35"/>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2593</v>
      </c>
      <c r="B22" s="2699">
        <f t="shared" si="21"/>
        <v>288.2649053828776</v>
      </c>
      <c r="C22" s="2699">
        <f t="shared" si="21"/>
        <v>243.64564425013293</v>
      </c>
      <c r="D22" s="2699">
        <f t="shared" si="12"/>
        <v>243.64564425013293</v>
      </c>
      <c r="E22" s="2699">
        <f t="shared" si="22"/>
        <v>393.31080825986544</v>
      </c>
      <c r="F22" s="2699">
        <f t="shared" si="22"/>
        <v>223.07903790551154</v>
      </c>
      <c r="G22" s="3435"/>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2594</v>
      </c>
      <c r="B23" s="2699">
        <f t="shared" si="21"/>
        <v>282.50186729015837</v>
      </c>
      <c r="C23" s="2699">
        <f t="shared" si="21"/>
        <v>238.09796174155468</v>
      </c>
      <c r="D23" s="2699">
        <f t="shared" si="12"/>
        <v>238.09796174155468</v>
      </c>
      <c r="E23" s="2699">
        <f t="shared" si="22"/>
        <v>385.33438646014054</v>
      </c>
      <c r="F23" s="2699">
        <f t="shared" si="22"/>
        <v>221.55034055567739</v>
      </c>
      <c r="G23" s="3436"/>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2595</v>
      </c>
      <c r="B24" s="2729">
        <v>278</v>
      </c>
      <c r="C24" s="2729">
        <v>234</v>
      </c>
      <c r="D24" s="2729">
        <f t="shared" si="12"/>
        <v>234</v>
      </c>
      <c r="E24" s="2729">
        <v>379</v>
      </c>
      <c r="F24" s="2730">
        <v>220</v>
      </c>
      <c r="G24" s="3427">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2596</v>
      </c>
      <c r="B25" s="2699">
        <f>B24/(1+N24)</f>
        <v>275.49301357645425</v>
      </c>
      <c r="C25" s="2699">
        <f>C24/(1+O24)</f>
        <v>232.41954707985698</v>
      </c>
      <c r="D25" s="2699">
        <f t="shared" si="12"/>
        <v>232.41954707985698</v>
      </c>
      <c r="E25" s="2699">
        <f t="shared" ref="E25:F27" si="23">E24/(1+P24)</f>
        <v>375.32184591008121</v>
      </c>
      <c r="F25" s="2699">
        <f t="shared" si="23"/>
        <v>218.03766105054513</v>
      </c>
      <c r="G25" s="3428"/>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2597</v>
      </c>
      <c r="B26" s="2699">
        <f>B25/(1+N25)</f>
        <v>275.24529281292263</v>
      </c>
      <c r="C26" s="2699">
        <f>C25/(1+O25)</f>
        <v>231.74747938962707</v>
      </c>
      <c r="D26" s="2699">
        <f t="shared" si="12"/>
        <v>231.74747938962707</v>
      </c>
      <c r="E26" s="2699">
        <f t="shared" si="23"/>
        <v>375.35938184826603</v>
      </c>
      <c r="F26" s="2699">
        <f t="shared" si="23"/>
        <v>216.78033510692495</v>
      </c>
      <c r="G26" s="3428"/>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2598</v>
      </c>
      <c r="B27" s="2699">
        <f>B26/(1+N26)</f>
        <v>275.19025476197027</v>
      </c>
      <c r="C27" s="2731">
        <v>232</v>
      </c>
      <c r="D27" s="2731">
        <f t="shared" si="12"/>
        <v>232</v>
      </c>
      <c r="E27" s="2699">
        <f t="shared" si="23"/>
        <v>375.65990977608692</v>
      </c>
      <c r="F27" s="2699">
        <f t="shared" si="23"/>
        <v>214.12518283971252</v>
      </c>
      <c r="G27" s="3429"/>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2599</v>
      </c>
      <c r="B28" s="2691">
        <v>275</v>
      </c>
      <c r="C28" s="2691">
        <v>232</v>
      </c>
      <c r="D28" s="2691">
        <f t="shared" si="12"/>
        <v>232</v>
      </c>
      <c r="E28" s="2691">
        <v>376</v>
      </c>
      <c r="F28" s="2692">
        <v>213</v>
      </c>
      <c r="G28" s="3427">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2600</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28">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2601</v>
      </c>
      <c r="B30" s="2699">
        <f t="shared" si="24"/>
        <v>275.19335084830601</v>
      </c>
      <c r="C30" s="2699">
        <f t="shared" si="24"/>
        <v>230.18088050139744</v>
      </c>
      <c r="D30" s="2699">
        <f t="shared" si="12"/>
        <v>230.18088050139744</v>
      </c>
      <c r="E30" s="2699">
        <f t="shared" si="25"/>
        <v>377.58482925212331</v>
      </c>
      <c r="F30" s="2699">
        <f t="shared" si="25"/>
        <v>210.90687997847917</v>
      </c>
      <c r="G30" s="3428">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2602</v>
      </c>
      <c r="B31" s="2699">
        <f t="shared" si="24"/>
        <v>276.29854502841971</v>
      </c>
      <c r="C31" s="2699">
        <f t="shared" si="24"/>
        <v>229.79023709833027</v>
      </c>
      <c r="D31" s="2699">
        <f t="shared" si="12"/>
        <v>229.79023709833027</v>
      </c>
      <c r="E31" s="2699">
        <f t="shared" si="25"/>
        <v>379.78759731655936</v>
      </c>
      <c r="F31" s="2699">
        <f t="shared" si="25"/>
        <v>211.32953905659235</v>
      </c>
      <c r="G31" s="3429">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2603</v>
      </c>
      <c r="B32" s="2691">
        <v>269</v>
      </c>
      <c r="C32" s="2691">
        <v>221</v>
      </c>
      <c r="D32" s="2691">
        <f t="shared" si="12"/>
        <v>221</v>
      </c>
      <c r="E32" s="2691">
        <v>373</v>
      </c>
      <c r="F32" s="2692">
        <v>196</v>
      </c>
      <c r="G32" s="3427">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2604</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28">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2605</v>
      </c>
      <c r="B34" s="2699">
        <f t="shared" si="26"/>
        <v>242.95398227588385</v>
      </c>
      <c r="C34" s="2699">
        <f t="shared" si="26"/>
        <v>199.59137053614126</v>
      </c>
      <c r="D34" s="2699">
        <f t="shared" si="12"/>
        <v>199.59137053614126</v>
      </c>
      <c r="E34" s="2699">
        <f t="shared" si="27"/>
        <v>335.92189522342125</v>
      </c>
      <c r="F34" s="2699">
        <f t="shared" si="27"/>
        <v>183.10139991109489</v>
      </c>
      <c r="G34" s="3428">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2606</v>
      </c>
      <c r="B35" s="2699">
        <f t="shared" si="26"/>
        <v>232.06990378821649</v>
      </c>
      <c r="C35" s="2699">
        <f t="shared" si="26"/>
        <v>192.74878854286936</v>
      </c>
      <c r="D35" s="2699">
        <f t="shared" si="12"/>
        <v>192.74878854286936</v>
      </c>
      <c r="E35" s="2699">
        <f t="shared" si="27"/>
        <v>319.71247284992984</v>
      </c>
      <c r="F35" s="2699">
        <f t="shared" si="27"/>
        <v>175.67053622862409</v>
      </c>
      <c r="G35" s="3429">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2607</v>
      </c>
      <c r="B36" s="2691">
        <v>220</v>
      </c>
      <c r="C36" s="2691">
        <v>187</v>
      </c>
      <c r="D36" s="2691">
        <f t="shared" si="12"/>
        <v>187</v>
      </c>
      <c r="E36" s="2691">
        <v>301</v>
      </c>
      <c r="F36" s="2692">
        <v>168</v>
      </c>
      <c r="G36" s="3427">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2608</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28">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2609</v>
      </c>
      <c r="B38" s="2699">
        <f t="shared" si="28"/>
        <v>210.630522469011</v>
      </c>
      <c r="C38" s="2699">
        <f t="shared" si="28"/>
        <v>181.69567812247232</v>
      </c>
      <c r="D38" s="2699">
        <f t="shared" si="12"/>
        <v>181.69567812247232</v>
      </c>
      <c r="E38" s="2699">
        <f t="shared" si="29"/>
        <v>286.13517466736738</v>
      </c>
      <c r="F38" s="2699">
        <f t="shared" si="29"/>
        <v>165.47535084591149</v>
      </c>
      <c r="G38" s="3428">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2610</v>
      </c>
      <c r="B39" s="2699">
        <f t="shared" si="28"/>
        <v>208.83454537875372</v>
      </c>
      <c r="C39" s="2699">
        <f t="shared" si="28"/>
        <v>183.77230517090351</v>
      </c>
      <c r="D39" s="2699">
        <f t="shared" si="12"/>
        <v>183.77230517090351</v>
      </c>
      <c r="E39" s="2699">
        <f t="shared" si="29"/>
        <v>281.10342338870947</v>
      </c>
      <c r="F39" s="2699">
        <f t="shared" si="29"/>
        <v>168.97309388942256</v>
      </c>
      <c r="G39" s="3429">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2611</v>
      </c>
      <c r="B40" s="2729">
        <v>214</v>
      </c>
      <c r="C40" s="2729">
        <v>188</v>
      </c>
      <c r="D40" s="2729">
        <f t="shared" si="12"/>
        <v>188</v>
      </c>
      <c r="E40" s="2729">
        <v>289</v>
      </c>
      <c r="F40" s="2730">
        <v>166</v>
      </c>
      <c r="G40" s="3427">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2612</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28">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2613</v>
      </c>
      <c r="B42" s="2699">
        <f t="shared" si="30"/>
        <v>206.31694671589116</v>
      </c>
      <c r="C42" s="2699">
        <f t="shared" si="30"/>
        <v>183.61041121036101</v>
      </c>
      <c r="D42" s="2699">
        <f t="shared" si="12"/>
        <v>183.61041121036101</v>
      </c>
      <c r="E42" s="2699">
        <f t="shared" si="31"/>
        <v>276.66850301795557</v>
      </c>
      <c r="F42" s="2699">
        <f t="shared" si="31"/>
        <v>165.1360938278614</v>
      </c>
      <c r="G42" s="3428">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2614</v>
      </c>
      <c r="B43" s="2732">
        <f t="shared" si="30"/>
        <v>196.62341248059772</v>
      </c>
      <c r="C43" s="2732">
        <f t="shared" si="30"/>
        <v>170.99125648199012</v>
      </c>
      <c r="D43" s="2732">
        <f t="shared" si="12"/>
        <v>170.99125648199012</v>
      </c>
      <c r="E43" s="2732">
        <f t="shared" si="31"/>
        <v>266.07857570490052</v>
      </c>
      <c r="F43" s="2732">
        <f t="shared" si="31"/>
        <v>154.53499328828505</v>
      </c>
      <c r="G43" s="3429">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2615</v>
      </c>
      <c r="B44" s="2691">
        <v>188</v>
      </c>
      <c r="C44" s="2691">
        <v>165</v>
      </c>
      <c r="D44" s="2691">
        <f t="shared" si="12"/>
        <v>165</v>
      </c>
      <c r="E44" s="2691">
        <v>254</v>
      </c>
      <c r="F44" s="2692">
        <v>148</v>
      </c>
      <c r="G44" s="3427">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2616</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28">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2617</v>
      </c>
      <c r="B46" s="2699">
        <f t="shared" si="34"/>
        <v>168.82017748715555</v>
      </c>
      <c r="C46" s="2699">
        <f t="shared" si="34"/>
        <v>148.06267029972753</v>
      </c>
      <c r="D46" s="2699">
        <f t="shared" si="12"/>
        <v>148.06267029972753</v>
      </c>
      <c r="E46" s="2699">
        <f t="shared" si="35"/>
        <v>216.46288379323747</v>
      </c>
      <c r="F46" s="2699">
        <f t="shared" si="35"/>
        <v>134.23529411764704</v>
      </c>
      <c r="G46" s="3428">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2618</v>
      </c>
      <c r="B47" s="2699">
        <f t="shared" si="34"/>
        <v>163.84913591779542</v>
      </c>
      <c r="C47" s="2699">
        <f t="shared" si="34"/>
        <v>145.0283378746594</v>
      </c>
      <c r="D47" s="2699">
        <f t="shared" si="12"/>
        <v>145.0283378746594</v>
      </c>
      <c r="E47" s="2699">
        <f t="shared" si="35"/>
        <v>204.95180722891567</v>
      </c>
      <c r="F47" s="2699">
        <f t="shared" si="35"/>
        <v>125.95920303605313</v>
      </c>
      <c r="G47" s="3429">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2619</v>
      </c>
      <c r="B48" s="2713">
        <v>159</v>
      </c>
      <c r="C48" s="2713">
        <v>141</v>
      </c>
      <c r="D48" s="2713">
        <f t="shared" si="12"/>
        <v>141</v>
      </c>
      <c r="E48" s="2713">
        <v>195</v>
      </c>
      <c r="F48" s="2714">
        <v>122</v>
      </c>
      <c r="G48" s="3427">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2620</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28">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2621</v>
      </c>
      <c r="B50" s="2699">
        <f t="shared" si="38"/>
        <v>146.57412060301507</v>
      </c>
      <c r="C50" s="2699">
        <f t="shared" si="38"/>
        <v>136.46831955922866</v>
      </c>
      <c r="D50" s="2699">
        <f t="shared" si="12"/>
        <v>136.46831955922866</v>
      </c>
      <c r="E50" s="2699">
        <f t="shared" si="39"/>
        <v>166.73864894795128</v>
      </c>
      <c r="F50" s="2699">
        <f t="shared" si="39"/>
        <v>115.05882352941177</v>
      </c>
      <c r="G50" s="3428">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2622</v>
      </c>
      <c r="B51" s="2699">
        <f t="shared" si="38"/>
        <v>144.04145728643215</v>
      </c>
      <c r="C51" s="2699">
        <f t="shared" si="38"/>
        <v>136.12396694214877</v>
      </c>
      <c r="D51" s="2699">
        <f t="shared" si="12"/>
        <v>136.12396694214877</v>
      </c>
      <c r="E51" s="2699">
        <f t="shared" si="39"/>
        <v>158.32225913621264</v>
      </c>
      <c r="F51" s="2699">
        <f t="shared" si="39"/>
        <v>114.04278074866311</v>
      </c>
      <c r="G51" s="3429">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2623</v>
      </c>
      <c r="B52" s="2713">
        <v>138</v>
      </c>
      <c r="C52" s="2713">
        <v>131</v>
      </c>
      <c r="D52" s="2713">
        <f t="shared" si="12"/>
        <v>131</v>
      </c>
      <c r="E52" s="2713">
        <v>155</v>
      </c>
      <c r="F52" s="2714">
        <v>114</v>
      </c>
      <c r="G52" s="3427">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2624</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28">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2625</v>
      </c>
      <c r="B54" s="2699">
        <f t="shared" si="42"/>
        <v>124.29032258064517</v>
      </c>
      <c r="C54" s="2699">
        <f t="shared" si="42"/>
        <v>123.8968609865471</v>
      </c>
      <c r="D54" s="2699">
        <f t="shared" si="12"/>
        <v>123.8968609865471</v>
      </c>
      <c r="E54" s="2699">
        <f t="shared" si="43"/>
        <v>138.00507614213197</v>
      </c>
      <c r="F54" s="2699">
        <f t="shared" si="43"/>
        <v>107.96106557377048</v>
      </c>
      <c r="G54" s="3428">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2626</v>
      </c>
      <c r="B55" s="2699">
        <f t="shared" si="42"/>
        <v>122.57204301075269</v>
      </c>
      <c r="C55" s="2699">
        <f t="shared" si="42"/>
        <v>123.4932735426009</v>
      </c>
      <c r="D55" s="2699">
        <f t="shared" si="12"/>
        <v>123.4932735426009</v>
      </c>
      <c r="E55" s="2699">
        <f t="shared" si="43"/>
        <v>129.82233502538071</v>
      </c>
      <c r="F55" s="2699">
        <f t="shared" si="43"/>
        <v>107.39446721311475</v>
      </c>
      <c r="G55" s="3429">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2627</v>
      </c>
      <c r="B56" s="2729">
        <v>121</v>
      </c>
      <c r="C56" s="2729">
        <v>122</v>
      </c>
      <c r="D56" s="2729">
        <f t="shared" si="12"/>
        <v>122</v>
      </c>
      <c r="E56" s="2729">
        <v>124</v>
      </c>
      <c r="F56" s="2730">
        <v>107</v>
      </c>
      <c r="G56" s="3427">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2628</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28">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2629</v>
      </c>
      <c r="B58" s="2699">
        <f t="shared" si="46"/>
        <v>116.99099099099099</v>
      </c>
      <c r="C58" s="2699">
        <f t="shared" si="46"/>
        <v>118.84848484848486</v>
      </c>
      <c r="D58" s="2699">
        <f t="shared" si="12"/>
        <v>118.84848484848486</v>
      </c>
      <c r="E58" s="2699">
        <f t="shared" si="47"/>
        <v>117.60960960960961</v>
      </c>
      <c r="F58" s="2699">
        <f t="shared" si="47"/>
        <v>104</v>
      </c>
      <c r="G58" s="3428">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2630</v>
      </c>
      <c r="B59" s="2732">
        <f t="shared" si="46"/>
        <v>112.48648648648648</v>
      </c>
      <c r="C59" s="2732">
        <f t="shared" si="46"/>
        <v>115.21212121212122</v>
      </c>
      <c r="D59" s="2732">
        <f t="shared" si="12"/>
        <v>115.21212121212122</v>
      </c>
      <c r="E59" s="2732">
        <f t="shared" si="47"/>
        <v>110.4024024024024</v>
      </c>
      <c r="F59" s="2732">
        <f t="shared" si="47"/>
        <v>104</v>
      </c>
      <c r="G59" s="3429">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2631</v>
      </c>
      <c r="B60" s="2750">
        <v>111</v>
      </c>
      <c r="C60" s="2750">
        <v>114</v>
      </c>
      <c r="D60" s="2750">
        <f t="shared" si="12"/>
        <v>114</v>
      </c>
      <c r="E60" s="2750">
        <v>108</v>
      </c>
      <c r="F60" s="2751">
        <v>104</v>
      </c>
      <c r="G60" s="3427">
        <v>2003</v>
      </c>
      <c r="H60" s="2740">
        <v>4</v>
      </c>
      <c r="I60" s="2752"/>
      <c r="J60" s="2752"/>
      <c r="K60" s="2752"/>
      <c r="L60" s="2752"/>
      <c r="N60" s="2753"/>
      <c r="O60" s="2752"/>
      <c r="P60" s="2752"/>
      <c r="Q60" s="2752"/>
      <c r="S60" s="2753"/>
      <c r="T60" s="2752"/>
      <c r="U60" s="2752"/>
      <c r="V60" s="2752"/>
      <c r="X60" s="2744"/>
      <c r="Y60" s="2744"/>
      <c r="Z60" s="2744"/>
    </row>
    <row r="61" spans="1:26">
      <c r="A61" s="2684" t="s">
        <v>2632</v>
      </c>
      <c r="B61" s="2754">
        <f t="shared" ref="B61:C63" si="48">B62+(B$60-B$64)/4</f>
        <v>109.75</v>
      </c>
      <c r="C61" s="2754">
        <f t="shared" si="48"/>
        <v>112.25</v>
      </c>
      <c r="D61" s="2754">
        <f t="shared" si="12"/>
        <v>112.25</v>
      </c>
      <c r="E61" s="2754">
        <f t="shared" ref="E61:F63" si="49">E62+(E$60-E$64)/4</f>
        <v>107.25</v>
      </c>
      <c r="F61" s="2754">
        <f t="shared" si="49"/>
        <v>103.5</v>
      </c>
      <c r="G61" s="3428">
        <v>2003</v>
      </c>
      <c r="H61" s="2710">
        <v>3</v>
      </c>
      <c r="I61" s="2752"/>
      <c r="J61" s="2752"/>
      <c r="K61" s="2752"/>
      <c r="L61" s="2752"/>
      <c r="X61" s="2744"/>
      <c r="Y61" s="2744"/>
      <c r="Z61" s="2744"/>
    </row>
    <row r="62" spans="1:26">
      <c r="A62" s="2684" t="s">
        <v>2633</v>
      </c>
      <c r="B62" s="2754">
        <f t="shared" si="48"/>
        <v>108.5</v>
      </c>
      <c r="C62" s="2754">
        <f t="shared" si="48"/>
        <v>110.5</v>
      </c>
      <c r="D62" s="2754">
        <f t="shared" si="12"/>
        <v>110.5</v>
      </c>
      <c r="E62" s="2754">
        <f t="shared" si="49"/>
        <v>106.5</v>
      </c>
      <c r="F62" s="2754">
        <f t="shared" si="49"/>
        <v>103</v>
      </c>
      <c r="G62" s="3428">
        <v>2003</v>
      </c>
      <c r="H62" s="2690">
        <v>2</v>
      </c>
      <c r="I62" s="2752"/>
      <c r="J62" s="2752"/>
      <c r="K62" s="2752"/>
      <c r="L62" s="2752"/>
      <c r="X62" s="2744"/>
      <c r="Y62" s="2744"/>
      <c r="Z62" s="2744"/>
    </row>
    <row r="63" spans="1:26" ht="13.5" thickBot="1">
      <c r="A63" s="2684" t="s">
        <v>2634</v>
      </c>
      <c r="B63" s="2754">
        <f t="shared" si="48"/>
        <v>107.25</v>
      </c>
      <c r="C63" s="2754">
        <f t="shared" si="48"/>
        <v>108.75</v>
      </c>
      <c r="D63" s="2754">
        <f t="shared" si="12"/>
        <v>108.75</v>
      </c>
      <c r="E63" s="2754">
        <f t="shared" si="49"/>
        <v>105.75</v>
      </c>
      <c r="F63" s="2754">
        <f t="shared" si="49"/>
        <v>102.5</v>
      </c>
      <c r="G63" s="3429">
        <v>2003</v>
      </c>
      <c r="H63" s="2755">
        <v>1</v>
      </c>
      <c r="I63" s="2752"/>
      <c r="J63" s="2752"/>
      <c r="K63" s="2752"/>
      <c r="L63" s="2752"/>
      <c r="S63" s="2694"/>
      <c r="T63" s="2695"/>
      <c r="U63" s="2695"/>
      <c r="X63" s="2744"/>
      <c r="Y63" s="2744"/>
      <c r="Z63" s="2744"/>
    </row>
    <row r="64" spans="1:26" ht="13.5" thickBot="1">
      <c r="A64" s="2684" t="s">
        <v>2635</v>
      </c>
      <c r="B64" s="2756">
        <v>106</v>
      </c>
      <c r="C64" s="2756">
        <v>107</v>
      </c>
      <c r="D64" s="2756">
        <f t="shared" si="12"/>
        <v>107</v>
      </c>
      <c r="E64" s="2756">
        <v>105</v>
      </c>
      <c r="F64" s="2757">
        <v>102</v>
      </c>
      <c r="G64" s="3427">
        <v>2002</v>
      </c>
      <c r="H64" s="2705">
        <v>4</v>
      </c>
      <c r="I64" s="2752"/>
      <c r="J64" s="2752"/>
      <c r="K64" s="2752"/>
      <c r="L64" s="2752"/>
      <c r="N64" s="2753"/>
      <c r="O64" s="2752"/>
      <c r="P64" s="2752"/>
      <c r="Q64" s="2752"/>
      <c r="S64" s="2753"/>
      <c r="T64" s="2752"/>
      <c r="U64" s="2752"/>
      <c r="V64" s="2752"/>
      <c r="X64" s="2744"/>
      <c r="Y64" s="2744"/>
      <c r="Z64" s="2744"/>
    </row>
    <row r="65" spans="1:26">
      <c r="A65" s="2684" t="s">
        <v>2636</v>
      </c>
      <c r="B65" s="2754">
        <f t="shared" ref="B65:C67" si="50">B66+(B$64-B$68)/4</f>
        <v>105</v>
      </c>
      <c r="C65" s="2754">
        <f t="shared" si="50"/>
        <v>106</v>
      </c>
      <c r="D65" s="2754">
        <f t="shared" si="12"/>
        <v>106</v>
      </c>
      <c r="E65" s="2754">
        <f t="shared" ref="E65:F67" si="51">E66+(E$64-E$68)/4</f>
        <v>104.5</v>
      </c>
      <c r="F65" s="2754">
        <f t="shared" si="51"/>
        <v>101.5</v>
      </c>
      <c r="G65" s="3428">
        <v>2002</v>
      </c>
      <c r="H65" s="2710">
        <v>3</v>
      </c>
      <c r="I65" s="2752"/>
      <c r="J65" s="2752"/>
      <c r="K65" s="2752"/>
      <c r="L65" s="2752"/>
      <c r="X65" s="2744"/>
      <c r="Y65" s="2744"/>
      <c r="Z65" s="2744"/>
    </row>
    <row r="66" spans="1:26">
      <c r="A66" s="2684" t="s">
        <v>2637</v>
      </c>
      <c r="B66" s="2754">
        <f t="shared" si="50"/>
        <v>104</v>
      </c>
      <c r="C66" s="2754">
        <f t="shared" si="50"/>
        <v>105</v>
      </c>
      <c r="D66" s="2754">
        <f t="shared" si="12"/>
        <v>105</v>
      </c>
      <c r="E66" s="2754">
        <f t="shared" si="51"/>
        <v>104</v>
      </c>
      <c r="F66" s="2754">
        <f t="shared" si="51"/>
        <v>101</v>
      </c>
      <c r="G66" s="3428">
        <v>2002</v>
      </c>
      <c r="H66" s="2690">
        <v>2</v>
      </c>
      <c r="I66" s="2752"/>
      <c r="J66" s="2752"/>
      <c r="K66" s="2752"/>
      <c r="L66" s="2752"/>
      <c r="X66" s="2744"/>
      <c r="Y66" s="2744"/>
      <c r="Z66" s="2744"/>
    </row>
    <row r="67" spans="1:26" s="2721" customFormat="1" ht="13.5" thickBot="1">
      <c r="A67" s="2717" t="s">
        <v>2638</v>
      </c>
      <c r="B67" s="2758">
        <f t="shared" si="50"/>
        <v>103</v>
      </c>
      <c r="C67" s="2758">
        <f t="shared" si="50"/>
        <v>104</v>
      </c>
      <c r="D67" s="2758">
        <f t="shared" si="12"/>
        <v>104</v>
      </c>
      <c r="E67" s="2758">
        <f t="shared" si="51"/>
        <v>103.5</v>
      </c>
      <c r="F67" s="2758">
        <f t="shared" si="51"/>
        <v>100.5</v>
      </c>
      <c r="G67" s="3429">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2639</v>
      </c>
      <c r="G70" s="2768"/>
      <c r="N70" s="2768"/>
      <c r="S70" s="2768"/>
    </row>
    <row r="71" spans="1:26" s="2767" customFormat="1">
      <c r="A71" s="2767" t="s">
        <v>2640</v>
      </c>
      <c r="G71" s="2768"/>
      <c r="N71" s="2768"/>
      <c r="S71" s="2768"/>
    </row>
    <row r="72" spans="1:26" s="2767" customFormat="1">
      <c r="A72" s="2767" t="s">
        <v>2641</v>
      </c>
      <c r="G72" s="2768"/>
      <c r="I72" s="2769"/>
      <c r="J72" s="2769"/>
      <c r="K72" s="2769"/>
      <c r="L72" s="2769"/>
      <c r="N72" s="2770"/>
      <c r="O72" s="2769"/>
      <c r="P72" s="2769"/>
      <c r="Q72" s="2769"/>
      <c r="S72" s="2770"/>
      <c r="T72" s="2769"/>
      <c r="U72" s="2769"/>
      <c r="V72" s="2769"/>
    </row>
    <row r="73" spans="1:26" s="2767" customFormat="1">
      <c r="A73" s="2767" t="s">
        <v>2642</v>
      </c>
      <c r="G73" s="2768"/>
      <c r="N73" s="2768"/>
      <c r="S73" s="2768"/>
    </row>
    <row r="80" spans="1:26" ht="13.5" thickBot="1"/>
    <row r="81" spans="14:22" s="2693" customFormat="1">
      <c r="N81" s="2709"/>
      <c r="S81" s="2771" t="s">
        <v>2643</v>
      </c>
      <c r="T81" s="2772" t="s">
        <v>2644</v>
      </c>
      <c r="U81" s="2772" t="s">
        <v>2645</v>
      </c>
      <c r="V81" s="2772" t="s">
        <v>2646</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中信信托有限责任公司：</v>
      </c>
    </row>
    <row r="4" spans="1:4" ht="37.5">
      <c r="A4" s="1795" t="str">
        <f>"受贵公司委托，我公司对"&amp;项目基本情况!K2&amp;项目基本情况!B9&amp;"进行了预评估。"</f>
        <v>受贵公司委托，我公司对郑州市鸿宝南路南、姚店堤西路东出让国有建设用地使用权抵押价格进行了预评估。</v>
      </c>
    </row>
    <row r="5" spans="1:4" ht="18.75">
      <c r="A5" s="1798" t="s">
        <v>1907</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嘉智置业有限公司使用的、位于郑州市鸿宝南路南、姚店堤西路东出让国有建设用地使用权。根据《不动产权证》[豫（2017）郑州市不动产权第0125580号]，估价对象（分摊）出让国有建设用地使用权面积为54313.53平方米。根据《建设工程规划许可证》[]、《出让合同》[]，估价对象规划建筑面积为114058.41平方米。</v>
      </c>
    </row>
    <row r="7" spans="1:4" ht="56.25">
      <c r="A7" s="1799" t="s">
        <v>2755</v>
      </c>
    </row>
    <row r="8" spans="1:4" ht="18.75">
      <c r="A8" s="1798" t="s">
        <v>1908</v>
      </c>
    </row>
    <row r="9" spans="1:4" ht="93.75">
      <c r="A9" s="1800" t="str">
        <f>IF(项目基本情况!B8="抵押",IF(项目基本情况!B5=项目基本情况!B6,定义!C51,定义!B51),定义!D51)</f>
        <v>郑州泰禾置业集团有限公司拟使用郑州市鸿宝南路南、姚店堤西路东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2017年10月13日（评估专业人员勘察现场之日）</v>
      </c>
    </row>
    <row r="12" spans="1:4" ht="18.75">
      <c r="A12" s="1801" t="s">
        <v>2029</v>
      </c>
    </row>
    <row r="13" spans="1:4" ht="18.75">
      <c r="A13" s="1795" t="s">
        <v>2950</v>
      </c>
    </row>
    <row r="14" spans="1:4" ht="37.5">
      <c r="A14" s="1795" t="str">
        <f>"根据"&amp;项目基本情况!F12&amp;"，本次评估估价对象证载（地类）用途为"&amp;项目基本情况!B12&amp;"。"</f>
        <v>根据《不动产权证》[豫（2017）郑州市不动产权第0125580号]，本次评估估价对象证载（地类）用途为城镇住宅用地。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2077</v>
      </c>
    </row>
    <row r="20" spans="1:1" ht="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豫（2017）郑州市不动产权第0125580号]，估价对象（分摊）出让国有建设用地使用权面积为54313.53平方米。根据《建设工程规划许可证》[]、《出让合同》[]，估价对象规划建筑面积为114058.41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本次估价对象为出让国有建设用地使用权，《不动产权证》[豫（2017）郑州市不动产权第0125580号]证载土地终止日期为住宅2087年8月8日。截至估价期日，出让国有建设用地使用权剩余土地使用年限为住宅70年。</v>
      </c>
    </row>
    <row r="23" spans="1:1" ht="18.75">
      <c r="A23" s="1795" t="str">
        <f>IF(项目基本情况!B16="出让","本次评估设定估价对象剩余土地使用年限为"&amp;项目基本情况!D20&amp;"。","")</f>
        <v>本次评估设定估价对象剩余土地使用年限为住宅70年。</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10月13日，在规划利用条件下、设定土地开发程度为红线外“六通”、宗地内场地平整，设定用途为城镇住宅用地，剩余土地使用年限为住宅70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c r="D1" s="3164"/>
      <c r="E1" s="2415" t="s">
        <v>2378</v>
      </c>
      <c r="F1" s="2416" t="b">
        <f>J53</f>
        <v>0</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t="e">
        <f ca="1">C40+J29+L46</f>
        <v>#DIV/0!</v>
      </c>
      <c r="C2" s="2061"/>
      <c r="D2" s="2059"/>
      <c r="E2" s="2060"/>
      <c r="F2" s="2060"/>
      <c r="G2" s="1594"/>
      <c r="H2" s="2061"/>
      <c r="I2" s="2061"/>
      <c r="J2" s="2061"/>
      <c r="K2" s="2062"/>
      <c r="L2" s="2061"/>
      <c r="M2" s="2061"/>
    </row>
    <row r="3" spans="1:33" ht="18" customHeight="1" thickBot="1">
      <c r="A3" s="836" t="s">
        <v>1729</v>
      </c>
      <c r="B3" s="837">
        <f ca="1">IF(ISERROR(B2*10000/F43),0,ROUND(B2*10000/F43,0))</f>
        <v>0</v>
      </c>
      <c r="C3" s="2061"/>
      <c r="D3" s="2059"/>
      <c r="E3" s="2060"/>
      <c r="F3" s="2060"/>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2463</v>
      </c>
      <c r="C5" s="55">
        <f ca="1">C6+C10+C12</f>
        <v>0</v>
      </c>
      <c r="D5" s="2524" t="s">
        <v>2466</v>
      </c>
      <c r="E5" s="2518"/>
      <c r="F5" s="2519"/>
      <c r="G5" s="1596"/>
      <c r="H5" s="784">
        <v>1</v>
      </c>
      <c r="I5" s="785" t="s">
        <v>2463</v>
      </c>
      <c r="J5" s="55">
        <f ca="1">J6+J10+J12</f>
        <v>0</v>
      </c>
      <c r="K5" s="2524" t="s">
        <v>2466</v>
      </c>
      <c r="L5" s="2518"/>
      <c r="M5" s="2519"/>
    </row>
    <row r="6" spans="1:33" ht="18" customHeight="1">
      <c r="A6" s="1834" t="s">
        <v>1826</v>
      </c>
      <c r="B6" s="3421" t="s">
        <v>2468</v>
      </c>
      <c r="C6" s="786">
        <f ca="1">ROUND(F6*F8*F7*(1-F9)/10000,0)</f>
        <v>0</v>
      </c>
      <c r="D6" s="2525" t="s">
        <v>2467</v>
      </c>
      <c r="E6" s="787" t="s">
        <v>1740</v>
      </c>
      <c r="F6" s="788">
        <f ca="1">INDIRECT("'数据-取费表'!u"&amp;$G$1)</f>
        <v>0</v>
      </c>
      <c r="G6" s="1596"/>
      <c r="H6" s="2532" t="s">
        <v>2474</v>
      </c>
      <c r="I6" s="3421" t="s">
        <v>2468</v>
      </c>
      <c r="J6" s="786">
        <f ca="1">ROUND(M6*M8*M7*(1-M9)/10000,0)</f>
        <v>0</v>
      </c>
      <c r="K6" s="344" t="s">
        <v>1739</v>
      </c>
      <c r="L6" s="787" t="s">
        <v>1740</v>
      </c>
      <c r="M6" s="788">
        <f ca="1">INDIRECT("'数据-取费表'!z"&amp;$G$1)</f>
        <v>0</v>
      </c>
    </row>
    <row r="7" spans="1:33" ht="18" customHeight="1">
      <c r="A7" s="2528"/>
      <c r="B7" s="3422"/>
      <c r="C7" s="791"/>
      <c r="D7" s="792"/>
      <c r="E7" s="787" t="s">
        <v>1741</v>
      </c>
      <c r="F7" s="788">
        <f ca="1">IF(INDIRECT("'数据-取费表'!ah"&amp;$G$1)="",INDIRECT("'数据-取费表'!k"&amp;$G$1),INDIRECT("'数据-取费表'!ah"&amp;$G$1))</f>
        <v>0</v>
      </c>
      <c r="G7" s="1596"/>
      <c r="H7" s="2517"/>
      <c r="I7" s="3422"/>
      <c r="J7" s="791"/>
      <c r="K7" s="792"/>
      <c r="L7" s="787" t="s">
        <v>1741</v>
      </c>
      <c r="M7" s="788">
        <f ca="1">F7</f>
        <v>0</v>
      </c>
    </row>
    <row r="8" spans="1:33" ht="18" customHeight="1">
      <c r="A8" s="2521"/>
      <c r="B8" s="3423"/>
      <c r="C8" s="791"/>
      <c r="D8" s="792"/>
      <c r="E8" s="787" t="s">
        <v>1742</v>
      </c>
      <c r="F8" s="788">
        <f ca="1">INDIRECT("'数据-取费表'!ai"&amp;$G$1)</f>
        <v>0</v>
      </c>
      <c r="G8" s="1596"/>
      <c r="H8" s="2517"/>
      <c r="I8" s="3423"/>
      <c r="J8" s="791"/>
      <c r="K8" s="792"/>
      <c r="L8" s="787" t="s">
        <v>1742</v>
      </c>
      <c r="M8" s="788">
        <f ca="1">INDIRECT("'数据-取费表'!ai"&amp;$G$1)</f>
        <v>0</v>
      </c>
    </row>
    <row r="9" spans="1:33" ht="18" customHeight="1">
      <c r="A9" s="789"/>
      <c r="B9" s="3424"/>
      <c r="C9" s="791"/>
      <c r="D9" s="792"/>
      <c r="E9" s="787" t="s">
        <v>1743</v>
      </c>
      <c r="F9" s="797">
        <f ca="1">INDIRECT("'数据-取费表'!w"&amp;$G$1)</f>
        <v>0</v>
      </c>
      <c r="G9" s="1596"/>
      <c r="H9" s="2533"/>
      <c r="I9" s="3423"/>
      <c r="J9" s="791"/>
      <c r="K9" s="792"/>
      <c r="L9" s="798" t="s">
        <v>1743</v>
      </c>
      <c r="M9" s="799">
        <f ca="1">INDIRECT("'数据-取费表'!ab"&amp;$G$1)</f>
        <v>0</v>
      </c>
    </row>
    <row r="10" spans="1:33" ht="18" customHeight="1">
      <c r="A10" s="1834" t="s">
        <v>2472</v>
      </c>
      <c r="B10" s="2522" t="s">
        <v>2464</v>
      </c>
      <c r="C10" s="802">
        <f ca="1">ROUND(IF(F10="押一",F6*F8*F7/12*F11,IF(F10="押二",F6*F8*F7/12*2*F11,IF(F10="押三",F6*F8*F7/12*3*F11,C11*F11)))/10000,0)</f>
        <v>0</v>
      </c>
      <c r="D10" s="2529" t="s">
        <v>2471</v>
      </c>
      <c r="E10" s="2526" t="s">
        <v>2469</v>
      </c>
      <c r="F10" s="2649"/>
      <c r="G10" s="1596"/>
      <c r="H10" s="2589" t="s">
        <v>2475</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2470</v>
      </c>
      <c r="F11" s="799">
        <f ca="1">'数据-取费表'!B39</f>
        <v>1.4999999999999999E-2</v>
      </c>
      <c r="G11" s="1596"/>
      <c r="H11" s="2590"/>
      <c r="I11" s="2523" t="s">
        <v>2579</v>
      </c>
      <c r="J11" s="2527"/>
      <c r="K11" s="2591"/>
      <c r="L11" s="2526" t="s">
        <v>2470</v>
      </c>
      <c r="M11" s="2520">
        <f ca="1">'数据-取费表'!B39</f>
        <v>1.4999999999999999E-2</v>
      </c>
    </row>
    <row r="12" spans="1:33" ht="18" customHeight="1" thickBot="1">
      <c r="A12" s="2565" t="s">
        <v>2473</v>
      </c>
      <c r="B12" s="2566" t="s">
        <v>2465</v>
      </c>
      <c r="C12" s="2567"/>
      <c r="D12" s="2568"/>
      <c r="E12" s="2569"/>
      <c r="F12" s="2570"/>
      <c r="G12" s="1596"/>
      <c r="H12" s="2579" t="s">
        <v>2476</v>
      </c>
      <c r="I12" s="2592" t="s">
        <v>2465</v>
      </c>
      <c r="J12" s="2593"/>
      <c r="K12" s="2568"/>
      <c r="L12" s="2569"/>
      <c r="M12" s="2582"/>
    </row>
    <row r="13" spans="1:33" ht="18" customHeight="1" thickTop="1">
      <c r="A13" s="1833">
        <v>2</v>
      </c>
      <c r="B13" s="1831" t="s">
        <v>1744</v>
      </c>
      <c r="C13" s="795">
        <f ca="1">ROUND(C29*F13,0)</f>
        <v>0</v>
      </c>
      <c r="D13" s="1838" t="s">
        <v>2301</v>
      </c>
      <c r="E13" s="1838" t="s">
        <v>1746</v>
      </c>
      <c r="F13" s="2564">
        <f ca="1">INDIRECT("'数据-取费表'!y"&amp;$G$1)</f>
        <v>0</v>
      </c>
      <c r="G13" s="1596"/>
      <c r="H13" s="1833">
        <v>2</v>
      </c>
      <c r="I13" s="1831" t="s">
        <v>1744</v>
      </c>
      <c r="J13" s="1823">
        <f ca="1">ROUND(J14*J15,0)</f>
        <v>0</v>
      </c>
      <c r="K13" s="1825" t="s">
        <v>1745</v>
      </c>
      <c r="L13" s="2580"/>
      <c r="M13" s="2581"/>
    </row>
    <row r="14" spans="1:33" ht="18" customHeight="1">
      <c r="A14" s="1652" t="s">
        <v>1886</v>
      </c>
      <c r="B14" s="787" t="s">
        <v>646</v>
      </c>
      <c r="C14" s="807">
        <f ca="1">INDIRECT("'数据-取费表'!m"&amp;$G$1)+INDIRECT("'数据-取费表'!t"&amp;$G$1)</f>
        <v>0</v>
      </c>
      <c r="D14" s="1983" t="s">
        <v>1747</v>
      </c>
      <c r="E14" s="1984"/>
      <c r="F14" s="808"/>
      <c r="G14" s="1596"/>
      <c r="H14" s="1653" t="s">
        <v>1832</v>
      </c>
      <c r="I14" s="2235" t="s">
        <v>2834</v>
      </c>
      <c r="J14" s="53">
        <f ca="1">C29</f>
        <v>0</v>
      </c>
      <c r="K14" s="26"/>
      <c r="L14" s="804"/>
      <c r="M14" s="805"/>
    </row>
    <row r="15" spans="1:33" s="2068" customFormat="1" ht="18" customHeight="1" thickBot="1">
      <c r="A15" s="1652" t="s">
        <v>1887</v>
      </c>
      <c r="B15" s="787" t="s">
        <v>648</v>
      </c>
      <c r="C15" s="53">
        <f ca="1">ROUND(C14*F15,0)</f>
        <v>0</v>
      </c>
      <c r="D15" s="809" t="s">
        <v>1748</v>
      </c>
      <c r="E15" s="809" t="s">
        <v>1749</v>
      </c>
      <c r="F15" s="810">
        <f>'数据-取费表'!B33</f>
        <v>0.03</v>
      </c>
      <c r="G15" s="1597"/>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3" t="s">
        <v>1750</v>
      </c>
      <c r="I16" s="1831" t="s">
        <v>1751</v>
      </c>
      <c r="J16" s="795">
        <f ca="1">ROUND(J17+J22+J23+J24,0)</f>
        <v>0</v>
      </c>
      <c r="K16" s="1825" t="s">
        <v>1752</v>
      </c>
      <c r="L16" s="2514"/>
      <c r="M16" s="2519"/>
    </row>
    <row r="17" spans="1:33" s="2068" customFormat="1" ht="18" customHeight="1">
      <c r="A17" s="1652" t="s">
        <v>1889</v>
      </c>
      <c r="B17" s="787" t="s">
        <v>654</v>
      </c>
      <c r="C17" s="53">
        <f ca="1">ROUND(F17*(F43+INDIRECT("'数据-取费表'!S"&amp;$G$1))/10000,0)</f>
        <v>0</v>
      </c>
      <c r="D17" s="787" t="s">
        <v>1753</v>
      </c>
      <c r="E17" s="787" t="s">
        <v>1754</v>
      </c>
      <c r="F17" s="56">
        <f>'数据-取费表'!B35</f>
        <v>200</v>
      </c>
      <c r="G17" s="1597"/>
      <c r="H17" s="1653" t="s">
        <v>1832</v>
      </c>
      <c r="I17" s="787" t="s">
        <v>657</v>
      </c>
      <c r="J17" s="53">
        <f ca="1">ROUND(IF(项目基本情况!B11="自然人",J5*M17,J18+J19+J20),0)</f>
        <v>0</v>
      </c>
      <c r="K17" s="2513" t="s">
        <v>1755</v>
      </c>
      <c r="L17" s="2512"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1890</v>
      </c>
      <c r="B18" s="787" t="s">
        <v>660</v>
      </c>
      <c r="C18" s="53">
        <f ca="1">ROUND(C14*F18,0)</f>
        <v>0</v>
      </c>
      <c r="D18" s="787" t="s">
        <v>1748</v>
      </c>
      <c r="E18" s="787" t="s">
        <v>1749</v>
      </c>
      <c r="F18" s="812">
        <f>'数据-取费表'!B36</f>
        <v>1.4999999999999999E-2</v>
      </c>
      <c r="G18" s="1597"/>
      <c r="H18" s="1652" t="s">
        <v>1886</v>
      </c>
      <c r="I18" s="787" t="s">
        <v>1757</v>
      </c>
      <c r="J18" s="53">
        <f ca="1">ROUND(J5*M18/1.05,1)</f>
        <v>0</v>
      </c>
      <c r="K18" s="2512" t="s">
        <v>1758</v>
      </c>
      <c r="L18" s="787" t="s">
        <v>1749</v>
      </c>
      <c r="M18" s="812">
        <f>'数据-取费表'!B41</f>
        <v>0</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3" t="s">
        <v>1832</v>
      </c>
      <c r="B19" s="787" t="s">
        <v>663</v>
      </c>
      <c r="C19" s="53">
        <f ca="1">SUM(C14:C18)</f>
        <v>0</v>
      </c>
      <c r="D19" s="261" t="s">
        <v>1759</v>
      </c>
      <c r="E19" s="1986"/>
      <c r="F19" s="56"/>
      <c r="G19" s="1596"/>
      <c r="H19" s="1652" t="s">
        <v>1887</v>
      </c>
      <c r="I19" s="787" t="s">
        <v>1760</v>
      </c>
      <c r="J19" s="53">
        <f ca="1">IF(K19="按租金收入计税",ROUND(J5*M19,1),ROUND(C29*F33*0.7,1))</f>
        <v>0</v>
      </c>
      <c r="K19" s="814" t="s">
        <v>666</v>
      </c>
      <c r="L19" s="787" t="s">
        <v>1749</v>
      </c>
      <c r="M19" s="812">
        <f>IF(K19="按租金收入计税",'数据-取费表'!B51,'数据-取费表'!B50)</f>
        <v>1.2E-2</v>
      </c>
    </row>
    <row r="20" spans="1:33" s="2068" customFormat="1" ht="18" customHeight="1">
      <c r="A20" s="1653" t="s">
        <v>1891</v>
      </c>
      <c r="B20" s="787" t="s">
        <v>667</v>
      </c>
      <c r="C20" s="53">
        <f ca="1">ROUND(C19*F20,0)</f>
        <v>0</v>
      </c>
      <c r="D20" s="815" t="s">
        <v>1761</v>
      </c>
      <c r="E20" s="787" t="s">
        <v>1749</v>
      </c>
      <c r="F20" s="812">
        <f>'数据-取费表'!B37</f>
        <v>0.03</v>
      </c>
      <c r="G20" s="1597"/>
      <c r="H20" s="1655" t="s">
        <v>1882</v>
      </c>
      <c r="I20" s="344" t="s">
        <v>1762</v>
      </c>
      <c r="J20" s="54">
        <f ca="1">ROUND(M20*M21/10000,0)</f>
        <v>0</v>
      </c>
      <c r="K20" s="817" t="s">
        <v>1763</v>
      </c>
      <c r="L20" s="787" t="s">
        <v>1764</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1892</v>
      </c>
      <c r="B21" s="787" t="s">
        <v>1765</v>
      </c>
      <c r="C21" s="53" t="s">
        <v>1766</v>
      </c>
      <c r="D21" s="815" t="s">
        <v>2302</v>
      </c>
      <c r="E21" s="787" t="s">
        <v>1767</v>
      </c>
      <c r="F21" s="812">
        <f>'数据-取费表'!B38</f>
        <v>0.03</v>
      </c>
      <c r="G21" s="1597"/>
      <c r="H21" s="2534"/>
      <c r="I21" s="796"/>
      <c r="J21" s="69"/>
      <c r="K21" s="819"/>
      <c r="L21" s="787" t="s">
        <v>1768</v>
      </c>
      <c r="M21" s="788">
        <f ca="1">INDIRECT("'数据-取费表'!r"&amp;$G$1)</f>
        <v>0</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3" t="s">
        <v>1893</v>
      </c>
      <c r="B22" s="787" t="s">
        <v>1769</v>
      </c>
      <c r="C22" s="53"/>
      <c r="D22" s="2600" t="str">
        <f>IF(F23&lt;=1,"单利计息。","复利计息。")&amp;"建造成本、管理费用、销售费用产生的利息。"</f>
        <v>复利计息。建造成本、管理费用、销售费用产生的利息。</v>
      </c>
      <c r="E22" s="1986"/>
      <c r="F22" s="56"/>
      <c r="G22" s="1596"/>
      <c r="H22" s="1653" t="s">
        <v>1891</v>
      </c>
      <c r="I22" s="787" t="s">
        <v>1770</v>
      </c>
      <c r="J22" s="53">
        <f ca="1">ROUND(J14*M22,0)</f>
        <v>0</v>
      </c>
      <c r="K22" s="2512" t="s">
        <v>1771</v>
      </c>
      <c r="L22" s="787" t="s">
        <v>1749</v>
      </c>
      <c r="M22" s="820">
        <f ca="1">INDIRECT("'数据-取费表'!Ak"&amp;$G$1)</f>
        <v>0</v>
      </c>
    </row>
    <row r="23" spans="1:33" s="2068" customFormat="1" ht="18" customHeight="1">
      <c r="A23" s="1652" t="s">
        <v>1833</v>
      </c>
      <c r="B23" s="787" t="s">
        <v>2541</v>
      </c>
      <c r="C23" s="53">
        <f ca="1">ROUND(IF('数据-取费表'!B22&lt;=1,(C19+C20)*F24*F23/2,(C19+C20)*(POWER((1+F24),F23/2)-1)),0)</f>
        <v>0</v>
      </c>
      <c r="D23" s="2599"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2" t="s">
        <v>1773</v>
      </c>
      <c r="L23" s="787" t="s">
        <v>1749</v>
      </c>
      <c r="M23" s="821">
        <f ca="1">INDIRECT("'数据-取费表'!Al"&amp;$G$1)</f>
        <v>0</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7"/>
      <c r="H24" s="2579" t="s">
        <v>1893</v>
      </c>
      <c r="I24" s="2574" t="s">
        <v>667</v>
      </c>
      <c r="J24" s="2572">
        <f ca="1">ROUND(J5*M24,0)</f>
        <v>0</v>
      </c>
      <c r="K24" s="2573" t="s">
        <v>1776</v>
      </c>
      <c r="L24" s="2574" t="s">
        <v>1749</v>
      </c>
      <c r="M24" s="2570">
        <f ca="1">INDIRECT("'数据-取费表'!Am"&amp;$G$1)</f>
        <v>0</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1842</v>
      </c>
      <c r="B25" s="787" t="s">
        <v>685</v>
      </c>
      <c r="C25" s="53"/>
      <c r="D25" s="261" t="s">
        <v>1777</v>
      </c>
      <c r="E25" s="1986"/>
      <c r="F25" s="56"/>
      <c r="G25" s="1596"/>
      <c r="H25" s="1833" t="s">
        <v>1778</v>
      </c>
      <c r="I25" s="3042" t="s">
        <v>2830</v>
      </c>
      <c r="J25" s="795">
        <f ca="1">J5-J16</f>
        <v>0</v>
      </c>
      <c r="K25" s="2576" t="s">
        <v>1779</v>
      </c>
      <c r="L25" s="2577"/>
      <c r="M25" s="2578"/>
    </row>
    <row r="26" spans="1:33" ht="18" customHeight="1">
      <c r="A26" s="1652" t="s">
        <v>1833</v>
      </c>
      <c r="B26" s="787" t="s">
        <v>2442</v>
      </c>
      <c r="C26" s="53">
        <f ca="1">ROUND((C19+C20)*F26,0)</f>
        <v>0</v>
      </c>
      <c r="D26" s="815" t="s">
        <v>1780</v>
      </c>
      <c r="E26" s="798" t="s">
        <v>1781</v>
      </c>
      <c r="F26" s="797">
        <f ca="1">INDIRECT("'数据-取费表'!q"&amp;$G$1)</f>
        <v>0</v>
      </c>
      <c r="G26" s="1596"/>
      <c r="H26" s="2530" t="s">
        <v>1782</v>
      </c>
      <c r="I26" s="2236" t="s">
        <v>2835</v>
      </c>
      <c r="J26" s="786">
        <f ca="1">IF(J5&lt;&gt;0,ROUND(J25*(1-((1+M28)/(1+M26))^M27)/(M26-M28),0),0)</f>
        <v>0</v>
      </c>
      <c r="K26" s="817" t="s">
        <v>1783</v>
      </c>
      <c r="L26" s="787" t="s">
        <v>2423</v>
      </c>
      <c r="M26" s="797">
        <f ca="1">INDIRECT("'数据-取费表'!I"&amp;$G$1)</f>
        <v>0</v>
      </c>
    </row>
    <row r="27" spans="1:33" ht="18" customHeight="1">
      <c r="A27" s="1652" t="s">
        <v>1834</v>
      </c>
      <c r="B27" s="787" t="s">
        <v>687</v>
      </c>
      <c r="C27" s="53">
        <f ca="1">ROUND(F21*F26,4)</f>
        <v>0</v>
      </c>
      <c r="D27" s="815" t="s">
        <v>1784</v>
      </c>
      <c r="E27" s="809"/>
      <c r="F27" s="810"/>
      <c r="G27" s="1596"/>
      <c r="H27" s="2531"/>
      <c r="I27" s="790"/>
      <c r="J27" s="791"/>
      <c r="K27" s="824" t="s">
        <v>1785</v>
      </c>
      <c r="L27" s="787" t="s">
        <v>1786</v>
      </c>
      <c r="M27" s="825">
        <f ca="1">INDIRECT("'数据-取费表'!ag"&amp;$G$1)</f>
        <v>0</v>
      </c>
    </row>
    <row r="28" spans="1:33" s="2068" customFormat="1" ht="18" customHeight="1">
      <c r="A28" s="1654" t="s">
        <v>1843</v>
      </c>
      <c r="B28" s="787" t="s">
        <v>688</v>
      </c>
      <c r="C28" s="53">
        <f>ROUND(F28/(1+'数据-取费表'!C42),4)</f>
        <v>0</v>
      </c>
      <c r="D28" s="815" t="s">
        <v>2303</v>
      </c>
      <c r="E28" s="787" t="s">
        <v>1787</v>
      </c>
      <c r="F28" s="812">
        <f>'数据-取费表'!B41</f>
        <v>0</v>
      </c>
      <c r="G28" s="1597"/>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0</v>
      </c>
      <c r="D29" s="2573"/>
      <c r="E29" s="2574"/>
      <c r="F29" s="2575"/>
      <c r="G29" s="1597"/>
      <c r="H29" s="826" t="s">
        <v>1789</v>
      </c>
      <c r="I29" s="827" t="s">
        <v>1790</v>
      </c>
      <c r="J29" s="828">
        <f ca="1">ROUND(J26/(1+F40)^F41,0)</f>
        <v>0</v>
      </c>
      <c r="K29" s="829" t="s">
        <v>1791</v>
      </c>
      <c r="L29" s="830"/>
      <c r="M29" s="831">
        <f ca="1">INDIRECT("'数据-取费表'!k"&amp;$G$1)</f>
        <v>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0</v>
      </c>
      <c r="D30" s="1825" t="s">
        <v>1793</v>
      </c>
      <c r="E30" s="2514"/>
      <c r="F30" s="2519"/>
      <c r="G30" s="2066"/>
      <c r="H30" s="2069"/>
      <c r="I30" s="2070"/>
      <c r="J30" s="2071"/>
      <c r="K30" s="2072"/>
      <c r="L30" s="2073"/>
      <c r="M30" s="2074"/>
    </row>
    <row r="31" spans="1:33" ht="18" customHeight="1">
      <c r="A31" s="1653" t="s">
        <v>1832</v>
      </c>
      <c r="B31" s="787" t="s">
        <v>657</v>
      </c>
      <c r="C31" s="53">
        <f ca="1">ROUND(IF(项目基本情况!B11="自然人",C5*F31,C32+C33+C34),1)</f>
        <v>0</v>
      </c>
      <c r="D31" s="1983" t="s">
        <v>1794</v>
      </c>
      <c r="E31" s="1981" t="s">
        <v>1795</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1833</v>
      </c>
      <c r="B32" s="787" t="s">
        <v>1796</v>
      </c>
      <c r="C32" s="53">
        <f ca="1">ROUND(C5*F32/1.05,1)</f>
        <v>0</v>
      </c>
      <c r="D32" s="1981" t="s">
        <v>1797</v>
      </c>
      <c r="E32" s="787" t="s">
        <v>1798</v>
      </c>
      <c r="F32" s="812">
        <f>'数据-取费表'!B41</f>
        <v>0</v>
      </c>
      <c r="G32" s="2066"/>
      <c r="H32" s="2075"/>
      <c r="I32" s="2076"/>
      <c r="J32" s="2077"/>
      <c r="K32" s="2078"/>
      <c r="L32" s="2079"/>
      <c r="M32" s="2080"/>
    </row>
    <row r="33" spans="1:18" ht="18" customHeight="1">
      <c r="A33" s="1652" t="s">
        <v>1834</v>
      </c>
      <c r="B33" s="787" t="s">
        <v>1799</v>
      </c>
      <c r="C33" s="53">
        <f ca="1">IF(D33="按租金收入计税",ROUND(C5*F33,1),IF(D33="按房产原值计税",ROUND(C29*F33*0.7,1),INDIRECT("'数据-取费表'!Aj"&amp;$G$1)))</f>
        <v>0</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5" t="s">
        <v>1835</v>
      </c>
      <c r="B34" s="344" t="s">
        <v>1800</v>
      </c>
      <c r="C34" s="54">
        <f ca="1">ROUND(F34*F35/10000,1)</f>
        <v>0</v>
      </c>
      <c r="D34" s="817" t="s">
        <v>1801</v>
      </c>
      <c r="E34" s="787" t="s">
        <v>1802</v>
      </c>
      <c r="F34" s="643">
        <f>'数据-取费表'!B52</f>
        <v>3</v>
      </c>
      <c r="G34" s="2066"/>
      <c r="H34" s="2069"/>
      <c r="I34" s="838" t="s">
        <v>1815</v>
      </c>
      <c r="J34" s="839"/>
      <c r="K34" s="2084"/>
      <c r="L34" s="2083"/>
      <c r="M34" s="2083"/>
    </row>
    <row r="35" spans="1:18" ht="18" customHeight="1">
      <c r="A35" s="818"/>
      <c r="B35" s="796"/>
      <c r="C35" s="69"/>
      <c r="D35" s="819"/>
      <c r="E35" s="787" t="s">
        <v>1803</v>
      </c>
      <c r="F35" s="788">
        <f ca="1">INDIRECT("'数据-取费表'!r"&amp;$G$1)</f>
        <v>0</v>
      </c>
      <c r="G35" s="2066"/>
      <c r="H35" s="2069"/>
      <c r="I35" s="840" t="s">
        <v>1816</v>
      </c>
      <c r="J35" s="841">
        <f ca="1">ROUND(C13*J36,0)</f>
        <v>0</v>
      </c>
      <c r="K35" s="2082"/>
      <c r="L35" s="2081"/>
      <c r="M35" s="2081"/>
    </row>
    <row r="36" spans="1:18" ht="18" customHeight="1">
      <c r="A36" s="1653" t="s">
        <v>1891</v>
      </c>
      <c r="B36" s="787" t="s">
        <v>1804</v>
      </c>
      <c r="C36" s="53">
        <f ca="1">ROUND(C29*F36,1)</f>
        <v>0</v>
      </c>
      <c r="D36" s="1981" t="s">
        <v>1805</v>
      </c>
      <c r="E36" s="787" t="s">
        <v>1798</v>
      </c>
      <c r="F36" s="820">
        <f ca="1">INDIRECT("'数据-取费表'!Ak"&amp;$G$1)</f>
        <v>0</v>
      </c>
      <c r="G36" s="2066"/>
      <c r="H36" s="2081"/>
      <c r="I36" s="842" t="s">
        <v>1817</v>
      </c>
      <c r="J36" s="843">
        <f ca="1">INDIRECT("'数据-取费表'!j"&amp;$G$1)</f>
        <v>0</v>
      </c>
      <c r="K36" s="2086"/>
      <c r="L36" s="2081"/>
      <c r="M36" s="2081"/>
    </row>
    <row r="37" spans="1:18" ht="18" customHeight="1">
      <c r="A37" s="1653" t="s">
        <v>1892</v>
      </c>
      <c r="B37" s="787" t="s">
        <v>680</v>
      </c>
      <c r="C37" s="53">
        <f ca="1">ROUND(C13*F37,1)</f>
        <v>0</v>
      </c>
      <c r="D37" s="1981" t="s">
        <v>1806</v>
      </c>
      <c r="E37" s="787" t="s">
        <v>1798</v>
      </c>
      <c r="F37" s="821">
        <f ca="1">INDIRECT("'数据-取费表'!Al"&amp;$G$1)</f>
        <v>0</v>
      </c>
      <c r="G37" s="2066"/>
      <c r="H37" s="2081"/>
      <c r="I37" s="844" t="s">
        <v>1818</v>
      </c>
      <c r="J37" s="845"/>
      <c r="K37" s="2086"/>
      <c r="L37" s="2081"/>
      <c r="M37" s="2081"/>
    </row>
    <row r="38" spans="1:18" ht="18" customHeight="1" thickBot="1">
      <c r="A38" s="2579" t="s">
        <v>1893</v>
      </c>
      <c r="B38" s="2574" t="s">
        <v>667</v>
      </c>
      <c r="C38" s="2572">
        <f ca="1">ROUND(C5*F38,1)</f>
        <v>0</v>
      </c>
      <c r="D38" s="2573" t="s">
        <v>1807</v>
      </c>
      <c r="E38" s="2574" t="s">
        <v>1798</v>
      </c>
      <c r="F38" s="2570">
        <f ca="1">INDIRECT("'数据-取费表'!Am"&amp;$G$1)</f>
        <v>0</v>
      </c>
      <c r="G38" s="2066"/>
      <c r="H38" s="2081"/>
      <c r="I38" s="846" t="s">
        <v>1819</v>
      </c>
      <c r="J38" s="847"/>
      <c r="K38" s="2087"/>
      <c r="L38" s="2081"/>
      <c r="M38" s="2081"/>
    </row>
    <row r="39" spans="1:18" ht="24.6" customHeight="1" thickTop="1">
      <c r="A39" s="1833" t="s">
        <v>1896</v>
      </c>
      <c r="B39" s="3042" t="s">
        <v>2830</v>
      </c>
      <c r="C39" s="795">
        <f ca="1">C5-C30</f>
        <v>0</v>
      </c>
      <c r="D39" s="2576" t="s">
        <v>1808</v>
      </c>
      <c r="E39" s="2577"/>
      <c r="F39" s="2578"/>
      <c r="G39" s="2066"/>
      <c r="H39" s="2081"/>
      <c r="I39" s="840" t="s">
        <v>1820</v>
      </c>
      <c r="J39" s="848" t="e">
        <f ca="1">ROUND(J35/C39,3)</f>
        <v>#DIV/0!</v>
      </c>
      <c r="K39" s="2087"/>
      <c r="L39" s="2081"/>
      <c r="M39" s="2081"/>
    </row>
    <row r="40" spans="1:18" ht="18" customHeight="1">
      <c r="A40" s="784" t="s">
        <v>1897</v>
      </c>
      <c r="B40" s="2236" t="s">
        <v>2305</v>
      </c>
      <c r="C40" s="786" t="e">
        <f ca="1">ROUND(C39*(1-((1+F42)/(1+F40))^F41)/(F40-F42),0)</f>
        <v>#DIV/0!</v>
      </c>
      <c r="D40" s="817" t="s">
        <v>1809</v>
      </c>
      <c r="E40" s="787" t="s">
        <v>2423</v>
      </c>
      <c r="F40" s="797">
        <f ca="1">INDIRECT("'数据-取费表'!I"&amp;$G$1)</f>
        <v>0</v>
      </c>
      <c r="G40" s="2066"/>
      <c r="H40" s="2066"/>
      <c r="I40" s="840" t="s">
        <v>1821</v>
      </c>
      <c r="J40" s="848" t="e">
        <f ca="1">1-J39</f>
        <v>#DIV/0!</v>
      </c>
      <c r="K40" s="2087"/>
      <c r="L40" s="2066"/>
      <c r="M40" s="2066"/>
    </row>
    <row r="41" spans="1:18" ht="18" customHeight="1">
      <c r="A41" s="789"/>
      <c r="B41" s="790"/>
      <c r="C41" s="791"/>
      <c r="D41" s="824" t="s">
        <v>1810</v>
      </c>
      <c r="E41" s="787" t="s">
        <v>2974</v>
      </c>
      <c r="F41" s="825">
        <f ca="1">IF(INDIRECT("'数据-取费表'!af"&amp;$G$1)=0,INDIRECT("'数据-取费表'!ae"&amp;$G$1),INDIRECT("'数据-取费表'!af"&amp;$G$1))</f>
        <v>0</v>
      </c>
      <c r="G41" s="2066"/>
      <c r="H41" s="1992"/>
      <c r="I41" s="846" t="s">
        <v>1822</v>
      </c>
      <c r="J41" s="849"/>
      <c r="K41" s="2086"/>
      <c r="L41" s="1992"/>
      <c r="M41" s="1992"/>
    </row>
    <row r="42" spans="1:18" ht="18" customHeight="1">
      <c r="A42" s="793"/>
      <c r="B42" s="794"/>
      <c r="C42" s="795"/>
      <c r="D42" s="819"/>
      <c r="E42" s="787" t="s">
        <v>1811</v>
      </c>
      <c r="F42" s="797">
        <f ca="1">INDIRECT("'数据-取费表'!v"&amp;$G$1)</f>
        <v>0</v>
      </c>
      <c r="G42" s="2066"/>
      <c r="H42" s="1992"/>
      <c r="I42" s="850" t="s">
        <v>1823</v>
      </c>
      <c r="J42" s="848" t="e">
        <f ca="1">ROUND(C13/C40,3)</f>
        <v>#DIV/0!</v>
      </c>
      <c r="K42" s="2086"/>
      <c r="L42" s="1992"/>
      <c r="M42" s="1992"/>
    </row>
    <row r="43" spans="1:18" ht="18" customHeight="1" thickBot="1">
      <c r="A43" s="826" t="s">
        <v>1789</v>
      </c>
      <c r="B43" s="827" t="s">
        <v>1812</v>
      </c>
      <c r="C43" s="828" t="e">
        <f ca="1">ROUND(C40*10000/F43,0)</f>
        <v>#DIV/0!</v>
      </c>
      <c r="D43" s="829" t="s">
        <v>1813</v>
      </c>
      <c r="E43" s="830" t="s">
        <v>1814</v>
      </c>
      <c r="F43" s="831">
        <f ca="1">INDIRECT("'数据-取费表'!k"&amp;$G$1)</f>
        <v>0</v>
      </c>
      <c r="G43" s="2066"/>
      <c r="H43" s="1992"/>
      <c r="I43" s="850" t="s">
        <v>1824</v>
      </c>
      <c r="J43" s="851" t="e">
        <f ca="1">1-J42</f>
        <v>#DIV/0!</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t="e">
        <f ca="1">C67-C40</f>
        <v>#DIV/0!</v>
      </c>
      <c r="D46" s="2089"/>
      <c r="E46" s="2089"/>
      <c r="F46" s="2089"/>
      <c r="I46" s="2382" t="s">
        <v>2346</v>
      </c>
      <c r="J46" s="2383"/>
      <c r="K46" s="2384"/>
      <c r="L46" s="2385" t="str">
        <f ca="1">IF(M47="住宅",0,IF(L48&gt;J51,L60,J60))</f>
        <v>0</v>
      </c>
      <c r="O46" s="2422" t="s">
        <v>2414</v>
      </c>
      <c r="P46" s="1596"/>
      <c r="Q46" s="1608"/>
      <c r="R46" s="1596"/>
    </row>
    <row r="47" spans="1:18" s="2063" customFormat="1" ht="18" customHeight="1" thickBot="1">
      <c r="A47" s="2376">
        <v>1</v>
      </c>
      <c r="B47" s="2377" t="s">
        <v>636</v>
      </c>
      <c r="C47" s="2602">
        <f ca="1">C48+C52+C54</f>
        <v>0</v>
      </c>
      <c r="D47" s="2089"/>
      <c r="E47" s="2089"/>
      <c r="F47" s="2089"/>
      <c r="I47" s="2386" t="s">
        <v>2347</v>
      </c>
      <c r="J47" s="2391"/>
      <c r="K47" s="2392" t="s">
        <v>2353</v>
      </c>
      <c r="L47" s="2393">
        <f ca="1">INDIRECT("'数据-取费表'!d"&amp;$G$1)</f>
        <v>0</v>
      </c>
      <c r="M47" s="1608" t="str">
        <f>IF(ISNUMBER(FIND("住宅",C1)),"住宅","非住宅")</f>
        <v>非住宅</v>
      </c>
      <c r="O47" s="2423" t="s">
        <v>2379</v>
      </c>
      <c r="P47" s="2424" t="s">
        <v>2380</v>
      </c>
      <c r="Q47" s="2425" t="s">
        <v>2381</v>
      </c>
      <c r="R47" s="2424" t="s">
        <v>2382</v>
      </c>
    </row>
    <row r="48" spans="1:18" s="2063" customFormat="1" ht="18" customHeight="1" thickBot="1">
      <c r="A48" s="2671" t="s">
        <v>2543</v>
      </c>
      <c r="B48" s="2672" t="s">
        <v>2544</v>
      </c>
      <c r="C48" s="2378">
        <f ca="1">ROUND(F48*F50*F49*(1-F51)/10000,0)</f>
        <v>0</v>
      </c>
      <c r="D48" s="2379" t="s">
        <v>637</v>
      </c>
      <c r="E48" s="2380" t="s">
        <v>2300</v>
      </c>
      <c r="F48" s="2381"/>
      <c r="G48" s="2094"/>
      <c r="I48" s="2387" t="s">
        <v>2348</v>
      </c>
      <c r="J48" s="2394"/>
      <c r="K48" s="2395" t="s">
        <v>2355</v>
      </c>
      <c r="L48" s="2396">
        <f ca="1">INDIRECT("'数据-取费表'!f"&amp;$G$1)</f>
        <v>0</v>
      </c>
      <c r="O48" s="2426" t="s">
        <v>2383</v>
      </c>
      <c r="P48" s="2427" t="s">
        <v>2409</v>
      </c>
      <c r="Q48" s="2428" t="e">
        <f ca="1">C40+J29</f>
        <v>#DIV/0!</v>
      </c>
      <c r="R48" s="2427" t="s">
        <v>2384</v>
      </c>
    </row>
    <row r="49" spans="1:18" s="2063" customFormat="1" ht="18" customHeight="1" thickBot="1">
      <c r="A49" s="789"/>
      <c r="B49" s="790"/>
      <c r="C49" s="791"/>
      <c r="D49" s="792"/>
      <c r="E49" s="787" t="s">
        <v>1741</v>
      </c>
      <c r="F49" s="788">
        <f ca="1">F7</f>
        <v>0</v>
      </c>
      <c r="G49" s="2094"/>
      <c r="H49" s="2097"/>
      <c r="I49" s="2387" t="s">
        <v>2349</v>
      </c>
      <c r="J49" s="2397"/>
      <c r="K49" s="2398" t="s">
        <v>2356</v>
      </c>
      <c r="L49" s="2399"/>
      <c r="O49" s="2426" t="s">
        <v>2385</v>
      </c>
      <c r="P49" s="2427" t="s">
        <v>2410</v>
      </c>
      <c r="Q49" s="2428" t="str">
        <f ca="1">J60</f>
        <v>0</v>
      </c>
      <c r="R49" s="2427" t="s">
        <v>2386</v>
      </c>
    </row>
    <row r="50" spans="1:18" s="2063" customFormat="1" ht="18" customHeight="1" thickBot="1">
      <c r="A50" s="789"/>
      <c r="B50" s="790"/>
      <c r="C50" s="791"/>
      <c r="D50" s="792"/>
      <c r="E50" s="787" t="s">
        <v>1742</v>
      </c>
      <c r="F50" s="788">
        <f ca="1">F8</f>
        <v>0</v>
      </c>
      <c r="G50" s="2099"/>
      <c r="H50" s="2097"/>
      <c r="I50" s="2387" t="s">
        <v>2350</v>
      </c>
      <c r="J50" s="2400">
        <f>SUMPRODUCT((I63:I65=J47)*(J62:L62=J48)*(J63:L65))</f>
        <v>0</v>
      </c>
      <c r="K50" s="2398" t="s">
        <v>2357</v>
      </c>
      <c r="L50" s="2399"/>
      <c r="O50" s="2429" t="s">
        <v>2387</v>
      </c>
      <c r="P50" s="2427" t="s">
        <v>2411</v>
      </c>
      <c r="Q50" s="2428">
        <f ca="1">C29</f>
        <v>0</v>
      </c>
      <c r="R50" s="2427" t="s">
        <v>2384</v>
      </c>
    </row>
    <row r="51" spans="1:18" s="2063" customFormat="1" ht="18" customHeight="1" thickBot="1">
      <c r="A51" s="789"/>
      <c r="B51" s="790"/>
      <c r="C51" s="791"/>
      <c r="D51" s="792"/>
      <c r="E51" s="787" t="s">
        <v>641</v>
      </c>
      <c r="F51" s="2375"/>
      <c r="H51" s="2097"/>
      <c r="I51" s="2388" t="s">
        <v>2351</v>
      </c>
      <c r="J51" s="2401">
        <f>IF(J49="",J50,J49+J50-YEAR('数据-取费表'!B2))</f>
        <v>0</v>
      </c>
      <c r="K51" s="2387" t="s">
        <v>2358</v>
      </c>
      <c r="L51" s="2402">
        <f ca="1">ROUND(-PV(INDIRECT("'数据-取费表'!h"&amp;$G$1),L48,(C39-C13*J36),0),0)</f>
        <v>0</v>
      </c>
      <c r="O51" s="2429" t="s">
        <v>2388</v>
      </c>
      <c r="P51" s="2427" t="s">
        <v>2389</v>
      </c>
      <c r="Q51" s="2430" t="e">
        <f ca="1">J58</f>
        <v>#VALUE!</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2425</v>
      </c>
      <c r="J52" s="2403"/>
      <c r="K52" s="2389" t="s">
        <v>2424</v>
      </c>
      <c r="L52" s="2403"/>
      <c r="O52" s="2429" t="s">
        <v>2390</v>
      </c>
      <c r="P52" s="2427" t="s">
        <v>2391</v>
      </c>
      <c r="Q52" s="2430">
        <f>J52</f>
        <v>0</v>
      </c>
      <c r="R52" s="2431"/>
    </row>
    <row r="53" spans="1:18" s="2063" customFormat="1" ht="39.75" customHeight="1" thickBot="1">
      <c r="A53" s="789"/>
      <c r="B53" s="2523" t="s">
        <v>2579</v>
      </c>
      <c r="C53" s="2527"/>
      <c r="D53" s="2529"/>
      <c r="E53" s="2526"/>
      <c r="F53" s="803"/>
      <c r="I53" s="2390" t="s">
        <v>2352</v>
      </c>
      <c r="J53" s="2404" t="b">
        <f>IF(M47="住宅",J51,IF(D1="——",MIN(J51,L48),IF(D1="土地（套用方法）",MIN(J51,L48-'数据-取费表'!B20))))</f>
        <v>0</v>
      </c>
      <c r="K53" s="3437" t="s">
        <v>2976</v>
      </c>
      <c r="L53" s="3438"/>
      <c r="O53" s="2429" t="s">
        <v>2392</v>
      </c>
      <c r="P53" s="2427" t="s">
        <v>2393</v>
      </c>
      <c r="Q53" s="2428" t="b">
        <f>J53</f>
        <v>0</v>
      </c>
      <c r="R53" s="2427" t="s">
        <v>2394</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90"/>
      <c r="O54" s="2426" t="s">
        <v>2395</v>
      </c>
      <c r="P54" s="2427" t="s">
        <v>2412</v>
      </c>
      <c r="Q54" s="2428" t="e">
        <f ca="1">Q48+Q49</f>
        <v>#DIV/0!</v>
      </c>
      <c r="R54" s="2431" t="s">
        <v>2396</v>
      </c>
    </row>
    <row r="55" spans="1:18" s="2063" customFormat="1" ht="18" customHeight="1" thickTop="1" thickBot="1">
      <c r="A55" s="800">
        <v>2</v>
      </c>
      <c r="B55" s="801" t="s">
        <v>645</v>
      </c>
      <c r="C55" s="802">
        <f ca="1">C13</f>
        <v>0</v>
      </c>
      <c r="D55" s="798"/>
      <c r="E55" s="798"/>
      <c r="F55" s="803"/>
      <c r="I55" s="3135" t="s">
        <v>2359</v>
      </c>
      <c r="J55" s="3134" t="e">
        <f ca="1">ROUND(IF(J47="钢混",J57/J50,1-(1-2%)*(J50-J57)/J50),3)</f>
        <v>#VALUE!</v>
      </c>
      <c r="K55" s="2405" t="s">
        <v>2360</v>
      </c>
      <c r="L55" s="2406"/>
      <c r="O55" s="2432" t="s">
        <v>2415</v>
      </c>
      <c r="P55" s="1596"/>
      <c r="Q55" s="1608"/>
      <c r="R55" s="1596"/>
    </row>
    <row r="56" spans="1:18" s="2063" customFormat="1" ht="42.75" customHeight="1" thickBot="1">
      <c r="A56" s="1654"/>
      <c r="B56" s="2235" t="s">
        <v>2306</v>
      </c>
      <c r="C56" s="53">
        <f ca="1">C29</f>
        <v>0</v>
      </c>
      <c r="D56" s="2668"/>
      <c r="E56" s="787"/>
      <c r="F56" s="812"/>
      <c r="I56" s="2407" t="s">
        <v>2361</v>
      </c>
      <c r="J56" s="3158" t="s">
        <v>1680</v>
      </c>
      <c r="K56" s="2387" t="s">
        <v>2366</v>
      </c>
      <c r="L56" s="2396">
        <f ca="1">IF(L48&lt;J51,"——",L48-J51)</f>
        <v>0</v>
      </c>
      <c r="O56" s="2423" t="s">
        <v>2379</v>
      </c>
      <c r="P56" s="2424" t="s">
        <v>2380</v>
      </c>
      <c r="Q56" s="2425" t="s">
        <v>2381</v>
      </c>
      <c r="R56" s="2424" t="s">
        <v>2382</v>
      </c>
    </row>
    <row r="57" spans="1:18" s="2063" customFormat="1" ht="28.5" customHeight="1" thickBot="1">
      <c r="A57" s="800" t="s">
        <v>1750</v>
      </c>
      <c r="B57" s="801" t="s">
        <v>652</v>
      </c>
      <c r="C57" s="802">
        <f ca="1">ROUND(C58+C63+C64+C65,0)</f>
        <v>0</v>
      </c>
      <c r="D57" s="26" t="s">
        <v>1752</v>
      </c>
      <c r="E57" s="2669"/>
      <c r="F57" s="56"/>
      <c r="I57" s="2408" t="s">
        <v>2362</v>
      </c>
      <c r="J57" s="2410" t="str">
        <f ca="1">IF(OR(M47="住宅",J51&lt;L48,J56="是"),"——",J51-L48)</f>
        <v>——</v>
      </c>
      <c r="K57" s="2387" t="s">
        <v>2367</v>
      </c>
      <c r="L57" s="2396">
        <f ca="1">IF(L48&lt;J51,"——",IF(L55="比较法",L49,IF(L55="基准地价",L50,L51)))</f>
        <v>0</v>
      </c>
      <c r="O57" s="2426" t="s">
        <v>2383</v>
      </c>
      <c r="P57" s="2427" t="s">
        <v>2413</v>
      </c>
      <c r="Q57" s="2428" t="e">
        <f ca="1">C40+J29</f>
        <v>#DIV/0!</v>
      </c>
      <c r="R57" s="2427" t="s">
        <v>2384</v>
      </c>
    </row>
    <row r="58" spans="1:18" s="2063" customFormat="1" ht="28.5" customHeight="1" thickBot="1">
      <c r="A58" s="1653" t="s">
        <v>1826</v>
      </c>
      <c r="B58" s="787" t="s">
        <v>657</v>
      </c>
      <c r="C58" s="53">
        <f ca="1">ROUND(IF(项目基本情况!B11="自然人",C47*F58,C59+C60+C61),1)</f>
        <v>0</v>
      </c>
      <c r="D58" s="2667" t="s">
        <v>658</v>
      </c>
      <c r="E58" s="2668" t="s">
        <v>691</v>
      </c>
      <c r="F58" s="813" t="str">
        <f ca="1">IF(项目基本情况!B11="企业","",IF(INDIRECT("'数据-取费表'!c"&amp;$G$1)="住宅",5%,IF(F48*F49*F50/12/(1+'数据-取费表'!C42)&gt;20000,12%,7%)))</f>
        <v/>
      </c>
      <c r="I58" s="2408" t="s">
        <v>2363</v>
      </c>
      <c r="J58" s="3136" t="e">
        <f ca="1">IF(J55&lt;0.4,0.4,J55)</f>
        <v>#VALUE!</v>
      </c>
      <c r="K58" s="2387" t="s">
        <v>2368</v>
      </c>
      <c r="L58" s="2396" t="e">
        <f ca="1">ROUND(POWER(1+L52,L47-L48)*(POWER(1+L52,L48)-1)/(POWER(1+L52,L47)-1),4)</f>
        <v>#DIV/0!</v>
      </c>
      <c r="O58" s="2426" t="s">
        <v>2385</v>
      </c>
      <c r="P58" s="2427" t="s">
        <v>2416</v>
      </c>
      <c r="Q58" s="2428" t="e">
        <f ca="1">L60</f>
        <v>#DIV/0!</v>
      </c>
      <c r="R58" s="2431" t="s">
        <v>2418</v>
      </c>
    </row>
    <row r="59" spans="1:18" s="2063" customFormat="1" ht="28.5" customHeight="1" thickBot="1">
      <c r="A59" s="1652" t="s">
        <v>1833</v>
      </c>
      <c r="B59" s="787" t="s">
        <v>661</v>
      </c>
      <c r="C59" s="53">
        <f ca="1">ROUND(C47*F59/1.05,1)</f>
        <v>0</v>
      </c>
      <c r="D59" s="2668" t="s">
        <v>1758</v>
      </c>
      <c r="E59" s="787" t="s">
        <v>1749</v>
      </c>
      <c r="F59" s="812">
        <f t="shared" ref="F59:F65" si="0">F32</f>
        <v>0</v>
      </c>
      <c r="I59" s="2408" t="s">
        <v>2364</v>
      </c>
      <c r="J59" s="2410" t="str">
        <f ca="1">IF(OR(M47="住宅",J51&lt;L48,J56="是"),"——",ROUND(C29*J58,0))</f>
        <v>——</v>
      </c>
      <c r="K59" s="3165"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2387</v>
      </c>
      <c r="P59" s="2427" t="s">
        <v>2417</v>
      </c>
      <c r="Q59" s="2428">
        <f>IF(L55="比较法",L49,IF(L55="基准地价",L50,0))</f>
        <v>0</v>
      </c>
      <c r="R59" s="2427" t="s">
        <v>2384</v>
      </c>
    </row>
    <row r="60" spans="1:18" s="2063" customFormat="1" ht="18" customHeight="1" thickBot="1">
      <c r="A60" s="1652" t="s">
        <v>1834</v>
      </c>
      <c r="B60" s="787" t="s">
        <v>1760</v>
      </c>
      <c r="C60" s="53">
        <f ca="1">IF(D60="按租金收入计税",ROUND(C47*F60,1),IF(D60="按房产原值计税",ROUND(C56*F60*0.7,1),INDIRECT("'数据-取费表'!Aj"&amp;$G$1)))</f>
        <v>0</v>
      </c>
      <c r="D60" s="2668" t="str">
        <f>D33</f>
        <v>按房产原值计税</v>
      </c>
      <c r="E60" s="787" t="s">
        <v>1749</v>
      </c>
      <c r="F60" s="812">
        <f t="shared" si="0"/>
        <v>1.2E-2</v>
      </c>
      <c r="I60" s="2409" t="s">
        <v>2365</v>
      </c>
      <c r="J60" s="2411" t="str">
        <f ca="1">IF(OR(M47="住宅",J51&lt;L48,J56="是"),"0",ROUND(J59/(1+J52)^J53,0))</f>
        <v>0</v>
      </c>
      <c r="K60" s="2412" t="s">
        <v>2370</v>
      </c>
      <c r="L60" s="2411" t="e">
        <f ca="1">IF(OR(M47="住宅",L48&lt;J51),0,ROUND(L57*(L58/L59-1),0))</f>
        <v>#DIV/0!</v>
      </c>
      <c r="O60" s="2429" t="s">
        <v>2388</v>
      </c>
      <c r="P60" s="2427" t="s">
        <v>2397</v>
      </c>
      <c r="Q60" s="2430">
        <f>L52</f>
        <v>0</v>
      </c>
      <c r="R60" s="2431"/>
    </row>
    <row r="61" spans="1:18" s="2063" customFormat="1" ht="18" customHeight="1" thickBot="1">
      <c r="A61" s="1655" t="s">
        <v>1835</v>
      </c>
      <c r="B61" s="344" t="s">
        <v>669</v>
      </c>
      <c r="C61" s="54">
        <f ca="1">ROUND(F61*F62/10000,1)</f>
        <v>0</v>
      </c>
      <c r="D61" s="817" t="s">
        <v>670</v>
      </c>
      <c r="E61" s="787" t="s">
        <v>671</v>
      </c>
      <c r="F61" s="643">
        <f t="shared" si="0"/>
        <v>3</v>
      </c>
      <c r="K61" s="2090"/>
      <c r="O61" s="2429" t="s">
        <v>2390</v>
      </c>
      <c r="P61" s="2427" t="s">
        <v>2398</v>
      </c>
      <c r="Q61" s="2428" t="e">
        <f ca="1">L58</f>
        <v>#DIV/0!</v>
      </c>
      <c r="R61" s="2431" t="s">
        <v>2399</v>
      </c>
    </row>
    <row r="62" spans="1:18" s="2063" customFormat="1" ht="15.75" thickBot="1">
      <c r="A62" s="818"/>
      <c r="B62" s="796"/>
      <c r="C62" s="69"/>
      <c r="D62" s="819"/>
      <c r="E62" s="787" t="s">
        <v>675</v>
      </c>
      <c r="F62" s="788">
        <f t="shared" ca="1" si="0"/>
        <v>0</v>
      </c>
      <c r="I62" s="2413" t="s">
        <v>2371</v>
      </c>
      <c r="J62" s="2414" t="s">
        <v>2372</v>
      </c>
      <c r="K62" s="2414" t="s">
        <v>2373</v>
      </c>
      <c r="L62" s="2414" t="s">
        <v>2354</v>
      </c>
      <c r="M62" s="3137" t="s">
        <v>2951</v>
      </c>
      <c r="O62" s="2429" t="s">
        <v>2392</v>
      </c>
      <c r="P62" s="2427" t="str">
        <f>K59</f>
        <v>建设期及建筑物耐用年限下的土地年期修正系数Kn</v>
      </c>
      <c r="Q62" s="2428" t="e">
        <f ca="1">L59</f>
        <v>#DIV/0!</v>
      </c>
      <c r="R62" s="2431" t="s">
        <v>2401</v>
      </c>
    </row>
    <row r="63" spans="1:18" s="2063" customFormat="1" ht="15.75" thickBot="1">
      <c r="A63" s="1653" t="s">
        <v>1891</v>
      </c>
      <c r="B63" s="787" t="s">
        <v>677</v>
      </c>
      <c r="C63" s="53">
        <f ca="1">ROUND(C56*F63,1)</f>
        <v>0</v>
      </c>
      <c r="D63" s="2668" t="s">
        <v>1805</v>
      </c>
      <c r="E63" s="787" t="s">
        <v>1749</v>
      </c>
      <c r="F63" s="820">
        <f t="shared" ca="1" si="0"/>
        <v>0</v>
      </c>
      <c r="I63" s="2413" t="s">
        <v>2374</v>
      </c>
      <c r="J63" s="2414">
        <v>70</v>
      </c>
      <c r="K63" s="2414">
        <v>50</v>
      </c>
      <c r="L63" s="2414">
        <v>80</v>
      </c>
      <c r="M63" s="3138">
        <v>0.02</v>
      </c>
      <c r="O63" s="2426" t="s">
        <v>2395</v>
      </c>
      <c r="P63" s="2427" t="s">
        <v>2412</v>
      </c>
      <c r="Q63" s="2428" t="e">
        <f ca="1">Q57+Q58</f>
        <v>#DIV/0!</v>
      </c>
      <c r="R63" s="2431" t="s">
        <v>2396</v>
      </c>
    </row>
    <row r="64" spans="1:18" s="2063" customFormat="1" ht="16.5" thickBot="1">
      <c r="A64" s="1653" t="s">
        <v>1892</v>
      </c>
      <c r="B64" s="787" t="s">
        <v>680</v>
      </c>
      <c r="C64" s="53">
        <f ca="1">ROUND(C55*F64,1)</f>
        <v>0</v>
      </c>
      <c r="D64" s="2668" t="s">
        <v>681</v>
      </c>
      <c r="E64" s="787" t="s">
        <v>1749</v>
      </c>
      <c r="F64" s="821">
        <f t="shared" ca="1" si="0"/>
        <v>0</v>
      </c>
      <c r="I64" s="2413" t="s">
        <v>2375</v>
      </c>
      <c r="J64" s="2414">
        <v>50</v>
      </c>
      <c r="K64" s="2414">
        <v>35</v>
      </c>
      <c r="L64" s="2414">
        <v>60</v>
      </c>
      <c r="M64" s="3139">
        <v>0</v>
      </c>
      <c r="O64" s="2432" t="s">
        <v>2419</v>
      </c>
      <c r="P64" s="1596"/>
      <c r="Q64" s="1608"/>
      <c r="R64" s="1596"/>
    </row>
    <row r="65" spans="1:18" s="2063" customFormat="1" ht="15.75" thickBot="1">
      <c r="A65" s="1653" t="s">
        <v>1893</v>
      </c>
      <c r="B65" s="787" t="s">
        <v>667</v>
      </c>
      <c r="C65" s="53">
        <f ca="1">ROUND(C47*F65,1)</f>
        <v>0</v>
      </c>
      <c r="D65" s="2668" t="s">
        <v>684</v>
      </c>
      <c r="E65" s="787" t="s">
        <v>1749</v>
      </c>
      <c r="F65" s="797">
        <f t="shared" ca="1" si="0"/>
        <v>0</v>
      </c>
      <c r="I65" s="2413" t="s">
        <v>2376</v>
      </c>
      <c r="J65" s="2414">
        <v>40</v>
      </c>
      <c r="K65" s="2414">
        <v>30</v>
      </c>
      <c r="L65" s="2414">
        <v>50</v>
      </c>
      <c r="M65" s="3138">
        <v>0.02</v>
      </c>
      <c r="O65" s="2423" t="s">
        <v>2379</v>
      </c>
      <c r="P65" s="2424" t="s">
        <v>2380</v>
      </c>
      <c r="Q65" s="2425" t="s">
        <v>2381</v>
      </c>
      <c r="R65" s="2424" t="s">
        <v>2382</v>
      </c>
    </row>
    <row r="66" spans="1:18" s="2063" customFormat="1" ht="24.75" thickBot="1">
      <c r="A66" s="800" t="s">
        <v>1778</v>
      </c>
      <c r="B66" s="3043" t="s">
        <v>2830</v>
      </c>
      <c r="C66" s="802">
        <f ca="1">C47-C57</f>
        <v>0</v>
      </c>
      <c r="D66" s="2667" t="s">
        <v>701</v>
      </c>
      <c r="E66" s="2666"/>
      <c r="F66" s="823"/>
      <c r="K66" s="2090"/>
      <c r="O66" s="2426" t="s">
        <v>2383</v>
      </c>
      <c r="P66" s="2427" t="s">
        <v>2413</v>
      </c>
      <c r="Q66" s="2428" t="e">
        <f ca="1">C40+J29</f>
        <v>#DIV/0!</v>
      </c>
      <c r="R66" s="2427" t="s">
        <v>2384</v>
      </c>
    </row>
    <row r="67" spans="1:18" s="2063" customFormat="1" ht="20.25" thickBot="1">
      <c r="A67" s="784" t="s">
        <v>1782</v>
      </c>
      <c r="B67" s="2236" t="s">
        <v>2305</v>
      </c>
      <c r="C67" s="786" t="e">
        <f ca="1">ROUND(C66*(1-((1+F69)/(1+F67))^F68)/(F67-F69),0)</f>
        <v>#DIV/0!</v>
      </c>
      <c r="D67" s="817" t="s">
        <v>705</v>
      </c>
      <c r="E67" s="787" t="s">
        <v>706</v>
      </c>
      <c r="F67" s="797">
        <f ca="1">F40</f>
        <v>0</v>
      </c>
      <c r="K67" s="2090"/>
      <c r="O67" s="2426" t="s">
        <v>2385</v>
      </c>
      <c r="P67" s="2427" t="s">
        <v>2416</v>
      </c>
      <c r="Q67" s="2428" t="e">
        <f ca="1">L60</f>
        <v>#DIV/0!</v>
      </c>
      <c r="R67" s="2431" t="s">
        <v>2418</v>
      </c>
    </row>
    <row r="68" spans="1:18" ht="21.75" thickBot="1">
      <c r="A68" s="789"/>
      <c r="B68" s="790"/>
      <c r="C68" s="791"/>
      <c r="D68" s="824" t="s">
        <v>1810</v>
      </c>
      <c r="E68" s="787" t="s">
        <v>1786</v>
      </c>
      <c r="F68" s="825">
        <f ca="1">F41</f>
        <v>0</v>
      </c>
      <c r="O68" s="2429" t="s">
        <v>2387</v>
      </c>
      <c r="P68" s="2427" t="s">
        <v>2417</v>
      </c>
      <c r="Q68" s="2433">
        <f ca="1">L51</f>
        <v>0</v>
      </c>
      <c r="R68" s="2434" t="s">
        <v>2420</v>
      </c>
    </row>
    <row r="69" spans="1:18" ht="20.25" thickBot="1">
      <c r="A69" s="793"/>
      <c r="B69" s="794"/>
      <c r="C69" s="795"/>
      <c r="D69" s="819"/>
      <c r="E69" s="787" t="s">
        <v>711</v>
      </c>
      <c r="F69" s="2375"/>
      <c r="O69" s="2429" t="s">
        <v>2388</v>
      </c>
      <c r="P69" s="2435" t="s">
        <v>2402</v>
      </c>
      <c r="Q69" s="2428">
        <f ca="1">ROUND(Q70-Q71*Q72,0)</f>
        <v>0</v>
      </c>
      <c r="R69" s="2431"/>
    </row>
    <row r="70" spans="1:18" ht="15.75" thickBot="1">
      <c r="A70" s="826" t="s">
        <v>1789</v>
      </c>
      <c r="B70" s="827" t="s">
        <v>1812</v>
      </c>
      <c r="C70" s="828" t="e">
        <f ca="1">ROUND(C67*10000/F70,0)</f>
        <v>#DIV/0!</v>
      </c>
      <c r="D70" s="829" t="s">
        <v>1813</v>
      </c>
      <c r="E70" s="830" t="s">
        <v>1814</v>
      </c>
      <c r="F70" s="831">
        <f ca="1">F43</f>
        <v>0</v>
      </c>
      <c r="O70" s="2429" t="s">
        <v>2403</v>
      </c>
      <c r="P70" s="2435" t="s">
        <v>2404</v>
      </c>
      <c r="Q70" s="2428">
        <f ca="1">C39</f>
        <v>0</v>
      </c>
      <c r="R70" s="2427" t="s">
        <v>2384</v>
      </c>
    </row>
    <row r="71" spans="1:18" ht="15.75" thickBot="1">
      <c r="O71" s="2429" t="s">
        <v>2405</v>
      </c>
      <c r="P71" s="2435" t="s">
        <v>2406</v>
      </c>
      <c r="Q71" s="2428">
        <f ca="1">C13</f>
        <v>0</v>
      </c>
      <c r="R71" s="2427" t="s">
        <v>2384</v>
      </c>
    </row>
    <row r="72" spans="1:18" ht="15.75" thickBot="1">
      <c r="O72" s="2429" t="s">
        <v>2407</v>
      </c>
      <c r="P72" s="2435" t="s">
        <v>2408</v>
      </c>
      <c r="Q72" s="2430">
        <f ca="1">J36</f>
        <v>0</v>
      </c>
      <c r="R72" s="2431"/>
    </row>
    <row r="73" spans="1:18" ht="15.75" thickBot="1">
      <c r="O73" s="2429" t="s">
        <v>2390</v>
      </c>
      <c r="P73" s="2427" t="s">
        <v>2397</v>
      </c>
      <c r="Q73" s="2430">
        <f>L52</f>
        <v>0</v>
      </c>
      <c r="R73" s="2431"/>
    </row>
    <row r="74" spans="1:18" ht="20.25" thickBot="1">
      <c r="O74" s="2429" t="s">
        <v>2392</v>
      </c>
      <c r="P74" s="2427" t="s">
        <v>2398</v>
      </c>
      <c r="Q74" s="2428" t="e">
        <f ca="1">L58</f>
        <v>#DIV/0!</v>
      </c>
      <c r="R74" s="2431" t="s">
        <v>2399</v>
      </c>
    </row>
    <row r="75" spans="1:18" ht="15.75" thickBot="1">
      <c r="O75" s="2429" t="s">
        <v>2421</v>
      </c>
      <c r="P75" s="2427" t="str">
        <f>K59</f>
        <v>建设期及建筑物耐用年限下的土地年期修正系数Kn</v>
      </c>
      <c r="Q75" s="2428" t="e">
        <f ca="1">L59</f>
        <v>#DIV/0!</v>
      </c>
      <c r="R75" s="2431" t="s">
        <v>2401</v>
      </c>
    </row>
    <row r="76" spans="1:18" ht="15.75" thickBot="1">
      <c r="O76" s="2426" t="s">
        <v>2395</v>
      </c>
      <c r="P76" s="2427" t="s">
        <v>2412</v>
      </c>
      <c r="Q76" s="2428" t="e">
        <f ca="1">Q66+Q67</f>
        <v>#DIV/0!</v>
      </c>
      <c r="R76" s="2431"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9" t="s">
        <v>2477</v>
      </c>
      <c r="B1" s="3440"/>
      <c r="C1" s="3441"/>
      <c r="D1" s="3442">
        <f>SUM(I10,I15,I20,I21,I23)</f>
        <v>0</v>
      </c>
      <c r="E1" s="3442"/>
      <c r="F1" s="3442"/>
      <c r="G1" s="3442"/>
      <c r="H1" s="3442"/>
      <c r="I1" s="3443"/>
    </row>
    <row r="2" spans="1:9">
      <c r="A2" s="3444" t="s">
        <v>2478</v>
      </c>
      <c r="B2" s="3445" t="s">
        <v>2479</v>
      </c>
      <c r="C2" s="3445"/>
      <c r="D2" s="2535" t="s">
        <v>2480</v>
      </c>
      <c r="E2" s="2535" t="s">
        <v>2481</v>
      </c>
      <c r="F2" s="2535" t="s">
        <v>2482</v>
      </c>
      <c r="G2" s="2535" t="s">
        <v>2483</v>
      </c>
      <c r="H2" s="2535" t="s">
        <v>2484</v>
      </c>
      <c r="I2" s="2536" t="s">
        <v>2485</v>
      </c>
    </row>
    <row r="3" spans="1:9">
      <c r="A3" s="3444"/>
      <c r="B3" s="3445" t="s">
        <v>2486</v>
      </c>
      <c r="C3" s="3445"/>
      <c r="D3" s="2537"/>
      <c r="E3" s="2535"/>
      <c r="F3" s="2538"/>
      <c r="G3" s="2538"/>
      <c r="H3" s="2539"/>
      <c r="I3" s="2540">
        <f>ROUND(D3*E3*F3*G3*H3/10000,0)</f>
        <v>0</v>
      </c>
    </row>
    <row r="4" spans="1:9">
      <c r="A4" s="3444"/>
      <c r="B4" s="3445" t="s">
        <v>2487</v>
      </c>
      <c r="C4" s="3445"/>
      <c r="D4" s="2537"/>
      <c r="E4" s="2535"/>
      <c r="F4" s="2538"/>
      <c r="G4" s="2538"/>
      <c r="H4" s="2539"/>
      <c r="I4" s="2540">
        <f t="shared" ref="I4:I9" si="0">ROUND(D4*E4*F4*G4*H4/10000,0)</f>
        <v>0</v>
      </c>
    </row>
    <row r="5" spans="1:9">
      <c r="A5" s="3444"/>
      <c r="B5" s="3445" t="s">
        <v>2488</v>
      </c>
      <c r="C5" s="3445"/>
      <c r="D5" s="2537"/>
      <c r="E5" s="2535"/>
      <c r="F5" s="2538"/>
      <c r="G5" s="2538"/>
      <c r="H5" s="2539"/>
      <c r="I5" s="2540">
        <f t="shared" si="0"/>
        <v>0</v>
      </c>
    </row>
    <row r="6" spans="1:9">
      <c r="A6" s="3444"/>
      <c r="B6" s="3445" t="s">
        <v>2489</v>
      </c>
      <c r="C6" s="3445"/>
      <c r="D6" s="2537"/>
      <c r="E6" s="2535"/>
      <c r="F6" s="2538"/>
      <c r="G6" s="2538"/>
      <c r="H6" s="2539"/>
      <c r="I6" s="2540">
        <f t="shared" si="0"/>
        <v>0</v>
      </c>
    </row>
    <row r="7" spans="1:9">
      <c r="A7" s="3444"/>
      <c r="B7" s="3445" t="s">
        <v>2490</v>
      </c>
      <c r="C7" s="3445"/>
      <c r="D7" s="2537"/>
      <c r="E7" s="2535"/>
      <c r="F7" s="2538"/>
      <c r="G7" s="2538"/>
      <c r="H7" s="2539"/>
      <c r="I7" s="2540">
        <f t="shared" si="0"/>
        <v>0</v>
      </c>
    </row>
    <row r="8" spans="1:9">
      <c r="A8" s="3444"/>
      <c r="B8" s="3445" t="s">
        <v>2491</v>
      </c>
      <c r="C8" s="3445"/>
      <c r="D8" s="2537"/>
      <c r="E8" s="2535"/>
      <c r="F8" s="2538"/>
      <c r="G8" s="2538"/>
      <c r="H8" s="2539"/>
      <c r="I8" s="2540">
        <f t="shared" si="0"/>
        <v>0</v>
      </c>
    </row>
    <row r="9" spans="1:9">
      <c r="A9" s="3444"/>
      <c r="B9" s="3445" t="s">
        <v>2492</v>
      </c>
      <c r="C9" s="3445"/>
      <c r="D9" s="2537"/>
      <c r="E9" s="2535"/>
      <c r="F9" s="2538"/>
      <c r="G9" s="2538"/>
      <c r="H9" s="2539"/>
      <c r="I9" s="2540">
        <f t="shared" si="0"/>
        <v>0</v>
      </c>
    </row>
    <row r="10" spans="1:9">
      <c r="A10" s="3444"/>
      <c r="B10" s="3446" t="s">
        <v>2493</v>
      </c>
      <c r="C10" s="3446"/>
      <c r="D10" s="2541">
        <v>527</v>
      </c>
      <c r="E10" s="2541" t="e">
        <f>ROUND(D1*10000/D10/H9,0)</f>
        <v>#DIV/0!</v>
      </c>
      <c r="F10" s="2542"/>
      <c r="G10" s="2542"/>
      <c r="H10" s="2543"/>
      <c r="I10" s="2544">
        <f>SUM(I3:I9)</f>
        <v>0</v>
      </c>
    </row>
    <row r="11" spans="1:9" ht="14.25">
      <c r="A11" s="3444" t="s">
        <v>2494</v>
      </c>
      <c r="B11" s="3445" t="s">
        <v>2495</v>
      </c>
      <c r="C11" s="3445"/>
      <c r="D11" s="2537" t="s">
        <v>2496</v>
      </c>
      <c r="E11" s="2537" t="s">
        <v>2497</v>
      </c>
      <c r="F11" s="2538" t="s">
        <v>2498</v>
      </c>
      <c r="G11" s="2538" t="s">
        <v>2499</v>
      </c>
      <c r="H11" s="2545" t="s">
        <v>2500</v>
      </c>
      <c r="I11" s="2536" t="s">
        <v>2501</v>
      </c>
    </row>
    <row r="12" spans="1:9">
      <c r="A12" s="3444"/>
      <c r="B12" s="3445" t="s">
        <v>2502</v>
      </c>
      <c r="C12" s="3445"/>
      <c r="D12" s="2537"/>
      <c r="E12" s="2537"/>
      <c r="F12" s="2538"/>
      <c r="G12" s="2539"/>
      <c r="H12" s="2546"/>
      <c r="I12" s="2536">
        <f>ROUND(D12*E12*F12*G12/10000,0)</f>
        <v>0</v>
      </c>
    </row>
    <row r="13" spans="1:9">
      <c r="A13" s="3444"/>
      <c r="B13" s="3445" t="s">
        <v>2503</v>
      </c>
      <c r="C13" s="3445"/>
      <c r="D13" s="2537"/>
      <c r="E13" s="2537"/>
      <c r="F13" s="2538"/>
      <c r="G13" s="2539"/>
      <c r="H13" s="2546"/>
      <c r="I13" s="2536">
        <f>ROUND(D13*E13*F13*G13/10000,0)</f>
        <v>0</v>
      </c>
    </row>
    <row r="14" spans="1:9">
      <c r="A14" s="3444"/>
      <c r="B14" s="3445" t="s">
        <v>2504</v>
      </c>
      <c r="C14" s="3445"/>
      <c r="D14" s="2537"/>
      <c r="E14" s="2537"/>
      <c r="F14" s="2538"/>
      <c r="G14" s="2539"/>
      <c r="H14" s="2546"/>
      <c r="I14" s="2536">
        <f>ROUND(D14*E14*F14*G14/10000,0)</f>
        <v>0</v>
      </c>
    </row>
    <row r="15" spans="1:9">
      <c r="A15" s="3444"/>
      <c r="B15" s="3446" t="s">
        <v>2493</v>
      </c>
      <c r="C15" s="3446"/>
      <c r="D15" s="2541"/>
      <c r="E15" s="2541">
        <f>SUM(E12:E14)</f>
        <v>0</v>
      </c>
      <c r="F15" s="2542"/>
      <c r="G15" s="2539"/>
      <c r="H15" s="2546"/>
      <c r="I15" s="2547">
        <f>SUM(I12:I14)</f>
        <v>0</v>
      </c>
    </row>
    <row r="16" spans="1:9" ht="24">
      <c r="A16" s="3444" t="s">
        <v>2505</v>
      </c>
      <c r="B16" s="3445" t="s">
        <v>2506</v>
      </c>
      <c r="C16" s="3445"/>
      <c r="D16" s="2537" t="s">
        <v>2507</v>
      </c>
      <c r="E16" s="2548" t="s">
        <v>2508</v>
      </c>
      <c r="F16" s="2538" t="s">
        <v>2509</v>
      </c>
      <c r="G16" s="2539" t="s">
        <v>2499</v>
      </c>
      <c r="H16" s="2545" t="s">
        <v>2500</v>
      </c>
      <c r="I16" s="2536" t="s">
        <v>2501</v>
      </c>
    </row>
    <row r="17" spans="1:9" ht="14.25">
      <c r="A17" s="3444"/>
      <c r="B17" s="3445" t="s">
        <v>2510</v>
      </c>
      <c r="C17" s="3445"/>
      <c r="D17" s="2537"/>
      <c r="E17" s="2537"/>
      <c r="F17" s="2538"/>
      <c r="G17" s="2539"/>
      <c r="H17" s="2549"/>
      <c r="I17" s="2550">
        <f>ROUND(D17*E17*F17*G17/10000,0)</f>
        <v>0</v>
      </c>
    </row>
    <row r="18" spans="1:9" ht="14.25">
      <c r="A18" s="3444"/>
      <c r="B18" s="3445" t="s">
        <v>2511</v>
      </c>
      <c r="C18" s="3445"/>
      <c r="D18" s="2537"/>
      <c r="E18" s="2537"/>
      <c r="F18" s="2538"/>
      <c r="G18" s="2539"/>
      <c r="H18" s="2549"/>
      <c r="I18" s="2550">
        <f>ROUND(D18*E18*F18*G18/10000,0)</f>
        <v>0</v>
      </c>
    </row>
    <row r="19" spans="1:9" ht="14.25">
      <c r="A19" s="3444"/>
      <c r="B19" s="3445" t="s">
        <v>2512</v>
      </c>
      <c r="C19" s="3445"/>
      <c r="D19" s="2537"/>
      <c r="E19" s="2537"/>
      <c r="F19" s="2538"/>
      <c r="G19" s="2539"/>
      <c r="H19" s="2549"/>
      <c r="I19" s="2550">
        <f>ROUND(D19*E19*F19*G19/10000,0)</f>
        <v>0</v>
      </c>
    </row>
    <row r="20" spans="1:9">
      <c r="A20" s="3444"/>
      <c r="B20" s="3446" t="s">
        <v>2493</v>
      </c>
      <c r="C20" s="3446"/>
      <c r="D20" s="2541">
        <f>SUM(D17:D19)</f>
        <v>0</v>
      </c>
      <c r="E20" s="2541"/>
      <c r="F20" s="2542"/>
      <c r="G20" s="2539"/>
      <c r="H20" s="2546"/>
      <c r="I20" s="2547">
        <f>SUM(I17:I19)</f>
        <v>0</v>
      </c>
    </row>
    <row r="21" spans="1:9">
      <c r="A21" s="3444" t="s">
        <v>2513</v>
      </c>
      <c r="B21" s="3448"/>
      <c r="C21" s="3448"/>
      <c r="D21" s="3448"/>
      <c r="E21" s="3448"/>
      <c r="F21" s="3448"/>
      <c r="G21" s="3448"/>
      <c r="H21" s="2551">
        <v>0.1</v>
      </c>
      <c r="I21" s="2544">
        <f>ROUND(I10*H21,0)</f>
        <v>0</v>
      </c>
    </row>
    <row r="22" spans="1:9" ht="14.25">
      <c r="A22" s="3449" t="s">
        <v>2514</v>
      </c>
      <c r="B22" s="3450"/>
      <c r="C22" s="3451"/>
      <c r="D22" s="2552" t="s">
        <v>2515</v>
      </c>
      <c r="E22" s="2552" t="s">
        <v>2516</v>
      </c>
      <c r="F22" s="2553" t="s">
        <v>2517</v>
      </c>
      <c r="G22" s="2553" t="s">
        <v>2518</v>
      </c>
      <c r="H22" s="2545" t="s">
        <v>2519</v>
      </c>
      <c r="I22" s="2536" t="s">
        <v>2520</v>
      </c>
    </row>
    <row r="23" spans="1:9" ht="14.25" thickBot="1">
      <c r="A23" s="3452"/>
      <c r="B23" s="3453"/>
      <c r="C23" s="3454"/>
      <c r="D23" s="2554"/>
      <c r="E23" s="2554"/>
      <c r="F23" s="2554"/>
      <c r="G23" s="2555"/>
      <c r="H23" s="2556"/>
      <c r="I23" s="2557">
        <f>ROUND(E23*D23*F23*(1-G23)/10000,0)</f>
        <v>0</v>
      </c>
    </row>
    <row r="26" spans="1:9">
      <c r="A26" s="2558" t="s">
        <v>2521</v>
      </c>
      <c r="B26" s="2558"/>
      <c r="C26" s="2558"/>
      <c r="D26" s="2558"/>
      <c r="E26" s="3455">
        <f>C27-C30-C31-C32</f>
        <v>0</v>
      </c>
      <c r="F26" s="3455"/>
      <c r="G26" s="3455"/>
      <c r="H26" s="3076" t="s">
        <v>2851</v>
      </c>
    </row>
    <row r="27" spans="1:9">
      <c r="A27" s="2559">
        <v>1</v>
      </c>
      <c r="B27" s="2560" t="s">
        <v>2522</v>
      </c>
      <c r="C27" s="2560"/>
      <c r="D27" s="2560"/>
      <c r="E27" s="3456"/>
      <c r="F27" s="3456"/>
      <c r="G27" s="3456"/>
    </row>
    <row r="28" spans="1:9">
      <c r="A28" s="2561" t="s">
        <v>2523</v>
      </c>
      <c r="B28" s="2560" t="s">
        <v>2524</v>
      </c>
      <c r="C28" s="2560"/>
      <c r="D28" s="2560"/>
      <c r="E28" s="3456"/>
      <c r="F28" s="3456"/>
      <c r="G28" s="3456"/>
    </row>
    <row r="29" spans="1:9">
      <c r="A29" s="2561" t="s">
        <v>2525</v>
      </c>
      <c r="B29" s="2560" t="s">
        <v>2465</v>
      </c>
      <c r="C29" s="2560"/>
      <c r="D29" s="2560"/>
      <c r="E29" s="2560" t="s">
        <v>2526</v>
      </c>
      <c r="F29" s="2560"/>
      <c r="G29" s="2560"/>
    </row>
    <row r="30" spans="1:9">
      <c r="A30" s="2559">
        <v>2</v>
      </c>
      <c r="B30" s="2560" t="s">
        <v>2527</v>
      </c>
      <c r="C30" s="2560">
        <f>C27*D30</f>
        <v>0</v>
      </c>
      <c r="D30" s="2562">
        <v>0.2</v>
      </c>
      <c r="E30" s="2560" t="s">
        <v>2528</v>
      </c>
      <c r="F30" s="2560"/>
      <c r="G30" s="2560"/>
    </row>
    <row r="31" spans="1:9">
      <c r="A31" s="2559">
        <v>3</v>
      </c>
      <c r="B31" s="2560" t="s">
        <v>2529</v>
      </c>
      <c r="C31" s="2560">
        <f>C25*D31</f>
        <v>0</v>
      </c>
      <c r="D31" s="2562">
        <v>0.15</v>
      </c>
      <c r="E31" s="2560" t="s">
        <v>2530</v>
      </c>
      <c r="F31" s="2560"/>
      <c r="G31" s="2560"/>
    </row>
    <row r="32" spans="1:9">
      <c r="A32" s="2559">
        <v>4</v>
      </c>
      <c r="B32" s="2560" t="s">
        <v>2531</v>
      </c>
      <c r="C32" s="2560">
        <f>C27*D32</f>
        <v>0</v>
      </c>
      <c r="D32" s="2562">
        <v>0.05</v>
      </c>
      <c r="E32" s="3447"/>
      <c r="F32" s="3447"/>
      <c r="G32" s="3447"/>
    </row>
    <row r="33" spans="1:7" hidden="1">
      <c r="A33" s="3457" t="s">
        <v>2532</v>
      </c>
      <c r="B33" s="3458"/>
      <c r="C33" s="3458"/>
      <c r="D33" s="3459"/>
      <c r="E33" s="3455"/>
      <c r="F33" s="3455"/>
      <c r="G33" s="3455"/>
    </row>
    <row r="34" spans="1:7" hidden="1">
      <c r="A34" s="2563">
        <v>1</v>
      </c>
      <c r="B34" s="2560" t="s">
        <v>2533</v>
      </c>
      <c r="C34" s="2560"/>
      <c r="D34" s="2560"/>
      <c r="E34" s="3456"/>
      <c r="F34" s="3456"/>
      <c r="G34" s="3456"/>
    </row>
    <row r="35" spans="1:7" hidden="1">
      <c r="A35" s="2563">
        <v>2</v>
      </c>
      <c r="B35" s="2560" t="s">
        <v>2534</v>
      </c>
      <c r="C35" s="2560"/>
      <c r="D35" s="2560"/>
      <c r="E35" s="3456"/>
      <c r="F35" s="3456"/>
      <c r="G35" s="3456"/>
    </row>
    <row r="36" spans="1:7" hidden="1">
      <c r="A36" s="2563">
        <v>3</v>
      </c>
      <c r="B36" s="2560" t="s">
        <v>2535</v>
      </c>
      <c r="C36" s="2560"/>
      <c r="D36" s="2560"/>
      <c r="E36" s="3456"/>
      <c r="F36" s="3456"/>
      <c r="G36" s="3456"/>
    </row>
    <row r="37" spans="1:7" hidden="1">
      <c r="A37" s="2563">
        <v>4</v>
      </c>
      <c r="B37" s="2560" t="s">
        <v>2536</v>
      </c>
      <c r="C37" s="2560"/>
      <c r="D37" s="2560"/>
      <c r="E37" s="3456"/>
      <c r="F37" s="3456"/>
      <c r="G37" s="3456"/>
    </row>
    <row r="38" spans="1:7" hidden="1">
      <c r="A38" s="3457" t="s">
        <v>2537</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C9" sqref="C9"/>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3"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2444</v>
      </c>
      <c r="B8" s="2500" t="s">
        <v>2446</v>
      </c>
      <c r="C8" s="2501"/>
      <c r="D8" s="752"/>
      <c r="E8" s="753"/>
      <c r="F8" s="753"/>
      <c r="G8" s="754"/>
    </row>
    <row r="9" spans="1:25" s="2187" customFormat="1" ht="13.5" customHeight="1">
      <c r="A9" s="2497" t="s">
        <v>2445</v>
      </c>
      <c r="B9" s="2500" t="s">
        <v>2447</v>
      </c>
      <c r="C9" s="2501"/>
      <c r="D9" s="752"/>
      <c r="E9" s="753"/>
      <c r="F9" s="753"/>
      <c r="G9" s="754"/>
    </row>
    <row r="10" spans="1:25" s="2187" customFormat="1" ht="36">
      <c r="A10" s="2497">
        <v>2</v>
      </c>
      <c r="B10" s="751" t="s">
        <v>614</v>
      </c>
      <c r="C10" s="752">
        <f>C11+C14+C15</f>
        <v>0</v>
      </c>
      <c r="D10" s="763">
        <f>'数据-汇总表'!E3</f>
        <v>114058.41</v>
      </c>
      <c r="E10" s="752">
        <f>'数据-取费表'!B31</f>
        <v>170</v>
      </c>
      <c r="F10" s="764"/>
      <c r="G10" s="762" t="s">
        <v>615</v>
      </c>
    </row>
    <row r="11" spans="1:25" s="2187" customFormat="1" ht="13.5" customHeight="1">
      <c r="A11" s="2497" t="s">
        <v>2444</v>
      </c>
      <c r="B11" s="755" t="s">
        <v>611</v>
      </c>
      <c r="C11" s="756">
        <f>'数据-取费表'!B29</f>
        <v>0</v>
      </c>
      <c r="D11" s="757"/>
      <c r="E11" s="756"/>
      <c r="F11" s="758"/>
      <c r="G11" s="2506" t="s">
        <v>2455</v>
      </c>
    </row>
    <row r="12" spans="1:25" s="2187" customFormat="1" ht="13.5" customHeight="1">
      <c r="A12" s="2504" t="s">
        <v>2452</v>
      </c>
      <c r="B12" s="759" t="s">
        <v>612</v>
      </c>
      <c r="C12" s="760">
        <f>ROUND(D12*E12/10000,0)</f>
        <v>1939</v>
      </c>
      <c r="D12" s="761">
        <f>'数据-汇总表'!E5</f>
        <v>114058.41</v>
      </c>
      <c r="E12" s="760">
        <f>'数据-取费表'!B27</f>
        <v>170</v>
      </c>
      <c r="F12" s="758"/>
      <c r="G12" s="762"/>
    </row>
    <row r="13" spans="1:25" s="2187" customFormat="1" ht="13.5" customHeight="1">
      <c r="A13" s="2504" t="s">
        <v>2451</v>
      </c>
      <c r="B13" s="759" t="s">
        <v>613</v>
      </c>
      <c r="C13" s="760">
        <f>ROUND(D13*E13/10000,0)</f>
        <v>0</v>
      </c>
      <c r="D13" s="761">
        <f>'数据-汇总表'!E6</f>
        <v>0</v>
      </c>
      <c r="E13" s="760">
        <f>'数据-取费表'!B28</f>
        <v>0</v>
      </c>
      <c r="F13" s="758"/>
      <c r="G13" s="762"/>
    </row>
    <row r="14" spans="1:25" s="2187" customFormat="1" ht="13.5" customHeight="1">
      <c r="A14" s="2497" t="s">
        <v>2445</v>
      </c>
      <c r="B14" s="2503" t="s">
        <v>2448</v>
      </c>
      <c r="C14" s="2501"/>
      <c r="D14" s="761"/>
      <c r="E14" s="760"/>
      <c r="F14" s="2502"/>
      <c r="G14" s="2505" t="s">
        <v>2453</v>
      </c>
    </row>
    <row r="15" spans="1:25" s="2187" customFormat="1" ht="13.5" customHeight="1">
      <c r="A15" s="2497" t="s">
        <v>2450</v>
      </c>
      <c r="B15" s="2503" t="s">
        <v>2449</v>
      </c>
      <c r="C15" s="2501"/>
      <c r="D15" s="761"/>
      <c r="E15" s="760"/>
      <c r="F15" s="2502"/>
      <c r="G15" s="2505" t="s">
        <v>2454</v>
      </c>
    </row>
    <row r="16" spans="1:25" s="2188" customFormat="1" ht="48">
      <c r="A16" s="2497">
        <v>3</v>
      </c>
      <c r="B16" s="751" t="s">
        <v>616</v>
      </c>
      <c r="C16" s="2501"/>
      <c r="D16" s="763"/>
      <c r="E16" s="752"/>
      <c r="F16" s="764"/>
      <c r="G16" s="762" t="s">
        <v>2456</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0.15</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0.95399999999999996</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8"/>
      <c r="Q3" s="1568"/>
      <c r="R3" s="1568"/>
      <c r="S3" s="1568"/>
      <c r="T3" s="1568"/>
      <c r="U3" s="1568"/>
      <c r="V3" s="1568"/>
      <c r="W3" s="1568"/>
      <c r="X3" s="1568"/>
      <c r="Y3" s="1568"/>
      <c r="Z3" s="1568"/>
      <c r="AA3" s="1568"/>
      <c r="AB3" s="1568"/>
      <c r="AC3" s="431"/>
    </row>
    <row r="4" spans="1:29" ht="15">
      <c r="A4" s="515" t="s">
        <v>522</v>
      </c>
      <c r="B4" s="516"/>
      <c r="C4" s="3361" t="s">
        <v>523</v>
      </c>
      <c r="D4" s="3362"/>
      <c r="E4" s="3363" t="s">
        <v>524</v>
      </c>
      <c r="F4" s="3364"/>
      <c r="G4" s="3361" t="s">
        <v>525</v>
      </c>
      <c r="H4" s="3362"/>
      <c r="I4" s="3361" t="s">
        <v>526</v>
      </c>
      <c r="J4" s="3362"/>
      <c r="K4" s="517" t="s">
        <v>527</v>
      </c>
      <c r="L4" s="2137"/>
      <c r="M4" s="2138"/>
      <c r="N4" s="2138"/>
      <c r="O4" s="2138"/>
      <c r="P4" s="3365" t="s">
        <v>528</v>
      </c>
      <c r="Q4" s="3366"/>
      <c r="R4" s="3371" t="s">
        <v>524</v>
      </c>
      <c r="S4" s="3372"/>
      <c r="T4" s="3371" t="s">
        <v>525</v>
      </c>
      <c r="U4" s="3372"/>
      <c r="V4" s="3377" t="s">
        <v>526</v>
      </c>
      <c r="W4" s="3377"/>
      <c r="X4" s="1571"/>
      <c r="Y4" s="3371" t="s">
        <v>528</v>
      </c>
      <c r="Z4" s="3372"/>
      <c r="AA4" s="3358" t="s">
        <v>524</v>
      </c>
      <c r="AB4" s="3377" t="s">
        <v>525</v>
      </c>
      <c r="AC4" s="3358" t="s">
        <v>526</v>
      </c>
    </row>
    <row r="5" spans="1:29" ht="15">
      <c r="A5" s="518"/>
      <c r="B5" s="519"/>
      <c r="C5" s="3380" t="s">
        <v>2936</v>
      </c>
      <c r="D5" s="3381"/>
      <c r="E5" s="3388" t="s">
        <v>2937</v>
      </c>
      <c r="F5" s="3389"/>
      <c r="G5" s="3380" t="s">
        <v>2938</v>
      </c>
      <c r="H5" s="3381"/>
      <c r="I5" s="3380" t="s">
        <v>2939</v>
      </c>
      <c r="J5" s="3381"/>
      <c r="K5" s="517"/>
      <c r="L5" s="2137"/>
      <c r="M5" s="2138"/>
      <c r="N5" s="2138"/>
      <c r="O5" s="2138"/>
      <c r="P5" s="3367"/>
      <c r="Q5" s="3368"/>
      <c r="R5" s="3373"/>
      <c r="S5" s="3374"/>
      <c r="T5" s="3373"/>
      <c r="U5" s="3374"/>
      <c r="V5" s="3377"/>
      <c r="W5" s="3377"/>
      <c r="X5" s="1571"/>
      <c r="Y5" s="3373"/>
      <c r="Z5" s="3374"/>
      <c r="AA5" s="3359"/>
      <c r="AB5" s="3377"/>
      <c r="AC5" s="3359"/>
    </row>
    <row r="6" spans="1:29" ht="15.75" thickBot="1">
      <c r="A6" s="520"/>
      <c r="B6" s="521"/>
      <c r="C6" s="3378" t="s">
        <v>2940</v>
      </c>
      <c r="D6" s="3379"/>
      <c r="E6" s="3386" t="s">
        <v>2940</v>
      </c>
      <c r="F6" s="3387"/>
      <c r="G6" s="3378" t="s">
        <v>2940</v>
      </c>
      <c r="H6" s="3379"/>
      <c r="I6" s="3378" t="s">
        <v>2940</v>
      </c>
      <c r="J6" s="3379"/>
      <c r="K6" s="517" t="s">
        <v>529</v>
      </c>
      <c r="L6" s="2137"/>
      <c r="M6" s="2138"/>
      <c r="N6" s="2138"/>
      <c r="O6" s="2138"/>
      <c r="P6" s="3369"/>
      <c r="Q6" s="3370"/>
      <c r="R6" s="3373"/>
      <c r="S6" s="3374"/>
      <c r="T6" s="3375"/>
      <c r="U6" s="3376"/>
      <c r="V6" s="3377"/>
      <c r="W6" s="3377"/>
      <c r="X6" s="1571"/>
      <c r="Y6" s="3375"/>
      <c r="Z6" s="3376"/>
      <c r="AA6" s="3360"/>
      <c r="AB6" s="3377"/>
      <c r="AC6" s="3360"/>
    </row>
    <row r="7" spans="1:29" s="1223" customFormat="1" ht="15.75" thickBot="1">
      <c r="A7" s="2944"/>
      <c r="B7" s="2951" t="s">
        <v>530</v>
      </c>
      <c r="C7" s="522">
        <f>'数据-取费表'!B2</f>
        <v>43021</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82"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5"/>
      <c r="B8" s="2952"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82" t="s">
        <v>534</v>
      </c>
      <c r="Q8" s="3383"/>
      <c r="R8" s="1572" t="s">
        <v>8</v>
      </c>
      <c r="S8" s="1573">
        <f t="shared" si="0"/>
        <v>0</v>
      </c>
      <c r="T8" s="1572" t="s">
        <v>8</v>
      </c>
      <c r="U8" s="1573">
        <f t="shared" si="1"/>
        <v>0</v>
      </c>
      <c r="V8" s="1572" t="s">
        <v>8</v>
      </c>
      <c r="W8" s="1573">
        <f t="shared" si="2"/>
        <v>0</v>
      </c>
      <c r="X8" s="1574"/>
      <c r="Y8" s="3382" t="s">
        <v>534</v>
      </c>
      <c r="Z8" s="3383"/>
      <c r="AA8" s="1575" t="e">
        <f t="shared" ref="AA8:AA46" si="3">D8/F8</f>
        <v>#DIV/0!</v>
      </c>
      <c r="AB8" s="1575" t="e">
        <f t="shared" ref="AB8:AB46" si="4">D8/H8</f>
        <v>#DIV/0!</v>
      </c>
      <c r="AC8" s="1575" t="e">
        <f t="shared" ref="AC8:AC46" si="5">D8/J8</f>
        <v>#DIV/0!</v>
      </c>
    </row>
    <row r="9" spans="1:29" s="1223" customFormat="1" ht="15">
      <c r="A9" s="2946"/>
      <c r="B9" s="2953" t="s">
        <v>2764</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7"/>
      <c r="B10" s="2952" t="s">
        <v>2765</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8"/>
      <c r="B11" s="2952"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49"/>
      <c r="B13" s="2955">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0"/>
      <c r="B14" s="2956">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71.25">
      <c r="A15" s="2942"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53" t="s">
        <v>541</v>
      </c>
      <c r="Q15" s="1576" t="str">
        <f t="shared" si="6"/>
        <v>商业繁华度</v>
      </c>
      <c r="R15" s="1577" t="s">
        <v>8</v>
      </c>
      <c r="S15" s="1578">
        <f t="shared" si="0"/>
        <v>100</v>
      </c>
      <c r="T15" s="1577" t="s">
        <v>8</v>
      </c>
      <c r="U15" s="1578">
        <f t="shared" si="1"/>
        <v>100</v>
      </c>
      <c r="V15" s="1577" t="s">
        <v>8</v>
      </c>
      <c r="W15" s="1578">
        <f t="shared" si="2"/>
        <v>100</v>
      </c>
      <c r="X15" s="1571"/>
      <c r="Y15" s="3353"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54"/>
      <c r="Q16" s="1576"/>
      <c r="R16" s="1577"/>
      <c r="S16" s="1578"/>
      <c r="T16" s="1577"/>
      <c r="U16" s="1578"/>
      <c r="V16" s="1577"/>
      <c r="W16" s="1578"/>
      <c r="X16" s="1571"/>
      <c r="Y16" s="3354"/>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54"/>
      <c r="Q17" s="1576" t="str">
        <f>B17</f>
        <v>交通便捷度</v>
      </c>
      <c r="R17" s="1577" t="s">
        <v>8</v>
      </c>
      <c r="S17" s="1578">
        <f>F17</f>
        <v>100</v>
      </c>
      <c r="T17" s="1577" t="s">
        <v>8</v>
      </c>
      <c r="U17" s="1578">
        <f>H17</f>
        <v>100</v>
      </c>
      <c r="V17" s="1577" t="s">
        <v>8</v>
      </c>
      <c r="W17" s="1578">
        <f>J17</f>
        <v>100</v>
      </c>
      <c r="X17" s="1571"/>
      <c r="Y17" s="3354"/>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54"/>
      <c r="Q18" s="1576"/>
      <c r="R18" s="1577"/>
      <c r="S18" s="1578"/>
      <c r="T18" s="1577"/>
      <c r="U18" s="1578"/>
      <c r="V18" s="1577"/>
      <c r="W18" s="1578"/>
      <c r="X18" s="1571"/>
      <c r="Y18" s="3354"/>
      <c r="Z18" s="1579"/>
      <c r="AA18" s="1580">
        <v>1</v>
      </c>
      <c r="AB18" s="1580">
        <v>1</v>
      </c>
      <c r="AC18" s="1580">
        <v>1</v>
      </c>
    </row>
    <row r="19" spans="1:29" ht="42.75">
      <c r="A19" s="535"/>
      <c r="B19" s="2628"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54"/>
      <c r="Q19" s="1576" t="str">
        <f>B19</f>
        <v>公共配套设施</v>
      </c>
      <c r="R19" s="1577" t="s">
        <v>8</v>
      </c>
      <c r="S19" s="1578">
        <f>F19</f>
        <v>100</v>
      </c>
      <c r="T19" s="1577" t="s">
        <v>8</v>
      </c>
      <c r="U19" s="1578">
        <f>H19</f>
        <v>100</v>
      </c>
      <c r="V19" s="1577" t="s">
        <v>8</v>
      </c>
      <c r="W19" s="1578">
        <f>J19</f>
        <v>100</v>
      </c>
      <c r="X19" s="1571"/>
      <c r="Y19" s="3354"/>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6"/>
      <c r="M20" s="2138"/>
      <c r="N20" s="2138"/>
      <c r="O20" s="2145"/>
      <c r="P20" s="3354"/>
      <c r="Q20" s="1576"/>
      <c r="R20" s="1577"/>
      <c r="S20" s="1578"/>
      <c r="T20" s="1577"/>
      <c r="U20" s="1578"/>
      <c r="V20" s="1577"/>
      <c r="W20" s="1578"/>
      <c r="X20" s="1571"/>
      <c r="Y20" s="3354"/>
      <c r="Z20" s="1579"/>
      <c r="AA20" s="1580">
        <v>1</v>
      </c>
      <c r="AB20" s="1580">
        <v>1</v>
      </c>
      <c r="AC20" s="1580">
        <v>1</v>
      </c>
    </row>
    <row r="21" spans="1:29" ht="28.5">
      <c r="A21" s="535"/>
      <c r="B21" s="2621"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54"/>
      <c r="Q21" s="2607" t="str">
        <f>B21</f>
        <v>基础设施水平</v>
      </c>
      <c r="R21" s="1577" t="s">
        <v>8</v>
      </c>
      <c r="S21" s="1578">
        <f>F21</f>
        <v>100</v>
      </c>
      <c r="T21" s="1577" t="s">
        <v>8</v>
      </c>
      <c r="U21" s="1578">
        <f>H21</f>
        <v>100</v>
      </c>
      <c r="V21" s="1577" t="s">
        <v>8</v>
      </c>
      <c r="W21" s="1578">
        <f>J21</f>
        <v>100</v>
      </c>
      <c r="X21" s="2609"/>
      <c r="Y21" s="3354"/>
      <c r="Z21" s="2608"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0"/>
      <c r="L22" s="2146"/>
      <c r="M22" s="2138"/>
      <c r="N22" s="2138"/>
      <c r="O22" s="2145"/>
      <c r="P22" s="3354"/>
      <c r="Q22" s="2607"/>
      <c r="R22" s="1577"/>
      <c r="S22" s="1578"/>
      <c r="T22" s="1577"/>
      <c r="U22" s="1578"/>
      <c r="V22" s="1577"/>
      <c r="W22" s="1578"/>
      <c r="X22" s="2609"/>
      <c r="Y22" s="3354"/>
      <c r="Z22" s="2608"/>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54"/>
      <c r="Q23" s="1576" t="str">
        <f>B23</f>
        <v>自然及人文环境</v>
      </c>
      <c r="R23" s="1577" t="s">
        <v>8</v>
      </c>
      <c r="S23" s="1578">
        <f>F23</f>
        <v>100</v>
      </c>
      <c r="T23" s="1577" t="s">
        <v>8</v>
      </c>
      <c r="U23" s="1578">
        <f>H23</f>
        <v>100</v>
      </c>
      <c r="V23" s="1577" t="s">
        <v>8</v>
      </c>
      <c r="W23" s="1578">
        <f>J23</f>
        <v>100</v>
      </c>
      <c r="X23" s="1571"/>
      <c r="Y23" s="3354"/>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6"/>
      <c r="M24" s="2138"/>
      <c r="N24" s="2138"/>
      <c r="O24" s="2145"/>
      <c r="P24" s="3354"/>
      <c r="Q24" s="1576"/>
      <c r="R24" s="1577"/>
      <c r="S24" s="1578"/>
      <c r="T24" s="1577"/>
      <c r="U24" s="1578"/>
      <c r="V24" s="1577"/>
      <c r="W24" s="1578"/>
      <c r="X24" s="1571"/>
      <c r="Y24" s="3354"/>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54"/>
      <c r="Q25" s="1576" t="str">
        <f t="shared" ref="Q25:Q46" si="11">B25</f>
        <v>临街状况</v>
      </c>
      <c r="R25" s="1577" t="s">
        <v>8</v>
      </c>
      <c r="S25" s="1578">
        <f>F25</f>
        <v>100</v>
      </c>
      <c r="T25" s="1577" t="s">
        <v>8</v>
      </c>
      <c r="U25" s="1578">
        <f>H25</f>
        <v>100</v>
      </c>
      <c r="V25" s="1577" t="s">
        <v>8</v>
      </c>
      <c r="W25" s="1578">
        <f>J25</f>
        <v>100</v>
      </c>
      <c r="X25" s="1571"/>
      <c r="Y25" s="3354"/>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54"/>
      <c r="Q26" s="1576" t="str">
        <f t="shared" si="11"/>
        <v>平面位置/可视性</v>
      </c>
      <c r="R26" s="1577" t="s">
        <v>8</v>
      </c>
      <c r="S26" s="1578">
        <f>F26</f>
        <v>100</v>
      </c>
      <c r="T26" s="1577" t="s">
        <v>8</v>
      </c>
      <c r="U26" s="1578">
        <f>H26</f>
        <v>100</v>
      </c>
      <c r="V26" s="1577" t="s">
        <v>8</v>
      </c>
      <c r="W26" s="1578">
        <f>J26</f>
        <v>100</v>
      </c>
      <c r="X26" s="1571"/>
      <c r="Y26" s="3354"/>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54"/>
      <c r="Q27" s="1154" t="str">
        <f t="shared" si="11"/>
        <v>人流量</v>
      </c>
      <c r="R27" s="1572" t="s">
        <v>8</v>
      </c>
      <c r="S27" s="1573">
        <f>F27</f>
        <v>100</v>
      </c>
      <c r="T27" s="1572" t="s">
        <v>8</v>
      </c>
      <c r="U27" s="1573">
        <f>H27</f>
        <v>100</v>
      </c>
      <c r="V27" s="1572" t="s">
        <v>8</v>
      </c>
      <c r="W27" s="1573">
        <f>J27</f>
        <v>100</v>
      </c>
      <c r="X27" s="1574"/>
      <c r="Y27" s="3354"/>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54"/>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54"/>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54"/>
      <c r="Q29" s="1576">
        <f t="shared" si="11"/>
        <v>111</v>
      </c>
      <c r="R29" s="1577" t="s">
        <v>8</v>
      </c>
      <c r="S29" s="1578">
        <f t="shared" si="12"/>
        <v>100</v>
      </c>
      <c r="T29" s="1577" t="s">
        <v>8</v>
      </c>
      <c r="U29" s="1578">
        <f t="shared" si="13"/>
        <v>100</v>
      </c>
      <c r="V29" s="1577" t="s">
        <v>8</v>
      </c>
      <c r="W29" s="1578">
        <f t="shared" si="14"/>
        <v>100</v>
      </c>
      <c r="X29" s="1571"/>
      <c r="Y29" s="3354"/>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54"/>
      <c r="Q30" s="1576">
        <f t="shared" si="11"/>
        <v>111</v>
      </c>
      <c r="R30" s="1577" t="s">
        <v>8</v>
      </c>
      <c r="S30" s="1578">
        <f t="shared" si="12"/>
        <v>100</v>
      </c>
      <c r="T30" s="1577" t="s">
        <v>8</v>
      </c>
      <c r="U30" s="1578">
        <f t="shared" si="13"/>
        <v>100</v>
      </c>
      <c r="V30" s="1577" t="s">
        <v>8</v>
      </c>
      <c r="W30" s="1578">
        <f t="shared" si="14"/>
        <v>100</v>
      </c>
      <c r="X30" s="1571"/>
      <c r="Y30" s="3354"/>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54"/>
      <c r="Q31" s="1576">
        <f t="shared" si="11"/>
        <v>111</v>
      </c>
      <c r="R31" s="1577" t="s">
        <v>8</v>
      </c>
      <c r="S31" s="1578">
        <f t="shared" si="12"/>
        <v>100</v>
      </c>
      <c r="T31" s="1577" t="s">
        <v>8</v>
      </c>
      <c r="U31" s="1578">
        <f t="shared" si="13"/>
        <v>100</v>
      </c>
      <c r="V31" s="1577" t="s">
        <v>8</v>
      </c>
      <c r="W31" s="1578">
        <f t="shared" si="14"/>
        <v>100</v>
      </c>
      <c r="X31" s="1571"/>
      <c r="Y31" s="3354"/>
      <c r="Z31" s="1579">
        <f t="shared" si="15"/>
        <v>111</v>
      </c>
      <c r="AA31" s="1580">
        <f t="shared" si="3"/>
        <v>1</v>
      </c>
      <c r="AB31" s="1580">
        <f t="shared" si="4"/>
        <v>1</v>
      </c>
      <c r="AC31" s="1580">
        <f t="shared" si="5"/>
        <v>1</v>
      </c>
    </row>
    <row r="32" spans="1:29" ht="15">
      <c r="A32" s="2939"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55" t="s">
        <v>551</v>
      </c>
      <c r="Q32" s="1576" t="str">
        <f t="shared" si="11"/>
        <v>商业类型</v>
      </c>
      <c r="R32" s="1577" t="s">
        <v>8</v>
      </c>
      <c r="S32" s="1578">
        <f t="shared" si="12"/>
        <v>100</v>
      </c>
      <c r="T32" s="1577" t="s">
        <v>8</v>
      </c>
      <c r="U32" s="1578">
        <f t="shared" si="13"/>
        <v>100</v>
      </c>
      <c r="V32" s="1577" t="s">
        <v>8</v>
      </c>
      <c r="W32" s="1578">
        <f t="shared" si="14"/>
        <v>100</v>
      </c>
      <c r="X32" s="1571"/>
      <c r="Y32" s="3356"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56"/>
      <c r="Q33" s="1609" t="str">
        <f t="shared" si="11"/>
        <v>项目建筑规模</v>
      </c>
      <c r="R33" s="1581" t="s">
        <v>8</v>
      </c>
      <c r="S33" s="1582" t="e">
        <f t="shared" si="12"/>
        <v>#N/A</v>
      </c>
      <c r="T33" s="1581" t="s">
        <v>8</v>
      </c>
      <c r="U33" s="1582" t="e">
        <f t="shared" si="13"/>
        <v>#N/A</v>
      </c>
      <c r="V33" s="1581" t="s">
        <v>8</v>
      </c>
      <c r="W33" s="1582" t="e">
        <f t="shared" si="14"/>
        <v>#N/A</v>
      </c>
      <c r="X33" s="1583"/>
      <c r="Y33" s="3356"/>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56"/>
      <c r="Q34" s="1576" t="str">
        <f t="shared" si="11"/>
        <v>建筑结构</v>
      </c>
      <c r="R34" s="1577" t="s">
        <v>8</v>
      </c>
      <c r="S34" s="1578">
        <f t="shared" si="12"/>
        <v>100</v>
      </c>
      <c r="T34" s="1577" t="s">
        <v>8</v>
      </c>
      <c r="U34" s="1578">
        <f t="shared" si="13"/>
        <v>100</v>
      </c>
      <c r="V34" s="1577" t="s">
        <v>8</v>
      </c>
      <c r="W34" s="1578">
        <f t="shared" si="14"/>
        <v>100</v>
      </c>
      <c r="X34" s="1571"/>
      <c r="Y34" s="3356"/>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56"/>
      <c r="Q35" s="1576" t="str">
        <f t="shared" si="11"/>
        <v>公共部分装修</v>
      </c>
      <c r="R35" s="1577" t="s">
        <v>8</v>
      </c>
      <c r="S35" s="1578">
        <f t="shared" si="12"/>
        <v>100</v>
      </c>
      <c r="T35" s="1577" t="s">
        <v>8</v>
      </c>
      <c r="U35" s="1578">
        <f t="shared" si="13"/>
        <v>100</v>
      </c>
      <c r="V35" s="1577" t="s">
        <v>8</v>
      </c>
      <c r="W35" s="1578">
        <f t="shared" si="14"/>
        <v>100</v>
      </c>
      <c r="X35" s="1571"/>
      <c r="Y35" s="3356"/>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56"/>
      <c r="Q36" s="1576" t="str">
        <f t="shared" si="11"/>
        <v>成新度</v>
      </c>
      <c r="R36" s="1577" t="s">
        <v>8</v>
      </c>
      <c r="S36" s="1578" t="e">
        <f t="shared" si="12"/>
        <v>#N/A</v>
      </c>
      <c r="T36" s="1577" t="s">
        <v>8</v>
      </c>
      <c r="U36" s="1578" t="e">
        <f t="shared" si="13"/>
        <v>#N/A</v>
      </c>
      <c r="V36" s="1577" t="s">
        <v>8</v>
      </c>
      <c r="W36" s="1578" t="e">
        <f t="shared" si="14"/>
        <v>#N/A</v>
      </c>
      <c r="X36" s="1571"/>
      <c r="Y36" s="3356"/>
      <c r="Z36" s="1579" t="str">
        <f t="shared" si="15"/>
        <v>成新度</v>
      </c>
      <c r="AA36" s="1580" t="e">
        <f t="shared" si="3"/>
        <v>#N/A</v>
      </c>
      <c r="AB36" s="1580" t="e">
        <f t="shared" si="4"/>
        <v>#N/A</v>
      </c>
      <c r="AC36" s="1580" t="e">
        <f t="shared" si="5"/>
        <v>#N/A</v>
      </c>
    </row>
    <row r="37" spans="1:29" s="1223" customFormat="1" ht="15">
      <c r="A37" s="603"/>
      <c r="B37" s="1899"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56"/>
      <c r="Q37" s="1154" t="str">
        <f t="shared" si="11"/>
        <v>市政基础设施</v>
      </c>
      <c r="R37" s="1572" t="s">
        <v>8</v>
      </c>
      <c r="S37" s="1573">
        <f t="shared" si="12"/>
        <v>100</v>
      </c>
      <c r="T37" s="1572" t="s">
        <v>8</v>
      </c>
      <c r="U37" s="1573">
        <f t="shared" si="13"/>
        <v>100</v>
      </c>
      <c r="V37" s="1572" t="s">
        <v>8</v>
      </c>
      <c r="W37" s="1573">
        <f t="shared" si="14"/>
        <v>100</v>
      </c>
      <c r="X37" s="1574"/>
      <c r="Y37" s="3356"/>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56" t="s">
        <v>767</v>
      </c>
      <c r="Q38" s="1576" t="str">
        <f t="shared" si="11"/>
        <v>业态</v>
      </c>
      <c r="R38" s="1577" t="s">
        <v>8</v>
      </c>
      <c r="S38" s="1578">
        <f t="shared" si="12"/>
        <v>100</v>
      </c>
      <c r="T38" s="1577" t="s">
        <v>8</v>
      </c>
      <c r="U38" s="1578">
        <f t="shared" si="13"/>
        <v>100</v>
      </c>
      <c r="V38" s="1577" t="s">
        <v>8</v>
      </c>
      <c r="W38" s="1578">
        <f t="shared" si="14"/>
        <v>100</v>
      </c>
      <c r="X38" s="1571"/>
      <c r="Y38" s="3356"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56"/>
      <c r="Q39" s="1576" t="str">
        <f t="shared" si="11"/>
        <v>层高</v>
      </c>
      <c r="R39" s="1577" t="s">
        <v>8</v>
      </c>
      <c r="S39" s="1578">
        <f t="shared" si="12"/>
        <v>100</v>
      </c>
      <c r="T39" s="1577" t="s">
        <v>8</v>
      </c>
      <c r="U39" s="1578">
        <f t="shared" si="13"/>
        <v>100</v>
      </c>
      <c r="V39" s="1577" t="s">
        <v>8</v>
      </c>
      <c r="W39" s="1578">
        <f t="shared" si="14"/>
        <v>100</v>
      </c>
      <c r="X39" s="1571"/>
      <c r="Y39" s="3356"/>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56"/>
      <c r="Q40" s="1576" t="str">
        <f t="shared" si="11"/>
        <v>单套建筑面积</v>
      </c>
      <c r="R40" s="1577" t="s">
        <v>8</v>
      </c>
      <c r="S40" s="1578">
        <f t="shared" si="12"/>
        <v>100</v>
      </c>
      <c r="T40" s="1577" t="s">
        <v>8</v>
      </c>
      <c r="U40" s="1578">
        <f t="shared" si="13"/>
        <v>100</v>
      </c>
      <c r="V40" s="1577" t="s">
        <v>8</v>
      </c>
      <c r="W40" s="1578">
        <f t="shared" si="14"/>
        <v>100</v>
      </c>
      <c r="X40" s="1571"/>
      <c r="Y40" s="3356"/>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56"/>
      <c r="Q41" s="1609" t="str">
        <f t="shared" si="11"/>
        <v>进深比</v>
      </c>
      <c r="R41" s="1581" t="s">
        <v>8</v>
      </c>
      <c r="S41" s="1582">
        <f t="shared" si="12"/>
        <v>100</v>
      </c>
      <c r="T41" s="1581" t="s">
        <v>8</v>
      </c>
      <c r="U41" s="1582">
        <f t="shared" si="13"/>
        <v>100</v>
      </c>
      <c r="V41" s="1581" t="s">
        <v>8</v>
      </c>
      <c r="W41" s="1582">
        <f t="shared" si="14"/>
        <v>100</v>
      </c>
      <c r="X41" s="1583"/>
      <c r="Y41" s="3356"/>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56"/>
      <c r="Q42" s="1576" t="str">
        <f t="shared" si="11"/>
        <v>内部装修</v>
      </c>
      <c r="R42" s="1577" t="s">
        <v>8</v>
      </c>
      <c r="S42" s="1578">
        <f t="shared" si="12"/>
        <v>100</v>
      </c>
      <c r="T42" s="1577" t="s">
        <v>8</v>
      </c>
      <c r="U42" s="1578">
        <f t="shared" si="13"/>
        <v>100</v>
      </c>
      <c r="V42" s="1577" t="s">
        <v>8</v>
      </c>
      <c r="W42" s="1578">
        <f t="shared" si="14"/>
        <v>100</v>
      </c>
      <c r="X42" s="1571"/>
      <c r="Y42" s="3356"/>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56"/>
      <c r="Q43" s="1576" t="str">
        <f t="shared" si="11"/>
        <v>内部装修维护情况</v>
      </c>
      <c r="R43" s="1577" t="s">
        <v>8</v>
      </c>
      <c r="S43" s="1578">
        <f t="shared" si="12"/>
        <v>100</v>
      </c>
      <c r="T43" s="1577" t="s">
        <v>8</v>
      </c>
      <c r="U43" s="1578">
        <f t="shared" si="13"/>
        <v>100</v>
      </c>
      <c r="V43" s="1577" t="s">
        <v>8</v>
      </c>
      <c r="W43" s="1578">
        <f t="shared" si="14"/>
        <v>100</v>
      </c>
      <c r="X43" s="1571"/>
      <c r="Y43" s="3356"/>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56"/>
      <c r="Q44" s="1154">
        <f t="shared" si="11"/>
        <v>111</v>
      </c>
      <c r="R44" s="1572" t="s">
        <v>8</v>
      </c>
      <c r="S44" s="1573">
        <f t="shared" si="12"/>
        <v>100</v>
      </c>
      <c r="T44" s="1572" t="s">
        <v>8</v>
      </c>
      <c r="U44" s="1573">
        <f t="shared" si="13"/>
        <v>100</v>
      </c>
      <c r="V44" s="1572" t="s">
        <v>8</v>
      </c>
      <c r="W44" s="1573">
        <f t="shared" si="14"/>
        <v>100</v>
      </c>
      <c r="X44" s="1574"/>
      <c r="Y44" s="3356"/>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56"/>
      <c r="Q45" s="1576">
        <f t="shared" si="11"/>
        <v>111</v>
      </c>
      <c r="R45" s="1577" t="s">
        <v>8</v>
      </c>
      <c r="S45" s="1578">
        <f t="shared" si="12"/>
        <v>100</v>
      </c>
      <c r="T45" s="1577" t="s">
        <v>8</v>
      </c>
      <c r="U45" s="1578">
        <f t="shared" si="13"/>
        <v>100</v>
      </c>
      <c r="V45" s="1577" t="s">
        <v>8</v>
      </c>
      <c r="W45" s="1578">
        <f t="shared" si="14"/>
        <v>100</v>
      </c>
      <c r="X45" s="1571"/>
      <c r="Y45" s="3356"/>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357"/>
      <c r="Q46" s="1576">
        <f t="shared" si="11"/>
        <v>111</v>
      </c>
      <c r="R46" s="1577" t="s">
        <v>8</v>
      </c>
      <c r="S46" s="1578">
        <f t="shared" si="12"/>
        <v>100</v>
      </c>
      <c r="T46" s="1577" t="s">
        <v>8</v>
      </c>
      <c r="U46" s="1578">
        <f t="shared" si="13"/>
        <v>100</v>
      </c>
      <c r="V46" s="1577" t="s">
        <v>8</v>
      </c>
      <c r="W46" s="1578">
        <f t="shared" si="14"/>
        <v>100</v>
      </c>
      <c r="X46" s="1571"/>
      <c r="Y46" s="3357"/>
      <c r="Z46" s="1579">
        <f t="shared" si="15"/>
        <v>111</v>
      </c>
      <c r="AA46" s="1580">
        <f t="shared" si="3"/>
        <v>1</v>
      </c>
      <c r="AB46" s="1580">
        <f t="shared" si="4"/>
        <v>1</v>
      </c>
      <c r="AC46" s="1580">
        <f t="shared" si="5"/>
        <v>1</v>
      </c>
    </row>
    <row r="47" spans="1:29" ht="15">
      <c r="A47" s="610" t="s">
        <v>737</v>
      </c>
      <c r="B47" s="890"/>
      <c r="C47" s="2655" t="s">
        <v>1</v>
      </c>
      <c r="D47" s="2656"/>
      <c r="E47" s="2657"/>
      <c r="F47" s="2658"/>
      <c r="G47" s="2659"/>
      <c r="H47" s="2660"/>
      <c r="I47" s="2657"/>
      <c r="J47" s="2660"/>
      <c r="K47" s="1615"/>
      <c r="L47" s="2148"/>
      <c r="M47" s="2149"/>
      <c r="N47" s="2138"/>
      <c r="O47" s="2149"/>
      <c r="P47" s="3351" t="str">
        <f>A47</f>
        <v>成交单价（元/平方米）</v>
      </c>
      <c r="Q47" s="3351"/>
      <c r="R47" s="3352">
        <f>E47</f>
        <v>0</v>
      </c>
      <c r="S47" s="3352"/>
      <c r="T47" s="3352">
        <f>G47</f>
        <v>0</v>
      </c>
      <c r="U47" s="3352"/>
      <c r="V47" s="3352">
        <f>I47</f>
        <v>0</v>
      </c>
      <c r="W47" s="3352"/>
      <c r="X47" s="1563"/>
      <c r="Y47" s="1585"/>
      <c r="Z47" s="1563"/>
      <c r="AA47" s="1563"/>
      <c r="AB47" s="1563"/>
      <c r="AC47" s="1563"/>
    </row>
    <row r="48" spans="1:29" ht="15.75" thickBot="1">
      <c r="A48" s="618" t="s">
        <v>2768</v>
      </c>
      <c r="B48" s="891"/>
      <c r="C48" s="2661" t="e">
        <f>R49</f>
        <v>#DIV/0!</v>
      </c>
      <c r="D48" s="2662"/>
      <c r="E48" s="2663" t="e">
        <f>R48</f>
        <v>#DIV/0!</v>
      </c>
      <c r="F48" s="2663"/>
      <c r="G48" s="2661" t="e">
        <f>T48</f>
        <v>#DIV/0!</v>
      </c>
      <c r="H48" s="2662"/>
      <c r="I48" s="2663" t="e">
        <f>V48</f>
        <v>#DIV/0!</v>
      </c>
      <c r="J48" s="2662"/>
      <c r="K48" s="1616"/>
      <c r="L48" s="2148"/>
      <c r="M48" s="2149"/>
      <c r="N48" s="2138"/>
      <c r="O48" s="2149"/>
      <c r="P48" s="3351" t="str">
        <f>A48</f>
        <v>比较价格（元/平方米）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1563"/>
      <c r="Y48" s="1563"/>
      <c r="Z48" s="1563"/>
      <c r="AA48" s="1563"/>
      <c r="AB48" s="1563"/>
      <c r="AC48" s="1563"/>
    </row>
    <row r="49" spans="1:29" ht="15.75" thickBot="1">
      <c r="A49" s="624" t="s">
        <v>2942</v>
      </c>
      <c r="B49" s="625"/>
      <c r="C49" s="2664" t="e">
        <f>R49</f>
        <v>#DIV/0!</v>
      </c>
      <c r="D49" s="2664"/>
      <c r="E49" s="2664"/>
      <c r="F49" s="2664"/>
      <c r="G49" s="2664"/>
      <c r="H49" s="2664"/>
      <c r="I49" s="2664"/>
      <c r="J49" s="2664"/>
      <c r="K49" s="1617"/>
      <c r="L49" s="2148"/>
      <c r="M49" s="2149"/>
      <c r="N49" s="2138"/>
      <c r="O49" s="2149"/>
      <c r="P49" s="3348" t="str">
        <f>A49</f>
        <v>估价对象XX用房的比较价格（楼面单价，元/平方米）</v>
      </c>
      <c r="Q49" s="3349"/>
      <c r="R49" s="3350" t="e">
        <f>IF(F1="售价",ROUND(AVERAGE(R48:V48),0),ROUND(AVERAGE(R48:V48),1))</f>
        <v>#DIV/0!</v>
      </c>
      <c r="S49" s="3350"/>
      <c r="T49" s="3350"/>
      <c r="U49" s="3350"/>
      <c r="V49" s="3350"/>
      <c r="W49" s="3350"/>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2562</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9"/>
      <c r="G1" s="1605" t="s">
        <v>722</v>
      </c>
      <c r="H1" s="509"/>
      <c r="I1" s="509"/>
      <c r="J1" s="509"/>
      <c r="K1" s="510"/>
      <c r="L1" s="1566"/>
      <c r="M1" s="1567"/>
      <c r="N1" s="1567"/>
      <c r="O1" s="1567"/>
      <c r="P1" s="2211"/>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8"/>
      <c r="R3" s="1568"/>
      <c r="S3" s="1568"/>
      <c r="T3" s="1568"/>
      <c r="U3" s="1568"/>
      <c r="V3" s="1568"/>
      <c r="W3" s="1568"/>
      <c r="X3" s="1568"/>
      <c r="Y3" s="1568"/>
      <c r="Z3" s="1568"/>
      <c r="AA3" s="1568"/>
      <c r="AB3" s="1568"/>
      <c r="AC3" s="1569"/>
    </row>
    <row r="4" spans="1:29" ht="15">
      <c r="A4" s="515" t="s">
        <v>522</v>
      </c>
      <c r="B4" s="516"/>
      <c r="C4" s="3361" t="s">
        <v>523</v>
      </c>
      <c r="D4" s="3362"/>
      <c r="E4" s="3363" t="s">
        <v>524</v>
      </c>
      <c r="F4" s="3364"/>
      <c r="G4" s="3361" t="s">
        <v>525</v>
      </c>
      <c r="H4" s="3362"/>
      <c r="I4" s="3361" t="s">
        <v>526</v>
      </c>
      <c r="J4" s="3362"/>
      <c r="K4" s="517" t="s">
        <v>527</v>
      </c>
      <c r="L4" s="2137"/>
      <c r="M4" s="2138"/>
      <c r="N4" s="2138"/>
      <c r="O4" s="2138"/>
      <c r="P4" s="3461" t="s">
        <v>528</v>
      </c>
      <c r="Q4" s="3366"/>
      <c r="R4" s="3371" t="s">
        <v>524</v>
      </c>
      <c r="S4" s="3372"/>
      <c r="T4" s="3371" t="s">
        <v>525</v>
      </c>
      <c r="U4" s="3372"/>
      <c r="V4" s="3377" t="s">
        <v>526</v>
      </c>
      <c r="W4" s="3377"/>
      <c r="X4" s="1571"/>
      <c r="Y4" s="3371" t="s">
        <v>528</v>
      </c>
      <c r="Z4" s="3372"/>
      <c r="AA4" s="3358" t="s">
        <v>524</v>
      </c>
      <c r="AB4" s="3358" t="s">
        <v>525</v>
      </c>
      <c r="AC4" s="3358" t="s">
        <v>526</v>
      </c>
    </row>
    <row r="5" spans="1:29" ht="15">
      <c r="A5" s="518"/>
      <c r="B5" s="519"/>
      <c r="C5" s="3380" t="s">
        <v>2936</v>
      </c>
      <c r="D5" s="3381"/>
      <c r="E5" s="3388" t="s">
        <v>2937</v>
      </c>
      <c r="F5" s="3389"/>
      <c r="G5" s="3380" t="s">
        <v>2938</v>
      </c>
      <c r="H5" s="3381"/>
      <c r="I5" s="3380" t="s">
        <v>2939</v>
      </c>
      <c r="J5" s="3381"/>
      <c r="K5" s="517"/>
      <c r="L5" s="2137"/>
      <c r="M5" s="2138"/>
      <c r="N5" s="2138"/>
      <c r="O5" s="2138"/>
      <c r="P5" s="3462"/>
      <c r="Q5" s="3368"/>
      <c r="R5" s="3373"/>
      <c r="S5" s="3374"/>
      <c r="T5" s="3373"/>
      <c r="U5" s="3374"/>
      <c r="V5" s="3377"/>
      <c r="W5" s="3377"/>
      <c r="X5" s="1571"/>
      <c r="Y5" s="3373"/>
      <c r="Z5" s="3374"/>
      <c r="AA5" s="3359"/>
      <c r="AB5" s="3359"/>
      <c r="AC5" s="3359"/>
    </row>
    <row r="6" spans="1:29" ht="15.75" thickBot="1">
      <c r="A6" s="520"/>
      <c r="B6" s="521"/>
      <c r="C6" s="3378" t="s">
        <v>2940</v>
      </c>
      <c r="D6" s="3379"/>
      <c r="E6" s="3386" t="s">
        <v>2940</v>
      </c>
      <c r="F6" s="3387"/>
      <c r="G6" s="3378" t="s">
        <v>2940</v>
      </c>
      <c r="H6" s="3379"/>
      <c r="I6" s="3378" t="s">
        <v>2940</v>
      </c>
      <c r="J6" s="3379"/>
      <c r="K6" s="517" t="s">
        <v>529</v>
      </c>
      <c r="L6" s="2137"/>
      <c r="M6" s="2138"/>
      <c r="N6" s="2138"/>
      <c r="O6" s="2138"/>
      <c r="P6" s="3463"/>
      <c r="Q6" s="3370"/>
      <c r="R6" s="3373"/>
      <c r="S6" s="3374"/>
      <c r="T6" s="3375"/>
      <c r="U6" s="3376"/>
      <c r="V6" s="3377"/>
      <c r="W6" s="3377"/>
      <c r="X6" s="1571"/>
      <c r="Y6" s="3375"/>
      <c r="Z6" s="3376"/>
      <c r="AA6" s="3360"/>
      <c r="AB6" s="3360"/>
      <c r="AC6" s="3360"/>
    </row>
    <row r="7" spans="1:29" s="1223" customFormat="1" ht="15.75" thickBot="1">
      <c r="A7" s="2944"/>
      <c r="B7" s="2951" t="s">
        <v>530</v>
      </c>
      <c r="C7" s="522">
        <f>'数据-取费表'!B2</f>
        <v>43021</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84"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5"/>
      <c r="B8" s="2952"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84" t="s">
        <v>534</v>
      </c>
      <c r="Q8" s="3383"/>
      <c r="R8" s="1572" t="s">
        <v>8</v>
      </c>
      <c r="S8" s="1573">
        <f t="shared" si="0"/>
        <v>0</v>
      </c>
      <c r="T8" s="1572" t="s">
        <v>8</v>
      </c>
      <c r="U8" s="1573">
        <f t="shared" si="1"/>
        <v>0</v>
      </c>
      <c r="V8" s="1572" t="s">
        <v>8</v>
      </c>
      <c r="W8" s="1573">
        <f t="shared" si="2"/>
        <v>0</v>
      </c>
      <c r="X8" s="1574"/>
      <c r="Y8" s="3382" t="s">
        <v>534</v>
      </c>
      <c r="Z8" s="3383"/>
      <c r="AA8" s="1575" t="e">
        <f t="shared" ref="AA8:AA47" si="3">D8/F8</f>
        <v>#DIV/0!</v>
      </c>
      <c r="AB8" s="1575" t="e">
        <f t="shared" ref="AB8:AB47" si="4">D8/H8</f>
        <v>#DIV/0!</v>
      </c>
      <c r="AC8" s="1575" t="e">
        <f t="shared" ref="AC8:AC47" si="5">D8/J8</f>
        <v>#DIV/0!</v>
      </c>
    </row>
    <row r="9" spans="1:29" s="1223" customFormat="1" ht="15">
      <c r="A9" s="2946"/>
      <c r="B9" s="2953" t="s">
        <v>2764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7"/>
      <c r="B10" s="2952" t="s">
        <v>2765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8"/>
      <c r="B11" s="2952"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49"/>
      <c r="B13" s="2955">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0"/>
      <c r="B14" s="2956">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71.25">
      <c r="A15" s="2942"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53" t="s">
        <v>541</v>
      </c>
      <c r="Q15" s="1576" t="str">
        <f t="shared" si="6"/>
        <v>办公集聚程度</v>
      </c>
      <c r="R15" s="1577" t="s">
        <v>8</v>
      </c>
      <c r="S15" s="1578">
        <f t="shared" si="0"/>
        <v>100</v>
      </c>
      <c r="T15" s="1577" t="s">
        <v>8</v>
      </c>
      <c r="U15" s="1578">
        <f t="shared" si="1"/>
        <v>100</v>
      </c>
      <c r="V15" s="1577" t="s">
        <v>8</v>
      </c>
      <c r="W15" s="1578">
        <f t="shared" si="2"/>
        <v>100</v>
      </c>
      <c r="X15" s="1571"/>
      <c r="Y15" s="3353"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6"/>
      <c r="M16" s="2138"/>
      <c r="N16" s="2138"/>
      <c r="O16" s="2138"/>
      <c r="P16" s="3354"/>
      <c r="Q16" s="1576"/>
      <c r="R16" s="1577"/>
      <c r="S16" s="1578"/>
      <c r="T16" s="1577"/>
      <c r="U16" s="1578"/>
      <c r="V16" s="1577"/>
      <c r="W16" s="1578"/>
      <c r="X16" s="1571"/>
      <c r="Y16" s="3354"/>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54"/>
      <c r="Q17" s="1576" t="str">
        <f>B17</f>
        <v>交通便捷度</v>
      </c>
      <c r="R17" s="1577" t="s">
        <v>8</v>
      </c>
      <c r="S17" s="1578">
        <f>F17</f>
        <v>100</v>
      </c>
      <c r="T17" s="1577" t="s">
        <v>8</v>
      </c>
      <c r="U17" s="1578">
        <f>H17</f>
        <v>100</v>
      </c>
      <c r="V17" s="1577" t="s">
        <v>8</v>
      </c>
      <c r="W17" s="1578">
        <f>J17</f>
        <v>100</v>
      </c>
      <c r="X17" s="1571"/>
      <c r="Y17" s="3354"/>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6"/>
      <c r="M18" s="2138"/>
      <c r="N18" s="2138"/>
      <c r="O18" s="2138"/>
      <c r="P18" s="3354"/>
      <c r="Q18" s="1576"/>
      <c r="R18" s="1577"/>
      <c r="S18" s="1578"/>
      <c r="T18" s="1577"/>
      <c r="U18" s="1578"/>
      <c r="V18" s="1577"/>
      <c r="W18" s="1578"/>
      <c r="X18" s="1571"/>
      <c r="Y18" s="3354"/>
      <c r="Z18" s="1579"/>
      <c r="AA18" s="1580">
        <v>1</v>
      </c>
      <c r="AB18" s="1580">
        <v>1</v>
      </c>
      <c r="AC18" s="1580">
        <v>1</v>
      </c>
    </row>
    <row r="19" spans="1:29" ht="42.75">
      <c r="A19" s="535"/>
      <c r="B19" s="2631" t="s">
        <v>2552</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54"/>
      <c r="Q19" s="1576" t="str">
        <f>B19</f>
        <v>公共配套设施</v>
      </c>
      <c r="R19" s="1577" t="s">
        <v>8</v>
      </c>
      <c r="S19" s="1578">
        <f>F19</f>
        <v>100</v>
      </c>
      <c r="T19" s="1577" t="s">
        <v>8</v>
      </c>
      <c r="U19" s="1578">
        <f>H19</f>
        <v>100</v>
      </c>
      <c r="V19" s="1577" t="s">
        <v>8</v>
      </c>
      <c r="W19" s="1578">
        <f>J19</f>
        <v>100</v>
      </c>
      <c r="X19" s="1571"/>
      <c r="Y19" s="3354"/>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6"/>
      <c r="M20" s="2138"/>
      <c r="N20" s="2138"/>
      <c r="O20" s="2138"/>
      <c r="P20" s="3354"/>
      <c r="Q20" s="1576"/>
      <c r="R20" s="1577"/>
      <c r="S20" s="1578"/>
      <c r="T20" s="1577"/>
      <c r="U20" s="1578"/>
      <c r="V20" s="1577"/>
      <c r="W20" s="1578"/>
      <c r="X20" s="1571"/>
      <c r="Y20" s="3354"/>
      <c r="Z20" s="1579"/>
      <c r="AA20" s="1580">
        <v>1</v>
      </c>
      <c r="AB20" s="1580">
        <v>1</v>
      </c>
      <c r="AC20" s="1580">
        <v>1</v>
      </c>
    </row>
    <row r="21" spans="1:29" ht="28.5">
      <c r="A21" s="535"/>
      <c r="B21" s="2619" t="s">
        <v>2564</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54"/>
      <c r="Q21" s="2607" t="str">
        <f>B21</f>
        <v>基础设施水平</v>
      </c>
      <c r="R21" s="1577" t="s">
        <v>8</v>
      </c>
      <c r="S21" s="1578">
        <f>F21</f>
        <v>100</v>
      </c>
      <c r="T21" s="1577" t="s">
        <v>8</v>
      </c>
      <c r="U21" s="1578">
        <f>H21</f>
        <v>100</v>
      </c>
      <c r="V21" s="1577" t="s">
        <v>8</v>
      </c>
      <c r="W21" s="1578">
        <f>J21</f>
        <v>100</v>
      </c>
      <c r="X21" s="2609"/>
      <c r="Y21" s="3354"/>
      <c r="Z21" s="2608"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0"/>
      <c r="L22" s="2146"/>
      <c r="M22" s="2138"/>
      <c r="N22" s="2138"/>
      <c r="O22" s="2138"/>
      <c r="P22" s="3354"/>
      <c r="Q22" s="2607"/>
      <c r="R22" s="1577"/>
      <c r="S22" s="1578"/>
      <c r="T22" s="1577"/>
      <c r="U22" s="1578"/>
      <c r="V22" s="1577"/>
      <c r="W22" s="1578"/>
      <c r="X22" s="2609"/>
      <c r="Y22" s="3354"/>
      <c r="Z22" s="2608"/>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54"/>
      <c r="Q23" s="1576" t="str">
        <f>B23</f>
        <v>环境质量</v>
      </c>
      <c r="R23" s="1577" t="s">
        <v>8</v>
      </c>
      <c r="S23" s="1578">
        <f>F23</f>
        <v>100</v>
      </c>
      <c r="T23" s="1577" t="s">
        <v>8</v>
      </c>
      <c r="U23" s="1578">
        <f>H23</f>
        <v>100</v>
      </c>
      <c r="V23" s="1577" t="s">
        <v>8</v>
      </c>
      <c r="W23" s="1578">
        <f>J23</f>
        <v>100</v>
      </c>
      <c r="X23" s="1571"/>
      <c r="Y23" s="3354"/>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6"/>
      <c r="M24" s="2138"/>
      <c r="N24" s="2138"/>
      <c r="O24" s="2138"/>
      <c r="P24" s="3354"/>
      <c r="Q24" s="1576"/>
      <c r="R24" s="1577"/>
      <c r="S24" s="1578"/>
      <c r="T24" s="1577"/>
      <c r="U24" s="1578"/>
      <c r="V24" s="1577"/>
      <c r="W24" s="1578"/>
      <c r="X24" s="1571"/>
      <c r="Y24" s="3354"/>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54"/>
      <c r="Q25" s="1576" t="str">
        <f>B25</f>
        <v>毗邻道路的类型与等级</v>
      </c>
      <c r="R25" s="1577" t="s">
        <v>8</v>
      </c>
      <c r="S25" s="1578">
        <f>F25</f>
        <v>100</v>
      </c>
      <c r="T25" s="1577" t="s">
        <v>8</v>
      </c>
      <c r="U25" s="1578">
        <f>H25</f>
        <v>100</v>
      </c>
      <c r="V25" s="1577" t="s">
        <v>8</v>
      </c>
      <c r="W25" s="1578">
        <f>J25</f>
        <v>100</v>
      </c>
      <c r="X25" s="1571"/>
      <c r="Y25" s="3354"/>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6"/>
      <c r="M26" s="2138"/>
      <c r="N26" s="2138"/>
      <c r="O26" s="2138"/>
      <c r="P26" s="3354"/>
      <c r="Q26" s="1576"/>
      <c r="R26" s="1577"/>
      <c r="S26" s="1578"/>
      <c r="T26" s="1577"/>
      <c r="U26" s="1578"/>
      <c r="V26" s="1577"/>
      <c r="W26" s="1578"/>
      <c r="X26" s="1571"/>
      <c r="Y26" s="3354"/>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54"/>
      <c r="Q27" s="1576" t="str">
        <f t="shared" ref="Q27:Q47" si="11">B27</f>
        <v>楼层</v>
      </c>
      <c r="R27" s="1577" t="s">
        <v>8</v>
      </c>
      <c r="S27" s="1578">
        <f>F27</f>
        <v>100</v>
      </c>
      <c r="T27" s="1577" t="s">
        <v>8</v>
      </c>
      <c r="U27" s="1578">
        <f>H27</f>
        <v>100</v>
      </c>
      <c r="V27" s="1577" t="s">
        <v>8</v>
      </c>
      <c r="W27" s="1578">
        <f>J27</f>
        <v>100</v>
      </c>
      <c r="X27" s="1571"/>
      <c r="Y27" s="3354"/>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54"/>
      <c r="Q28" s="1154" t="str">
        <f t="shared" si="11"/>
        <v>朝向</v>
      </c>
      <c r="R28" s="1572" t="s">
        <v>8</v>
      </c>
      <c r="S28" s="1573">
        <f>F28</f>
        <v>100</v>
      </c>
      <c r="T28" s="1572" t="s">
        <v>8</v>
      </c>
      <c r="U28" s="1573">
        <f>H28</f>
        <v>100</v>
      </c>
      <c r="V28" s="1572" t="s">
        <v>8</v>
      </c>
      <c r="W28" s="1573">
        <f>J28</f>
        <v>100</v>
      </c>
      <c r="X28" s="1574"/>
      <c r="Y28" s="3354"/>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54"/>
      <c r="Q29" s="1576">
        <f t="shared" si="11"/>
        <v>111</v>
      </c>
      <c r="R29" s="1577" t="s">
        <v>8</v>
      </c>
      <c r="S29" s="1578">
        <f t="shared" ref="S29:S47" si="12">F29</f>
        <v>100</v>
      </c>
      <c r="T29" s="1577" t="s">
        <v>8</v>
      </c>
      <c r="U29" s="1578">
        <f t="shared" ref="U29:U47" si="13">H29</f>
        <v>100</v>
      </c>
      <c r="V29" s="1577" t="s">
        <v>8</v>
      </c>
      <c r="W29" s="1578">
        <f t="shared" ref="W29:W47" si="14">J29</f>
        <v>100</v>
      </c>
      <c r="X29" s="1571"/>
      <c r="Y29" s="3354"/>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54"/>
      <c r="Q30" s="1576">
        <f t="shared" si="11"/>
        <v>111</v>
      </c>
      <c r="R30" s="1577" t="s">
        <v>8</v>
      </c>
      <c r="S30" s="1578">
        <f t="shared" si="12"/>
        <v>100</v>
      </c>
      <c r="T30" s="1577" t="s">
        <v>8</v>
      </c>
      <c r="U30" s="1578">
        <f t="shared" si="13"/>
        <v>100</v>
      </c>
      <c r="V30" s="1577" t="s">
        <v>8</v>
      </c>
      <c r="W30" s="1578">
        <f t="shared" si="14"/>
        <v>100</v>
      </c>
      <c r="X30" s="1571"/>
      <c r="Y30" s="3354"/>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54"/>
      <c r="Q31" s="1576">
        <f t="shared" si="11"/>
        <v>111</v>
      </c>
      <c r="R31" s="1577" t="s">
        <v>8</v>
      </c>
      <c r="S31" s="1578">
        <f t="shared" si="12"/>
        <v>100</v>
      </c>
      <c r="T31" s="1577" t="s">
        <v>8</v>
      </c>
      <c r="U31" s="1578">
        <f t="shared" si="13"/>
        <v>100</v>
      </c>
      <c r="V31" s="1577" t="s">
        <v>8</v>
      </c>
      <c r="W31" s="1578">
        <f t="shared" si="14"/>
        <v>100</v>
      </c>
      <c r="X31" s="1571"/>
      <c r="Y31" s="3354"/>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54"/>
      <c r="Q32" s="1576">
        <f t="shared" si="11"/>
        <v>111</v>
      </c>
      <c r="R32" s="1577" t="s">
        <v>8</v>
      </c>
      <c r="S32" s="1578">
        <f t="shared" si="12"/>
        <v>100</v>
      </c>
      <c r="T32" s="1577" t="s">
        <v>8</v>
      </c>
      <c r="U32" s="1578">
        <f t="shared" si="13"/>
        <v>100</v>
      </c>
      <c r="V32" s="1577" t="s">
        <v>8</v>
      </c>
      <c r="W32" s="1578">
        <f t="shared" si="14"/>
        <v>100</v>
      </c>
      <c r="X32" s="1571"/>
      <c r="Y32" s="3354"/>
      <c r="Z32" s="1579">
        <f t="shared" si="15"/>
        <v>111</v>
      </c>
      <c r="AA32" s="1580">
        <f t="shared" si="3"/>
        <v>1</v>
      </c>
      <c r="AB32" s="1580">
        <f t="shared" si="4"/>
        <v>1</v>
      </c>
      <c r="AC32" s="1580">
        <f t="shared" si="5"/>
        <v>1</v>
      </c>
    </row>
    <row r="33" spans="1:29" ht="15">
      <c r="A33" s="2939" t="s">
        <v>2763</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55" t="s">
        <v>551</v>
      </c>
      <c r="Q33" s="1576" t="str">
        <f t="shared" si="11"/>
        <v>建筑类型</v>
      </c>
      <c r="R33" s="1577" t="s">
        <v>8</v>
      </c>
      <c r="S33" s="1578">
        <f t="shared" si="12"/>
        <v>100</v>
      </c>
      <c r="T33" s="1577" t="s">
        <v>8</v>
      </c>
      <c r="U33" s="1578">
        <f t="shared" si="13"/>
        <v>100</v>
      </c>
      <c r="V33" s="1577" t="s">
        <v>8</v>
      </c>
      <c r="W33" s="1578">
        <f t="shared" si="14"/>
        <v>100</v>
      </c>
      <c r="X33" s="1571"/>
      <c r="Y33" s="3356"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56"/>
      <c r="Q34" s="1609" t="str">
        <f t="shared" si="11"/>
        <v>项目建筑规模</v>
      </c>
      <c r="R34" s="1581" t="s">
        <v>8</v>
      </c>
      <c r="S34" s="1582" t="e">
        <f t="shared" si="12"/>
        <v>#N/A</v>
      </c>
      <c r="T34" s="1581" t="s">
        <v>8</v>
      </c>
      <c r="U34" s="1582" t="e">
        <f t="shared" si="13"/>
        <v>#N/A</v>
      </c>
      <c r="V34" s="1581" t="s">
        <v>8</v>
      </c>
      <c r="W34" s="1582" t="e">
        <f t="shared" si="14"/>
        <v>#N/A</v>
      </c>
      <c r="X34" s="1583"/>
      <c r="Y34" s="3356"/>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56"/>
      <c r="Q35" s="1576" t="str">
        <f t="shared" si="11"/>
        <v>建筑结构</v>
      </c>
      <c r="R35" s="1577" t="s">
        <v>8</v>
      </c>
      <c r="S35" s="1578">
        <f t="shared" si="12"/>
        <v>100</v>
      </c>
      <c r="T35" s="1577" t="s">
        <v>8</v>
      </c>
      <c r="U35" s="1578">
        <f t="shared" si="13"/>
        <v>100</v>
      </c>
      <c r="V35" s="1577" t="s">
        <v>8</v>
      </c>
      <c r="W35" s="1578">
        <f t="shared" si="14"/>
        <v>100</v>
      </c>
      <c r="X35" s="1571"/>
      <c r="Y35" s="3356"/>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56"/>
      <c r="Q36" s="1576" t="str">
        <f t="shared" si="11"/>
        <v>公共部分装修</v>
      </c>
      <c r="R36" s="1577" t="s">
        <v>8</v>
      </c>
      <c r="S36" s="1578">
        <f t="shared" si="12"/>
        <v>100</v>
      </c>
      <c r="T36" s="1577" t="s">
        <v>8</v>
      </c>
      <c r="U36" s="1578">
        <f t="shared" si="13"/>
        <v>100</v>
      </c>
      <c r="V36" s="1577" t="s">
        <v>8</v>
      </c>
      <c r="W36" s="1578">
        <f t="shared" si="14"/>
        <v>100</v>
      </c>
      <c r="X36" s="1571"/>
      <c r="Y36" s="3356"/>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56"/>
      <c r="Q37" s="1576" t="str">
        <f t="shared" si="11"/>
        <v>成新度</v>
      </c>
      <c r="R37" s="1577" t="s">
        <v>8</v>
      </c>
      <c r="S37" s="1578" t="e">
        <f t="shared" si="12"/>
        <v>#N/A</v>
      </c>
      <c r="T37" s="1577" t="s">
        <v>8</v>
      </c>
      <c r="U37" s="1578" t="e">
        <f t="shared" si="13"/>
        <v>#N/A</v>
      </c>
      <c r="V37" s="1577" t="s">
        <v>8</v>
      </c>
      <c r="W37" s="1578" t="e">
        <f t="shared" si="14"/>
        <v>#N/A</v>
      </c>
      <c r="X37" s="1571"/>
      <c r="Y37" s="3356"/>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56"/>
      <c r="Q38" s="1154" t="str">
        <f t="shared" si="11"/>
        <v>写字楼等级</v>
      </c>
      <c r="R38" s="1572" t="s">
        <v>8</v>
      </c>
      <c r="S38" s="1573">
        <f t="shared" si="12"/>
        <v>100</v>
      </c>
      <c r="T38" s="1572" t="s">
        <v>8</v>
      </c>
      <c r="U38" s="1573">
        <f t="shared" si="13"/>
        <v>100</v>
      </c>
      <c r="V38" s="1572" t="s">
        <v>8</v>
      </c>
      <c r="W38" s="1573">
        <f t="shared" si="14"/>
        <v>100</v>
      </c>
      <c r="X38" s="1574"/>
      <c r="Y38" s="3356"/>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56" t="s">
        <v>551</v>
      </c>
      <c r="Q39" s="1576" t="str">
        <f t="shared" si="11"/>
        <v>物业管理</v>
      </c>
      <c r="R39" s="1577" t="s">
        <v>8</v>
      </c>
      <c r="S39" s="1578">
        <f t="shared" si="12"/>
        <v>100</v>
      </c>
      <c r="T39" s="1577" t="s">
        <v>8</v>
      </c>
      <c r="U39" s="1578">
        <f t="shared" si="13"/>
        <v>100</v>
      </c>
      <c r="V39" s="1577" t="s">
        <v>8</v>
      </c>
      <c r="W39" s="1578">
        <f t="shared" si="14"/>
        <v>100</v>
      </c>
      <c r="X39" s="1571"/>
      <c r="Y39" s="3356" t="s">
        <v>551</v>
      </c>
      <c r="Z39" s="1579" t="str">
        <f t="shared" si="15"/>
        <v>物业管理</v>
      </c>
      <c r="AA39" s="1580">
        <f t="shared" si="3"/>
        <v>1</v>
      </c>
      <c r="AB39" s="1580">
        <f t="shared" si="4"/>
        <v>1</v>
      </c>
      <c r="AC39" s="1580">
        <f t="shared" si="5"/>
        <v>1</v>
      </c>
    </row>
    <row r="40" spans="1:29" ht="15">
      <c r="A40" s="597"/>
      <c r="B40" s="1899"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56"/>
      <c r="Q40" s="1576" t="str">
        <f t="shared" si="11"/>
        <v>市政基础设施</v>
      </c>
      <c r="R40" s="1577" t="s">
        <v>8</v>
      </c>
      <c r="S40" s="1578">
        <f t="shared" si="12"/>
        <v>100</v>
      </c>
      <c r="T40" s="1577" t="s">
        <v>8</v>
      </c>
      <c r="U40" s="1578">
        <f t="shared" si="13"/>
        <v>100</v>
      </c>
      <c r="V40" s="1577" t="s">
        <v>8</v>
      </c>
      <c r="W40" s="1578">
        <f t="shared" si="14"/>
        <v>100</v>
      </c>
      <c r="X40" s="1571"/>
      <c r="Y40" s="3356"/>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56"/>
      <c r="Q41" s="1576" t="str">
        <f t="shared" si="11"/>
        <v>层高</v>
      </c>
      <c r="R41" s="1577" t="s">
        <v>8</v>
      </c>
      <c r="S41" s="1578">
        <f t="shared" si="12"/>
        <v>100</v>
      </c>
      <c r="T41" s="1577" t="s">
        <v>8</v>
      </c>
      <c r="U41" s="1578">
        <f t="shared" si="13"/>
        <v>100</v>
      </c>
      <c r="V41" s="1577" t="s">
        <v>8</v>
      </c>
      <c r="W41" s="1578">
        <f t="shared" si="14"/>
        <v>100</v>
      </c>
      <c r="X41" s="1571"/>
      <c r="Y41" s="3356"/>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56"/>
      <c r="Q42" s="1609" t="str">
        <f t="shared" si="11"/>
        <v>单套建筑面积</v>
      </c>
      <c r="R42" s="1581" t="s">
        <v>8</v>
      </c>
      <c r="S42" s="1582">
        <f t="shared" si="12"/>
        <v>100</v>
      </c>
      <c r="T42" s="1581" t="s">
        <v>8</v>
      </c>
      <c r="U42" s="1582">
        <f t="shared" si="13"/>
        <v>100</v>
      </c>
      <c r="V42" s="1581" t="s">
        <v>8</v>
      </c>
      <c r="W42" s="1582">
        <f t="shared" si="14"/>
        <v>100</v>
      </c>
      <c r="X42" s="1583"/>
      <c r="Y42" s="3356"/>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56"/>
      <c r="Q43" s="1576" t="str">
        <f t="shared" si="11"/>
        <v>内部装修</v>
      </c>
      <c r="R43" s="1577" t="s">
        <v>8</v>
      </c>
      <c r="S43" s="1578">
        <f t="shared" si="12"/>
        <v>100</v>
      </c>
      <c r="T43" s="1577" t="s">
        <v>8</v>
      </c>
      <c r="U43" s="1578">
        <f t="shared" si="13"/>
        <v>100</v>
      </c>
      <c r="V43" s="1577" t="s">
        <v>8</v>
      </c>
      <c r="W43" s="1578">
        <f t="shared" si="14"/>
        <v>100</v>
      </c>
      <c r="X43" s="1571"/>
      <c r="Y43" s="3356"/>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56"/>
      <c r="Q44" s="1576" t="str">
        <f t="shared" si="11"/>
        <v>内部装修维护情况</v>
      </c>
      <c r="R44" s="1577" t="s">
        <v>8</v>
      </c>
      <c r="S44" s="1578">
        <f t="shared" si="12"/>
        <v>100</v>
      </c>
      <c r="T44" s="1577" t="s">
        <v>8</v>
      </c>
      <c r="U44" s="1578">
        <f t="shared" si="13"/>
        <v>100</v>
      </c>
      <c r="V44" s="1577" t="s">
        <v>8</v>
      </c>
      <c r="W44" s="1578">
        <f t="shared" si="14"/>
        <v>100</v>
      </c>
      <c r="X44" s="1571"/>
      <c r="Y44" s="3356"/>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56"/>
      <c r="Q45" s="1154">
        <f t="shared" si="11"/>
        <v>111</v>
      </c>
      <c r="R45" s="1572" t="s">
        <v>8</v>
      </c>
      <c r="S45" s="1573">
        <f t="shared" si="12"/>
        <v>100</v>
      </c>
      <c r="T45" s="1572" t="s">
        <v>8</v>
      </c>
      <c r="U45" s="1573">
        <f t="shared" si="13"/>
        <v>100</v>
      </c>
      <c r="V45" s="1572" t="s">
        <v>8</v>
      </c>
      <c r="W45" s="1573">
        <f t="shared" si="14"/>
        <v>100</v>
      </c>
      <c r="X45" s="1574"/>
      <c r="Y45" s="3356"/>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56"/>
      <c r="Q46" s="1576">
        <f t="shared" si="11"/>
        <v>111</v>
      </c>
      <c r="R46" s="1577" t="s">
        <v>8</v>
      </c>
      <c r="S46" s="1578">
        <f t="shared" si="12"/>
        <v>100</v>
      </c>
      <c r="T46" s="1577" t="s">
        <v>8</v>
      </c>
      <c r="U46" s="1578">
        <f t="shared" si="13"/>
        <v>100</v>
      </c>
      <c r="V46" s="1577" t="s">
        <v>8</v>
      </c>
      <c r="W46" s="1578">
        <f t="shared" si="14"/>
        <v>100</v>
      </c>
      <c r="X46" s="1571"/>
      <c r="Y46" s="3356"/>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357"/>
      <c r="Q47" s="1576">
        <f t="shared" si="11"/>
        <v>111</v>
      </c>
      <c r="R47" s="1577" t="s">
        <v>8</v>
      </c>
      <c r="S47" s="1578">
        <f t="shared" si="12"/>
        <v>100</v>
      </c>
      <c r="T47" s="1577" t="s">
        <v>8</v>
      </c>
      <c r="U47" s="1578">
        <f t="shared" si="13"/>
        <v>100</v>
      </c>
      <c r="V47" s="1577" t="s">
        <v>8</v>
      </c>
      <c r="W47" s="1578">
        <f t="shared" si="14"/>
        <v>100</v>
      </c>
      <c r="X47" s="1571"/>
      <c r="Y47" s="3357"/>
      <c r="Z47" s="1579">
        <f t="shared" si="15"/>
        <v>111</v>
      </c>
      <c r="AA47" s="1580">
        <f t="shared" si="3"/>
        <v>1</v>
      </c>
      <c r="AB47" s="1580">
        <f t="shared" si="4"/>
        <v>1</v>
      </c>
      <c r="AC47" s="1580">
        <f t="shared" si="5"/>
        <v>1</v>
      </c>
    </row>
    <row r="48" spans="1:29" ht="15">
      <c r="A48" s="610" t="s">
        <v>737</v>
      </c>
      <c r="B48" s="890"/>
      <c r="C48" s="2655" t="s">
        <v>1</v>
      </c>
      <c r="D48" s="2656"/>
      <c r="E48" s="2657"/>
      <c r="F48" s="2658"/>
      <c r="G48" s="2659"/>
      <c r="H48" s="2660"/>
      <c r="I48" s="2657"/>
      <c r="J48" s="2660"/>
      <c r="K48" s="1615"/>
      <c r="L48" s="2148"/>
      <c r="M48" s="2138"/>
      <c r="N48" s="2138"/>
      <c r="O48" s="2138"/>
      <c r="P48" s="3349" t="str">
        <f>A48</f>
        <v>成交单价（元/平方米）</v>
      </c>
      <c r="Q48" s="3351"/>
      <c r="R48" s="3352">
        <f>E48</f>
        <v>0</v>
      </c>
      <c r="S48" s="3352"/>
      <c r="T48" s="3352">
        <f>G48</f>
        <v>0</v>
      </c>
      <c r="U48" s="3352"/>
      <c r="V48" s="3352">
        <f>I48</f>
        <v>0</v>
      </c>
      <c r="W48" s="3352"/>
      <c r="X48" s="1563"/>
      <c r="Y48" s="1585"/>
      <c r="Z48" s="1563"/>
      <c r="AA48" s="1563"/>
      <c r="AB48" s="1563"/>
      <c r="AC48" s="1563"/>
    </row>
    <row r="49" spans="1:29" ht="15.75" thickBot="1">
      <c r="A49" s="618" t="s">
        <v>2768</v>
      </c>
      <c r="B49" s="891"/>
      <c r="C49" s="2661" t="e">
        <f>R50</f>
        <v>#DIV/0!</v>
      </c>
      <c r="D49" s="2662"/>
      <c r="E49" s="2663" t="e">
        <f>R49</f>
        <v>#DIV/0!</v>
      </c>
      <c r="F49" s="2663"/>
      <c r="G49" s="2661" t="e">
        <f>T49</f>
        <v>#DIV/0!</v>
      </c>
      <c r="H49" s="2662"/>
      <c r="I49" s="2663" t="e">
        <f>V49</f>
        <v>#DIV/0!</v>
      </c>
      <c r="J49" s="2662"/>
      <c r="K49" s="1616"/>
      <c r="L49" s="2148"/>
      <c r="M49" s="2138"/>
      <c r="N49" s="2138"/>
      <c r="O49" s="2138"/>
      <c r="P49" s="3349" t="str">
        <f>A49</f>
        <v>比较价格（元/平方米）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1563"/>
      <c r="Y49" s="1563"/>
      <c r="Z49" s="1563"/>
      <c r="AA49" s="1563"/>
      <c r="AB49" s="1563"/>
      <c r="AC49" s="1563"/>
    </row>
    <row r="50" spans="1:29" ht="15.75" thickBot="1">
      <c r="A50" s="624" t="s">
        <v>2942</v>
      </c>
      <c r="B50" s="625"/>
      <c r="C50" s="2664" t="e">
        <f>R50</f>
        <v>#DIV/0!</v>
      </c>
      <c r="D50" s="2664"/>
      <c r="E50" s="2664"/>
      <c r="F50" s="2664"/>
      <c r="G50" s="2664"/>
      <c r="H50" s="2664"/>
      <c r="I50" s="2664"/>
      <c r="J50" s="2664"/>
      <c r="K50" s="1617"/>
      <c r="L50" s="2148"/>
      <c r="M50" s="2138"/>
      <c r="N50" s="2138"/>
      <c r="O50" s="2138"/>
      <c r="P50" s="3460" t="str">
        <f>A50</f>
        <v>估价对象XX用房的比较价格（楼面单价，元/平方米）</v>
      </c>
      <c r="Q50" s="3349"/>
      <c r="R50" s="3350" t="e">
        <f>IF(F1="售价",ROUND(AVERAGE(R49:V49),0),ROUND(AVERAGE(R49:V49),1))</f>
        <v>#DIV/0!</v>
      </c>
      <c r="S50" s="3350"/>
      <c r="T50" s="3350"/>
      <c r="U50" s="3350"/>
      <c r="V50" s="3350"/>
      <c r="W50" s="3350"/>
      <c r="X50" s="1563"/>
      <c r="Y50" s="1563"/>
      <c r="Z50" s="1563"/>
      <c r="AA50" s="1563"/>
      <c r="AB50" s="1563"/>
      <c r="AC50" s="1563"/>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8" t="s">
        <v>575</v>
      </c>
      <c r="B58" s="1563"/>
      <c r="C58" s="1587"/>
      <c r="D58" s="1587"/>
      <c r="E58" s="1587"/>
      <c r="F58" s="1589"/>
      <c r="G58" s="1589"/>
      <c r="H58" s="1587"/>
      <c r="I58" s="1587"/>
      <c r="J58" s="1587"/>
      <c r="K58" s="1590"/>
      <c r="L58" s="1586"/>
      <c r="M58" s="1587"/>
      <c r="N58" s="1587"/>
      <c r="O58" s="1587"/>
      <c r="P58" s="2214"/>
      <c r="Q58" s="2162"/>
      <c r="R58" s="2149"/>
      <c r="S58" s="2149"/>
      <c r="T58" s="2149"/>
      <c r="U58" s="2149"/>
      <c r="V58" s="2149"/>
      <c r="W58" s="2149"/>
      <c r="X58" s="2149"/>
      <c r="Y58" s="2149"/>
      <c r="Z58" s="2149"/>
      <c r="AA58" s="2149"/>
      <c r="AB58" s="2149"/>
      <c r="AC58" s="2149"/>
    </row>
    <row r="59" spans="1:29" s="1350" customFormat="1" ht="15">
      <c r="A59" s="648" t="s">
        <v>530</v>
      </c>
      <c r="B59" s="649"/>
      <c r="C59" s="2834" t="str">
        <f>YEAR(C7)&amp;"-"&amp;MONTH(C7)</f>
        <v>2017-10</v>
      </c>
      <c r="D59" s="2836">
        <f>EDATE(C59,-1)</f>
        <v>42979</v>
      </c>
      <c r="E59" s="2836">
        <f t="shared" ref="E59:O59" si="16">EDATE(D59,-1)</f>
        <v>42948</v>
      </c>
      <c r="F59" s="2836">
        <f t="shared" si="16"/>
        <v>42917</v>
      </c>
      <c r="G59" s="2836">
        <f t="shared" si="16"/>
        <v>42887</v>
      </c>
      <c r="H59" s="2836">
        <f t="shared" si="16"/>
        <v>42856</v>
      </c>
      <c r="I59" s="2836">
        <f t="shared" si="16"/>
        <v>42826</v>
      </c>
      <c r="J59" s="2836">
        <f t="shared" si="16"/>
        <v>42795</v>
      </c>
      <c r="K59" s="2836">
        <f t="shared" si="16"/>
        <v>42767</v>
      </c>
      <c r="L59" s="2836">
        <f t="shared" si="16"/>
        <v>42736</v>
      </c>
      <c r="M59" s="2836">
        <f t="shared" si="16"/>
        <v>42705</v>
      </c>
      <c r="N59" s="2836">
        <f t="shared" si="16"/>
        <v>42675</v>
      </c>
      <c r="O59" s="2836">
        <f t="shared" si="16"/>
        <v>42644</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2564</v>
      </c>
      <c r="C83" s="2626" t="s">
        <v>2565</v>
      </c>
      <c r="D83" s="2626" t="s">
        <v>2566</v>
      </c>
      <c r="E83" s="2626" t="s">
        <v>2567</v>
      </c>
      <c r="F83" s="2626" t="s">
        <v>2568</v>
      </c>
      <c r="G83" s="2626" t="s">
        <v>2569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522</v>
      </c>
      <c r="B4" s="516"/>
      <c r="C4" s="3361" t="s">
        <v>523</v>
      </c>
      <c r="D4" s="3362"/>
      <c r="E4" s="3363" t="s">
        <v>524</v>
      </c>
      <c r="F4" s="3364"/>
      <c r="G4" s="3361" t="s">
        <v>525</v>
      </c>
      <c r="H4" s="3362"/>
      <c r="I4" s="3361" t="s">
        <v>526</v>
      </c>
      <c r="J4" s="3362"/>
      <c r="K4" s="517" t="s">
        <v>527</v>
      </c>
      <c r="L4" s="2137"/>
      <c r="M4" s="2138"/>
      <c r="N4" s="2138"/>
      <c r="O4" s="2138"/>
      <c r="P4" s="3365" t="s">
        <v>528</v>
      </c>
      <c r="Q4" s="3366"/>
      <c r="R4" s="3371" t="s">
        <v>524</v>
      </c>
      <c r="S4" s="3372"/>
      <c r="T4" s="3371" t="s">
        <v>525</v>
      </c>
      <c r="U4" s="3372"/>
      <c r="V4" s="3377" t="s">
        <v>526</v>
      </c>
      <c r="W4" s="3377"/>
      <c r="X4" s="1571"/>
      <c r="Y4" s="3371" t="s">
        <v>528</v>
      </c>
      <c r="Z4" s="3372"/>
      <c r="AA4" s="3358" t="s">
        <v>524</v>
      </c>
      <c r="AB4" s="3359" t="s">
        <v>525</v>
      </c>
      <c r="AC4" s="3358" t="s">
        <v>526</v>
      </c>
    </row>
    <row r="5" spans="1:29" ht="15">
      <c r="A5" s="518"/>
      <c r="B5" s="519"/>
      <c r="C5" s="3380" t="s">
        <v>2936</v>
      </c>
      <c r="D5" s="3381"/>
      <c r="E5" s="3388" t="s">
        <v>2937</v>
      </c>
      <c r="F5" s="3389"/>
      <c r="G5" s="3380" t="s">
        <v>2938</v>
      </c>
      <c r="H5" s="3381"/>
      <c r="I5" s="3380" t="s">
        <v>2939</v>
      </c>
      <c r="J5" s="3381"/>
      <c r="K5" s="517"/>
      <c r="L5" s="2137"/>
      <c r="M5" s="2138"/>
      <c r="N5" s="2138"/>
      <c r="O5" s="2138"/>
      <c r="P5" s="3367"/>
      <c r="Q5" s="3368"/>
      <c r="R5" s="3373"/>
      <c r="S5" s="3374"/>
      <c r="T5" s="3373"/>
      <c r="U5" s="3374"/>
      <c r="V5" s="3377"/>
      <c r="W5" s="3377"/>
      <c r="X5" s="1571"/>
      <c r="Y5" s="3373"/>
      <c r="Z5" s="3374"/>
      <c r="AA5" s="3359"/>
      <c r="AB5" s="3359"/>
      <c r="AC5" s="3359"/>
    </row>
    <row r="6" spans="1:29" ht="15.75" thickBot="1">
      <c r="A6" s="520"/>
      <c r="B6" s="521"/>
      <c r="C6" s="3378" t="s">
        <v>2940</v>
      </c>
      <c r="D6" s="3379"/>
      <c r="E6" s="3386" t="s">
        <v>2940</v>
      </c>
      <c r="F6" s="3387"/>
      <c r="G6" s="3378" t="s">
        <v>2940</v>
      </c>
      <c r="H6" s="3379"/>
      <c r="I6" s="3378" t="s">
        <v>2940</v>
      </c>
      <c r="J6" s="3379"/>
      <c r="K6" s="517" t="s">
        <v>529</v>
      </c>
      <c r="L6" s="2137"/>
      <c r="M6" s="2138"/>
      <c r="N6" s="2138"/>
      <c r="O6" s="2138"/>
      <c r="P6" s="3369"/>
      <c r="Q6" s="3370"/>
      <c r="R6" s="3373"/>
      <c r="S6" s="3374"/>
      <c r="T6" s="3375"/>
      <c r="U6" s="3376"/>
      <c r="V6" s="3377"/>
      <c r="W6" s="3377"/>
      <c r="X6" s="1571"/>
      <c r="Y6" s="3375"/>
      <c r="Z6" s="3376"/>
      <c r="AA6" s="3360"/>
      <c r="AB6" s="3360"/>
      <c r="AC6" s="3360"/>
    </row>
    <row r="7" spans="1:29" s="1223" customFormat="1" ht="15.75" thickBot="1">
      <c r="A7" s="2944"/>
      <c r="B7" s="2951" t="s">
        <v>530</v>
      </c>
      <c r="C7" s="522">
        <f>'数据-取费表'!B2</f>
        <v>43021</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82"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5"/>
      <c r="B8" s="2952"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82" t="s">
        <v>534</v>
      </c>
      <c r="Q8" s="3383"/>
      <c r="R8" s="1572" t="s">
        <v>8</v>
      </c>
      <c r="S8" s="1573">
        <f t="shared" si="0"/>
        <v>0</v>
      </c>
      <c r="T8" s="1572" t="s">
        <v>8</v>
      </c>
      <c r="U8" s="1573">
        <f t="shared" si="1"/>
        <v>0</v>
      </c>
      <c r="V8" s="1572" t="s">
        <v>8</v>
      </c>
      <c r="W8" s="1573">
        <f t="shared" si="2"/>
        <v>0</v>
      </c>
      <c r="X8" s="1574"/>
      <c r="Y8" s="3382" t="s">
        <v>534</v>
      </c>
      <c r="Z8" s="3383"/>
      <c r="AA8" s="1575" t="e">
        <f t="shared" ref="AA8:AA40" si="3">D8/F8</f>
        <v>#DIV/0!</v>
      </c>
      <c r="AB8" s="1575" t="e">
        <f t="shared" ref="AB8:AB40" si="4">D8/H8</f>
        <v>#DIV/0!</v>
      </c>
      <c r="AC8" s="1575" t="e">
        <f t="shared" ref="AC8:AC40" si="5">D8/J8</f>
        <v>#DIV/0!</v>
      </c>
    </row>
    <row r="9" spans="1:29" s="1223" customFormat="1" ht="15">
      <c r="A9" s="2946"/>
      <c r="B9" s="2953" t="s">
        <v>2764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7"/>
      <c r="B10" s="2952" t="s">
        <v>2765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8"/>
      <c r="B11" s="2952"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49"/>
      <c r="B13" s="2955">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0"/>
      <c r="B14" s="2956">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57">
      <c r="A15" s="2942" t="s">
        <v>2762</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53" t="s">
        <v>541</v>
      </c>
      <c r="Q15" s="1576" t="str">
        <f t="shared" si="6"/>
        <v>产业集聚程度</v>
      </c>
      <c r="R15" s="1577" t="s">
        <v>8</v>
      </c>
      <c r="S15" s="1578">
        <f t="shared" si="0"/>
        <v>100</v>
      </c>
      <c r="T15" s="1577" t="s">
        <v>8</v>
      </c>
      <c r="U15" s="1578">
        <f t="shared" si="1"/>
        <v>100</v>
      </c>
      <c r="V15" s="1577" t="s">
        <v>8</v>
      </c>
      <c r="W15" s="1578">
        <f t="shared" si="2"/>
        <v>100</v>
      </c>
      <c r="X15" s="1571"/>
      <c r="Y15" s="3353"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54"/>
      <c r="Q16" s="1576"/>
      <c r="R16" s="1577"/>
      <c r="S16" s="1578"/>
      <c r="T16" s="1577"/>
      <c r="U16" s="1578"/>
      <c r="V16" s="1577"/>
      <c r="W16" s="1578"/>
      <c r="X16" s="1571"/>
      <c r="Y16" s="3354"/>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54"/>
      <c r="Q17" s="1576" t="str">
        <f>B17</f>
        <v>交通便捷度</v>
      </c>
      <c r="R17" s="1577" t="s">
        <v>8</v>
      </c>
      <c r="S17" s="1578">
        <f>F17</f>
        <v>100</v>
      </c>
      <c r="T17" s="1577" t="s">
        <v>8</v>
      </c>
      <c r="U17" s="1578">
        <f>H17</f>
        <v>100</v>
      </c>
      <c r="V17" s="1577" t="s">
        <v>8</v>
      </c>
      <c r="W17" s="1578">
        <f>J17</f>
        <v>100</v>
      </c>
      <c r="X17" s="1571"/>
      <c r="Y17" s="3354"/>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54"/>
      <c r="Q18" s="1576"/>
      <c r="R18" s="1577"/>
      <c r="S18" s="1578"/>
      <c r="T18" s="1577"/>
      <c r="U18" s="1578"/>
      <c r="V18" s="1577"/>
      <c r="W18" s="1578"/>
      <c r="X18" s="1571"/>
      <c r="Y18" s="3354"/>
      <c r="Z18" s="1579"/>
      <c r="AA18" s="1580">
        <v>1</v>
      </c>
      <c r="AB18" s="1580">
        <v>1</v>
      </c>
      <c r="AC18" s="1580">
        <v>1</v>
      </c>
    </row>
    <row r="19" spans="1:29" ht="42.75">
      <c r="A19" s="535"/>
      <c r="B19" s="2631"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54"/>
      <c r="Q19" s="1576" t="str">
        <f>B19</f>
        <v>公共配套设施</v>
      </c>
      <c r="R19" s="1577" t="s">
        <v>8</v>
      </c>
      <c r="S19" s="1578">
        <f>F19</f>
        <v>100</v>
      </c>
      <c r="T19" s="1577" t="s">
        <v>8</v>
      </c>
      <c r="U19" s="1578">
        <f>H19</f>
        <v>100</v>
      </c>
      <c r="V19" s="1577" t="s">
        <v>8</v>
      </c>
      <c r="W19" s="1578">
        <f>J19</f>
        <v>100</v>
      </c>
      <c r="X19" s="1571"/>
      <c r="Y19" s="3354"/>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6"/>
      <c r="M20" s="2138"/>
      <c r="N20" s="2138"/>
      <c r="O20" s="2145"/>
      <c r="P20" s="3354"/>
      <c r="Q20" s="1576"/>
      <c r="R20" s="1577"/>
      <c r="S20" s="1578"/>
      <c r="T20" s="1577"/>
      <c r="U20" s="1578"/>
      <c r="V20" s="1577"/>
      <c r="W20" s="1578"/>
      <c r="X20" s="1571"/>
      <c r="Y20" s="3354"/>
      <c r="Z20" s="1579"/>
      <c r="AA20" s="1580">
        <v>1</v>
      </c>
      <c r="AB20" s="1580">
        <v>1</v>
      </c>
      <c r="AC20" s="1580">
        <v>1</v>
      </c>
    </row>
    <row r="21" spans="1:29" ht="28.5">
      <c r="A21" s="535"/>
      <c r="B21" s="2619"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54"/>
      <c r="Q21" s="2607" t="str">
        <f>B21</f>
        <v>基础设施水平</v>
      </c>
      <c r="R21" s="1577" t="s">
        <v>8</v>
      </c>
      <c r="S21" s="1578">
        <f>F21</f>
        <v>100</v>
      </c>
      <c r="T21" s="1577" t="s">
        <v>8</v>
      </c>
      <c r="U21" s="1578">
        <f>H21</f>
        <v>100</v>
      </c>
      <c r="V21" s="1577" t="s">
        <v>8</v>
      </c>
      <c r="W21" s="1578">
        <f>J21</f>
        <v>100</v>
      </c>
      <c r="X21" s="2609"/>
      <c r="Y21" s="3354"/>
      <c r="Z21" s="2608"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0"/>
      <c r="L22" s="2146"/>
      <c r="M22" s="2138"/>
      <c r="N22" s="2138"/>
      <c r="O22" s="2145"/>
      <c r="P22" s="3354"/>
      <c r="Q22" s="2607"/>
      <c r="R22" s="1577"/>
      <c r="S22" s="1578"/>
      <c r="T22" s="1577"/>
      <c r="U22" s="1578"/>
      <c r="V22" s="1577"/>
      <c r="W22" s="1578"/>
      <c r="X22" s="2609"/>
      <c r="Y22" s="3354"/>
      <c r="Z22" s="2608"/>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54"/>
      <c r="Q23" s="1576" t="str">
        <f>B23</f>
        <v>环境质量</v>
      </c>
      <c r="R23" s="1577" t="s">
        <v>8</v>
      </c>
      <c r="S23" s="1578">
        <f>F23</f>
        <v>100</v>
      </c>
      <c r="T23" s="1577" t="s">
        <v>8</v>
      </c>
      <c r="U23" s="1578">
        <f>H23</f>
        <v>100</v>
      </c>
      <c r="V23" s="1577" t="s">
        <v>8</v>
      </c>
      <c r="W23" s="1578">
        <f>J23</f>
        <v>100</v>
      </c>
      <c r="X23" s="1571"/>
      <c r="Y23" s="3354"/>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6"/>
      <c r="M24" s="2138"/>
      <c r="N24" s="2138"/>
      <c r="O24" s="2145"/>
      <c r="P24" s="3354"/>
      <c r="Q24" s="1576"/>
      <c r="R24" s="1577"/>
      <c r="S24" s="1578"/>
      <c r="T24" s="1577"/>
      <c r="U24" s="1578"/>
      <c r="V24" s="1577"/>
      <c r="W24" s="1578"/>
      <c r="X24" s="1571"/>
      <c r="Y24" s="3354"/>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54"/>
      <c r="Q25" s="1576">
        <f>B25</f>
        <v>111</v>
      </c>
      <c r="R25" s="1577" t="s">
        <v>8</v>
      </c>
      <c r="S25" s="1578">
        <f>F25</f>
        <v>100</v>
      </c>
      <c r="T25" s="1577" t="s">
        <v>8</v>
      </c>
      <c r="U25" s="1578">
        <f>H25</f>
        <v>100</v>
      </c>
      <c r="V25" s="1577" t="s">
        <v>8</v>
      </c>
      <c r="W25" s="1578">
        <f>J25</f>
        <v>100</v>
      </c>
      <c r="X25" s="1571"/>
      <c r="Y25" s="3354"/>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54"/>
      <c r="Q26" s="1576">
        <f t="shared" ref="Q26:Q40" si="11">B26</f>
        <v>111</v>
      </c>
      <c r="R26" s="1577" t="s">
        <v>8</v>
      </c>
      <c r="S26" s="1578">
        <f>F26</f>
        <v>100</v>
      </c>
      <c r="T26" s="1577" t="s">
        <v>8</v>
      </c>
      <c r="U26" s="1578">
        <f>H26</f>
        <v>100</v>
      </c>
      <c r="V26" s="1577" t="s">
        <v>8</v>
      </c>
      <c r="W26" s="1578">
        <f>J26</f>
        <v>100</v>
      </c>
      <c r="X26" s="1571"/>
      <c r="Y26" s="3354"/>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54"/>
      <c r="Q27" s="1154">
        <f t="shared" si="11"/>
        <v>111</v>
      </c>
      <c r="R27" s="1572" t="s">
        <v>8</v>
      </c>
      <c r="S27" s="1573">
        <f>F27</f>
        <v>100</v>
      </c>
      <c r="T27" s="1572" t="s">
        <v>8</v>
      </c>
      <c r="U27" s="1573">
        <f>H27</f>
        <v>100</v>
      </c>
      <c r="V27" s="1572" t="s">
        <v>8</v>
      </c>
      <c r="W27" s="1573">
        <f>J27</f>
        <v>100</v>
      </c>
      <c r="X27" s="1574"/>
      <c r="Y27" s="3354"/>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54"/>
      <c r="Q28" s="1576">
        <f t="shared" si="11"/>
        <v>111</v>
      </c>
      <c r="R28" s="1577" t="s">
        <v>8</v>
      </c>
      <c r="S28" s="1578">
        <f t="shared" ref="S28:S40" si="12">F28</f>
        <v>100</v>
      </c>
      <c r="T28" s="1577" t="s">
        <v>8</v>
      </c>
      <c r="U28" s="1578">
        <f t="shared" ref="U28:U40" si="13">H28</f>
        <v>100</v>
      </c>
      <c r="V28" s="1577" t="s">
        <v>8</v>
      </c>
      <c r="W28" s="1578">
        <f t="shared" ref="W28:W40" si="14">J28</f>
        <v>100</v>
      </c>
      <c r="X28" s="1571"/>
      <c r="Y28" s="3354"/>
      <c r="Z28" s="1579">
        <f t="shared" ref="Z28:Z40" si="15">Q28</f>
        <v>111</v>
      </c>
      <c r="AA28" s="1580">
        <f t="shared" si="3"/>
        <v>1</v>
      </c>
      <c r="AB28" s="1580">
        <f t="shared" si="4"/>
        <v>1</v>
      </c>
      <c r="AC28" s="1580">
        <f t="shared" si="5"/>
        <v>1</v>
      </c>
    </row>
    <row r="29" spans="1:29" ht="15">
      <c r="A29" s="2939" t="s">
        <v>2763</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55" t="s">
        <v>551</v>
      </c>
      <c r="Q29" s="1576" t="str">
        <f t="shared" si="11"/>
        <v>建筑类型</v>
      </c>
      <c r="R29" s="1577" t="s">
        <v>8</v>
      </c>
      <c r="S29" s="1578">
        <f t="shared" si="12"/>
        <v>100</v>
      </c>
      <c r="T29" s="1577" t="s">
        <v>8</v>
      </c>
      <c r="U29" s="1578">
        <f t="shared" si="13"/>
        <v>100</v>
      </c>
      <c r="V29" s="1577" t="s">
        <v>8</v>
      </c>
      <c r="W29" s="1578">
        <f t="shared" si="14"/>
        <v>100</v>
      </c>
      <c r="X29" s="1571"/>
      <c r="Y29" s="3356"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56"/>
      <c r="Q30" s="1609" t="str">
        <f t="shared" si="11"/>
        <v>项目建筑规模</v>
      </c>
      <c r="R30" s="1581" t="s">
        <v>8</v>
      </c>
      <c r="S30" s="1582" t="e">
        <f t="shared" si="12"/>
        <v>#N/A</v>
      </c>
      <c r="T30" s="1581" t="s">
        <v>8</v>
      </c>
      <c r="U30" s="1582" t="e">
        <f t="shared" si="13"/>
        <v>#N/A</v>
      </c>
      <c r="V30" s="1581" t="s">
        <v>8</v>
      </c>
      <c r="W30" s="1582" t="e">
        <f t="shared" si="14"/>
        <v>#N/A</v>
      </c>
      <c r="X30" s="1583"/>
      <c r="Y30" s="3356"/>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56"/>
      <c r="Q31" s="1576" t="str">
        <f t="shared" si="11"/>
        <v>建筑结构</v>
      </c>
      <c r="R31" s="1577" t="s">
        <v>8</v>
      </c>
      <c r="S31" s="1578">
        <f t="shared" si="12"/>
        <v>100</v>
      </c>
      <c r="T31" s="1577" t="s">
        <v>8</v>
      </c>
      <c r="U31" s="1578">
        <f t="shared" si="13"/>
        <v>100</v>
      </c>
      <c r="V31" s="1577" t="s">
        <v>8</v>
      </c>
      <c r="W31" s="1578">
        <f t="shared" si="14"/>
        <v>100</v>
      </c>
      <c r="X31" s="1571"/>
      <c r="Y31" s="3356"/>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56"/>
      <c r="Q32" s="1576" t="str">
        <f t="shared" si="11"/>
        <v>公共部分装修</v>
      </c>
      <c r="R32" s="1577" t="s">
        <v>8</v>
      </c>
      <c r="S32" s="1578">
        <f t="shared" si="12"/>
        <v>100</v>
      </c>
      <c r="T32" s="1577" t="s">
        <v>8</v>
      </c>
      <c r="U32" s="1578">
        <f t="shared" si="13"/>
        <v>100</v>
      </c>
      <c r="V32" s="1577" t="s">
        <v>8</v>
      </c>
      <c r="W32" s="1578">
        <f t="shared" si="14"/>
        <v>100</v>
      </c>
      <c r="X32" s="1571"/>
      <c r="Y32" s="3356"/>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56"/>
      <c r="Q33" s="1576" t="str">
        <f t="shared" si="11"/>
        <v>成新度</v>
      </c>
      <c r="R33" s="1577" t="s">
        <v>8</v>
      </c>
      <c r="S33" s="1578" t="e">
        <f t="shared" si="12"/>
        <v>#N/A</v>
      </c>
      <c r="T33" s="1577" t="s">
        <v>8</v>
      </c>
      <c r="U33" s="1578" t="e">
        <f t="shared" si="13"/>
        <v>#N/A</v>
      </c>
      <c r="V33" s="1577" t="s">
        <v>8</v>
      </c>
      <c r="W33" s="1578" t="e">
        <f t="shared" si="14"/>
        <v>#N/A</v>
      </c>
      <c r="X33" s="1571"/>
      <c r="Y33" s="3356"/>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56"/>
      <c r="Q34" s="1154" t="str">
        <f t="shared" si="11"/>
        <v>物业管理</v>
      </c>
      <c r="R34" s="1572" t="s">
        <v>8</v>
      </c>
      <c r="S34" s="1573">
        <f t="shared" si="12"/>
        <v>100</v>
      </c>
      <c r="T34" s="1572" t="s">
        <v>8</v>
      </c>
      <c r="U34" s="1573">
        <f t="shared" si="13"/>
        <v>100</v>
      </c>
      <c r="V34" s="1572" t="s">
        <v>8</v>
      </c>
      <c r="W34" s="1573">
        <f t="shared" si="14"/>
        <v>100</v>
      </c>
      <c r="X34" s="1574"/>
      <c r="Y34" s="3356"/>
      <c r="Z34" s="1153" t="str">
        <f t="shared" si="15"/>
        <v>物业管理</v>
      </c>
      <c r="AA34" s="1575">
        <f t="shared" si="3"/>
        <v>1</v>
      </c>
      <c r="AB34" s="1575">
        <f t="shared" si="4"/>
        <v>1</v>
      </c>
      <c r="AC34" s="1575">
        <f t="shared" si="5"/>
        <v>1</v>
      </c>
    </row>
    <row r="35" spans="1:29" ht="15">
      <c r="A35" s="597"/>
      <c r="B35" s="1899"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56" t="s">
        <v>551</v>
      </c>
      <c r="Q35" s="1576" t="str">
        <f t="shared" si="11"/>
        <v>市政基础设施</v>
      </c>
      <c r="R35" s="1577" t="s">
        <v>8</v>
      </c>
      <c r="S35" s="1578">
        <f t="shared" si="12"/>
        <v>100</v>
      </c>
      <c r="T35" s="1577" t="s">
        <v>8</v>
      </c>
      <c r="U35" s="1578">
        <f t="shared" si="13"/>
        <v>100</v>
      </c>
      <c r="V35" s="1577" t="s">
        <v>8</v>
      </c>
      <c r="W35" s="1578">
        <f t="shared" si="14"/>
        <v>100</v>
      </c>
      <c r="X35" s="1571"/>
      <c r="Y35" s="3356"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56"/>
      <c r="Q36" s="1576" t="str">
        <f t="shared" si="11"/>
        <v>内部装修</v>
      </c>
      <c r="R36" s="1577" t="s">
        <v>8</v>
      </c>
      <c r="S36" s="1578">
        <f t="shared" si="12"/>
        <v>100</v>
      </c>
      <c r="T36" s="1577" t="s">
        <v>8</v>
      </c>
      <c r="U36" s="1578">
        <f t="shared" si="13"/>
        <v>100</v>
      </c>
      <c r="V36" s="1577" t="s">
        <v>8</v>
      </c>
      <c r="W36" s="1578">
        <f t="shared" si="14"/>
        <v>100</v>
      </c>
      <c r="X36" s="1571"/>
      <c r="Y36" s="3356"/>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56"/>
      <c r="Q37" s="1576" t="str">
        <f t="shared" si="11"/>
        <v>内部装修状况</v>
      </c>
      <c r="R37" s="1577" t="s">
        <v>8</v>
      </c>
      <c r="S37" s="1578">
        <f t="shared" si="12"/>
        <v>100</v>
      </c>
      <c r="T37" s="1577" t="s">
        <v>8</v>
      </c>
      <c r="U37" s="1578">
        <f t="shared" si="13"/>
        <v>100</v>
      </c>
      <c r="V37" s="1577" t="s">
        <v>8</v>
      </c>
      <c r="W37" s="1578">
        <f t="shared" si="14"/>
        <v>100</v>
      </c>
      <c r="X37" s="1571"/>
      <c r="Y37" s="3356"/>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56"/>
      <c r="Q38" s="1609">
        <f t="shared" si="11"/>
        <v>111</v>
      </c>
      <c r="R38" s="1581" t="s">
        <v>8</v>
      </c>
      <c r="S38" s="1582">
        <f t="shared" si="12"/>
        <v>100</v>
      </c>
      <c r="T38" s="1581" t="s">
        <v>8</v>
      </c>
      <c r="U38" s="1582">
        <f t="shared" si="13"/>
        <v>100</v>
      </c>
      <c r="V38" s="1581" t="s">
        <v>8</v>
      </c>
      <c r="W38" s="1582">
        <f t="shared" si="14"/>
        <v>100</v>
      </c>
      <c r="X38" s="1583"/>
      <c r="Y38" s="3356"/>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56"/>
      <c r="Q39" s="1576">
        <f t="shared" si="11"/>
        <v>111</v>
      </c>
      <c r="R39" s="1577" t="s">
        <v>8</v>
      </c>
      <c r="S39" s="1578">
        <f t="shared" si="12"/>
        <v>100</v>
      </c>
      <c r="T39" s="1577" t="s">
        <v>8</v>
      </c>
      <c r="U39" s="1578">
        <f t="shared" si="13"/>
        <v>100</v>
      </c>
      <c r="V39" s="1577" t="s">
        <v>8</v>
      </c>
      <c r="W39" s="1578">
        <f t="shared" si="14"/>
        <v>100</v>
      </c>
      <c r="X39" s="1571"/>
      <c r="Y39" s="3356"/>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357"/>
      <c r="Q40" s="1576">
        <f t="shared" si="11"/>
        <v>111</v>
      </c>
      <c r="R40" s="1577" t="s">
        <v>8</v>
      </c>
      <c r="S40" s="1578">
        <f t="shared" si="12"/>
        <v>100</v>
      </c>
      <c r="T40" s="1577" t="s">
        <v>8</v>
      </c>
      <c r="U40" s="1578">
        <f t="shared" si="13"/>
        <v>100</v>
      </c>
      <c r="V40" s="1577" t="s">
        <v>8</v>
      </c>
      <c r="W40" s="1578">
        <f t="shared" si="14"/>
        <v>100</v>
      </c>
      <c r="X40" s="1571"/>
      <c r="Y40" s="3357"/>
      <c r="Z40" s="1579">
        <f t="shared" si="15"/>
        <v>111</v>
      </c>
      <c r="AA40" s="1580">
        <f t="shared" si="3"/>
        <v>1</v>
      </c>
      <c r="AB40" s="1580">
        <f t="shared" si="4"/>
        <v>1</v>
      </c>
      <c r="AC40" s="1580">
        <f t="shared" si="5"/>
        <v>1</v>
      </c>
    </row>
    <row r="41" spans="1:29" ht="15">
      <c r="A41" s="610" t="s">
        <v>737</v>
      </c>
      <c r="B41" s="890"/>
      <c r="C41" s="2655" t="s">
        <v>1</v>
      </c>
      <c r="D41" s="2656"/>
      <c r="E41" s="2657"/>
      <c r="F41" s="2658"/>
      <c r="G41" s="2659"/>
      <c r="H41" s="2660"/>
      <c r="I41" s="2657"/>
      <c r="J41" s="2660"/>
      <c r="K41" s="1615"/>
      <c r="L41" s="2148"/>
      <c r="M41" s="2149"/>
      <c r="N41" s="2138"/>
      <c r="O41" s="2149"/>
      <c r="P41" s="3351" t="str">
        <f>A41</f>
        <v>成交单价（元/平方米）</v>
      </c>
      <c r="Q41" s="3351"/>
      <c r="R41" s="3352">
        <f>E41</f>
        <v>0</v>
      </c>
      <c r="S41" s="3352"/>
      <c r="T41" s="3352">
        <f>G41</f>
        <v>0</v>
      </c>
      <c r="U41" s="3352"/>
      <c r="V41" s="3352">
        <f>I41</f>
        <v>0</v>
      </c>
      <c r="W41" s="3352"/>
      <c r="X41" s="1563"/>
      <c r="Y41" s="1585"/>
      <c r="Z41" s="1563"/>
      <c r="AA41" s="1563"/>
      <c r="AB41" s="1563"/>
      <c r="AC41" s="1563"/>
    </row>
    <row r="42" spans="1:29" ht="15.75" thickBot="1">
      <c r="A42" s="618" t="s">
        <v>2768</v>
      </c>
      <c r="B42" s="891"/>
      <c r="C42" s="2661" t="e">
        <f>R43</f>
        <v>#DIV/0!</v>
      </c>
      <c r="D42" s="2662"/>
      <c r="E42" s="2663" t="e">
        <f>R42</f>
        <v>#DIV/0!</v>
      </c>
      <c r="F42" s="2663"/>
      <c r="G42" s="2661" t="e">
        <f>T42</f>
        <v>#DIV/0!</v>
      </c>
      <c r="H42" s="2662"/>
      <c r="I42" s="2663" t="e">
        <f>V42</f>
        <v>#DIV/0!</v>
      </c>
      <c r="J42" s="2662"/>
      <c r="K42" s="1616"/>
      <c r="L42" s="2148"/>
      <c r="M42" s="2149"/>
      <c r="N42" s="2138"/>
      <c r="O42" s="2149"/>
      <c r="P42" s="3351" t="str">
        <f>A42</f>
        <v>比较价格（元/平方米）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1563"/>
      <c r="Y42" s="1563"/>
      <c r="Z42" s="1563"/>
      <c r="AA42" s="1563"/>
      <c r="AB42" s="1563"/>
      <c r="AC42" s="1563"/>
    </row>
    <row r="43" spans="1:29" ht="15.75" thickBot="1">
      <c r="A43" s="624" t="s">
        <v>2942</v>
      </c>
      <c r="B43" s="625"/>
      <c r="C43" s="2664" t="e">
        <f>R43</f>
        <v>#DIV/0!</v>
      </c>
      <c r="D43" s="2664"/>
      <c r="E43" s="2664"/>
      <c r="F43" s="2664"/>
      <c r="G43" s="2664"/>
      <c r="H43" s="2664"/>
      <c r="I43" s="2664"/>
      <c r="J43" s="2664"/>
      <c r="K43" s="1617"/>
      <c r="L43" s="2148"/>
      <c r="M43" s="2149"/>
      <c r="N43" s="2149"/>
      <c r="O43" s="2149"/>
      <c r="P43" s="3348" t="str">
        <f>A43</f>
        <v>估价对象XX用房的比较价格（楼面单价，元/平方米）</v>
      </c>
      <c r="Q43" s="3349"/>
      <c r="R43" s="3350" t="e">
        <f>IF(F1="售价",ROUND(AVERAGE(R42:V42),0),ROUND(AVERAGE(R42:V42),1))</f>
        <v>#DIV/0!</v>
      </c>
      <c r="S43" s="3350"/>
      <c r="T43" s="3350"/>
      <c r="U43" s="3350"/>
      <c r="V43" s="3350"/>
      <c r="W43" s="3350"/>
      <c r="X43" s="1563"/>
      <c r="Y43" s="1563"/>
      <c r="Z43" s="1563"/>
      <c r="AA43" s="1563"/>
      <c r="AB43" s="1563"/>
      <c r="AC43" s="1563"/>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8" t="s">
        <v>575</v>
      </c>
      <c r="B51" s="1563"/>
      <c r="C51" s="1587"/>
      <c r="D51" s="1587"/>
      <c r="E51" s="1587"/>
      <c r="F51" s="1589"/>
      <c r="G51" s="1589"/>
      <c r="H51" s="1587"/>
      <c r="I51" s="1587"/>
      <c r="J51" s="1587"/>
      <c r="K51" s="1590"/>
      <c r="L51" s="1586"/>
      <c r="M51" s="1587"/>
      <c r="N51" s="1587"/>
      <c r="O51" s="1587"/>
      <c r="P51" s="2161"/>
      <c r="Q51" s="2162"/>
      <c r="R51" s="2149"/>
      <c r="S51" s="2149"/>
      <c r="T51" s="2149"/>
      <c r="U51" s="2149"/>
      <c r="V51" s="2149"/>
      <c r="W51" s="2149"/>
      <c r="X51" s="2149"/>
      <c r="Y51" s="2149"/>
      <c r="Z51" s="2149"/>
      <c r="AA51" s="2149"/>
      <c r="AB51" s="2149"/>
      <c r="AC51" s="2149"/>
    </row>
    <row r="52" spans="1:29" s="1350" customFormat="1" ht="15">
      <c r="A52" s="648" t="s">
        <v>530</v>
      </c>
      <c r="B52" s="649"/>
      <c r="C52" s="2834" t="str">
        <f>YEAR(C7)&amp;"-"&amp;MONTH(C7)</f>
        <v>2017-10</v>
      </c>
      <c r="D52" s="2836">
        <f>EDATE(C52,-1)</f>
        <v>42979</v>
      </c>
      <c r="E52" s="2836">
        <f t="shared" ref="E52:O52" si="16">EDATE(D52,-1)</f>
        <v>42948</v>
      </c>
      <c r="F52" s="2836">
        <f t="shared" si="16"/>
        <v>42917</v>
      </c>
      <c r="G52" s="2836">
        <f t="shared" si="16"/>
        <v>42887</v>
      </c>
      <c r="H52" s="2836">
        <f t="shared" si="16"/>
        <v>42856</v>
      </c>
      <c r="I52" s="2836">
        <f t="shared" si="16"/>
        <v>42826</v>
      </c>
      <c r="J52" s="2836">
        <f t="shared" si="16"/>
        <v>42795</v>
      </c>
      <c r="K52" s="2836">
        <f t="shared" si="16"/>
        <v>42767</v>
      </c>
      <c r="L52" s="2836">
        <f t="shared" si="16"/>
        <v>42736</v>
      </c>
      <c r="M52" s="2836">
        <f t="shared" si="16"/>
        <v>42705</v>
      </c>
      <c r="N52" s="2836">
        <f t="shared" si="16"/>
        <v>42675</v>
      </c>
      <c r="O52" s="2836">
        <f t="shared" si="16"/>
        <v>42644</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2564</v>
      </c>
      <c r="C76" s="2626" t="s">
        <v>2565</v>
      </c>
      <c r="D76" s="2626" t="s">
        <v>2566</v>
      </c>
      <c r="E76" s="2626" t="s">
        <v>2567</v>
      </c>
      <c r="F76" s="2626" t="s">
        <v>2568</v>
      </c>
      <c r="G76" s="2626" t="s">
        <v>2569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61" t="s">
        <v>799</v>
      </c>
      <c r="D4" s="3362"/>
      <c r="E4" s="3361" t="s">
        <v>800</v>
      </c>
      <c r="F4" s="3362"/>
      <c r="G4" s="3361" t="s">
        <v>801</v>
      </c>
      <c r="H4" s="3362"/>
      <c r="I4" s="3361" t="s">
        <v>802</v>
      </c>
      <c r="J4" s="3362"/>
      <c r="K4" s="517" t="s">
        <v>803</v>
      </c>
      <c r="L4" s="2137"/>
      <c r="M4" s="2138"/>
      <c r="N4" s="2138"/>
      <c r="O4" s="2138"/>
      <c r="P4" s="3365" t="s">
        <v>804</v>
      </c>
      <c r="Q4" s="3366"/>
      <c r="R4" s="3371" t="s">
        <v>800</v>
      </c>
      <c r="S4" s="3372"/>
      <c r="T4" s="3371" t="s">
        <v>801</v>
      </c>
      <c r="U4" s="3372"/>
      <c r="V4" s="3377" t="s">
        <v>802</v>
      </c>
      <c r="W4" s="3377"/>
      <c r="X4" s="1571"/>
      <c r="Y4" s="3371" t="s">
        <v>804</v>
      </c>
      <c r="Z4" s="3372"/>
      <c r="AA4" s="3358" t="s">
        <v>800</v>
      </c>
      <c r="AB4" s="3359" t="s">
        <v>801</v>
      </c>
      <c r="AC4" s="3358" t="s">
        <v>802</v>
      </c>
    </row>
    <row r="5" spans="1:29" ht="15">
      <c r="A5" s="518"/>
      <c r="B5" s="519"/>
      <c r="C5" s="3380" t="s">
        <v>2936</v>
      </c>
      <c r="D5" s="3381"/>
      <c r="E5" s="3380" t="s">
        <v>2937</v>
      </c>
      <c r="F5" s="3381"/>
      <c r="G5" s="3380" t="s">
        <v>2938</v>
      </c>
      <c r="H5" s="3381"/>
      <c r="I5" s="3380" t="s">
        <v>2939</v>
      </c>
      <c r="J5" s="3381"/>
      <c r="K5" s="517"/>
      <c r="L5" s="2137"/>
      <c r="M5" s="2138"/>
      <c r="N5" s="2138"/>
      <c r="O5" s="2138"/>
      <c r="P5" s="3367"/>
      <c r="Q5" s="3368"/>
      <c r="R5" s="3373"/>
      <c r="S5" s="3374"/>
      <c r="T5" s="3373"/>
      <c r="U5" s="3374"/>
      <c r="V5" s="3377"/>
      <c r="W5" s="3377"/>
      <c r="X5" s="1571"/>
      <c r="Y5" s="3373"/>
      <c r="Z5" s="3374"/>
      <c r="AA5" s="3359"/>
      <c r="AB5" s="3359"/>
      <c r="AC5" s="3359"/>
    </row>
    <row r="6" spans="1:29" ht="15.75" thickBot="1">
      <c r="A6" s="520"/>
      <c r="B6" s="521"/>
      <c r="C6" s="3378" t="s">
        <v>2940</v>
      </c>
      <c r="D6" s="3379"/>
      <c r="E6" s="3464" t="s">
        <v>2940</v>
      </c>
      <c r="F6" s="3465"/>
      <c r="G6" s="3378" t="s">
        <v>2940</v>
      </c>
      <c r="H6" s="3379"/>
      <c r="I6" s="3378" t="s">
        <v>2940</v>
      </c>
      <c r="J6" s="3379"/>
      <c r="K6" s="517" t="s">
        <v>529</v>
      </c>
      <c r="L6" s="2137"/>
      <c r="M6" s="2138"/>
      <c r="N6" s="2138"/>
      <c r="O6" s="2138"/>
      <c r="P6" s="3369"/>
      <c r="Q6" s="3370"/>
      <c r="R6" s="3373"/>
      <c r="S6" s="3374"/>
      <c r="T6" s="3375"/>
      <c r="U6" s="3376"/>
      <c r="V6" s="3377"/>
      <c r="W6" s="3377"/>
      <c r="X6" s="1571"/>
      <c r="Y6" s="3375"/>
      <c r="Z6" s="3376"/>
      <c r="AA6" s="3360"/>
      <c r="AB6" s="3360"/>
      <c r="AC6" s="3360"/>
    </row>
    <row r="7" spans="1:29" s="1223" customFormat="1" ht="15.75" thickBot="1">
      <c r="A7" s="2944"/>
      <c r="B7" s="2951" t="s">
        <v>530</v>
      </c>
      <c r="C7" s="522">
        <f>'数据-取费表'!B2</f>
        <v>43021</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82" t="s">
        <v>531</v>
      </c>
      <c r="Q7" s="3384"/>
      <c r="R7" s="1572" t="s">
        <v>8</v>
      </c>
      <c r="S7" s="1573">
        <f t="shared" ref="S7:S14" si="0">F7</f>
        <v>0</v>
      </c>
      <c r="T7" s="1572" t="s">
        <v>8</v>
      </c>
      <c r="U7" s="1573">
        <f t="shared" ref="U7:U14" si="1">H7</f>
        <v>0</v>
      </c>
      <c r="V7" s="1572" t="s">
        <v>8</v>
      </c>
      <c r="W7" s="1573">
        <f t="shared" ref="W7:W14" si="2">J7</f>
        <v>0</v>
      </c>
      <c r="X7" s="1574"/>
      <c r="Y7" s="3382" t="s">
        <v>531</v>
      </c>
      <c r="Z7" s="3383"/>
      <c r="AA7" s="1575" t="e">
        <f>D7/F7</f>
        <v>#DIV/0!</v>
      </c>
      <c r="AB7" s="1575" t="e">
        <f>D7/H7</f>
        <v>#DIV/0!</v>
      </c>
      <c r="AC7" s="1575" t="e">
        <f>D7/J7</f>
        <v>#DIV/0!</v>
      </c>
    </row>
    <row r="8" spans="1:29" s="1223" customFormat="1" ht="15.75" thickBot="1">
      <c r="A8" s="2945"/>
      <c r="B8" s="2952"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82" t="s">
        <v>534</v>
      </c>
      <c r="Q8" s="3383"/>
      <c r="R8" s="1572" t="s">
        <v>8</v>
      </c>
      <c r="S8" s="1573">
        <f t="shared" si="0"/>
        <v>0</v>
      </c>
      <c r="T8" s="1572" t="s">
        <v>8</v>
      </c>
      <c r="U8" s="1573">
        <f t="shared" si="1"/>
        <v>0</v>
      </c>
      <c r="V8" s="1572" t="s">
        <v>8</v>
      </c>
      <c r="W8" s="1573">
        <f t="shared" si="2"/>
        <v>0</v>
      </c>
      <c r="X8" s="1574"/>
      <c r="Y8" s="3382" t="s">
        <v>534</v>
      </c>
      <c r="Z8" s="3383"/>
      <c r="AA8" s="1575" t="e">
        <f t="shared" ref="AA8:AA36" si="3">D8/F8</f>
        <v>#DIV/0!</v>
      </c>
      <c r="AB8" s="1575" t="e">
        <f t="shared" ref="AB8:AB36" si="4">D8/H8</f>
        <v>#DIV/0!</v>
      </c>
      <c r="AC8" s="1575" t="e">
        <f t="shared" ref="AC8:AC36" si="5">D8/J8</f>
        <v>#DIV/0!</v>
      </c>
    </row>
    <row r="9" spans="1:29" s="1223" customFormat="1" ht="15">
      <c r="A9" s="2946"/>
      <c r="B9" s="2953" t="s">
        <v>2764</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51" t="s">
        <v>536</v>
      </c>
      <c r="Q9" s="1154" t="str">
        <f t="shared" ref="Q9:Q14" si="6">B9</f>
        <v>用途</v>
      </c>
      <c r="R9" s="1572" t="s">
        <v>8</v>
      </c>
      <c r="S9" s="1573">
        <f t="shared" si="0"/>
        <v>100</v>
      </c>
      <c r="T9" s="1572" t="s">
        <v>8</v>
      </c>
      <c r="U9" s="1573">
        <f t="shared" si="1"/>
        <v>100</v>
      </c>
      <c r="V9" s="1572" t="s">
        <v>8</v>
      </c>
      <c r="W9" s="1573">
        <f t="shared" si="2"/>
        <v>100</v>
      </c>
      <c r="X9" s="1574"/>
      <c r="Y9" s="3297" t="s">
        <v>537</v>
      </c>
      <c r="Z9" s="1153" t="str">
        <f t="shared" ref="Z9:Z14" si="7">Q9</f>
        <v>用途</v>
      </c>
      <c r="AA9" s="1575">
        <f t="shared" si="3"/>
        <v>1</v>
      </c>
      <c r="AB9" s="1575">
        <f t="shared" si="4"/>
        <v>1</v>
      </c>
      <c r="AC9" s="1575">
        <f t="shared" si="5"/>
        <v>1</v>
      </c>
    </row>
    <row r="10" spans="1:29" s="1341" customFormat="1" ht="27">
      <c r="A10" s="2947"/>
      <c r="B10" s="2952" t="s">
        <v>2765</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5">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51"/>
      <c r="Q11" s="1154">
        <f t="shared" si="6"/>
        <v>111</v>
      </c>
      <c r="R11" s="1572" t="s">
        <v>8</v>
      </c>
      <c r="S11" s="1573">
        <f t="shared" si="0"/>
        <v>100</v>
      </c>
      <c r="T11" s="1572" t="s">
        <v>8</v>
      </c>
      <c r="U11" s="1573">
        <f t="shared" si="1"/>
        <v>100</v>
      </c>
      <c r="V11" s="1572" t="s">
        <v>8</v>
      </c>
      <c r="W11" s="1573">
        <f t="shared" si="2"/>
        <v>100</v>
      </c>
      <c r="X11" s="1574"/>
      <c r="Y11" s="3297"/>
      <c r="Z11" s="1153">
        <f t="shared" si="7"/>
        <v>111</v>
      </c>
      <c r="AA11" s="1575">
        <f t="shared" si="3"/>
        <v>1</v>
      </c>
      <c r="AB11" s="1575">
        <f t="shared" si="4"/>
        <v>1</v>
      </c>
      <c r="AC11" s="1575">
        <f t="shared" si="5"/>
        <v>1</v>
      </c>
    </row>
    <row r="12" spans="1:29" s="1223" customFormat="1" ht="15">
      <c r="A12" s="2949"/>
      <c r="B12" s="2955">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75" thickBot="1">
      <c r="A13" s="2950"/>
      <c r="B13" s="2956">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85.5">
      <c r="A14" s="2942" t="s">
        <v>2762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53" t="s">
        <v>541</v>
      </c>
      <c r="Q14" s="1576" t="str">
        <f t="shared" si="6"/>
        <v>交通便捷度</v>
      </c>
      <c r="R14" s="1577" t="s">
        <v>8</v>
      </c>
      <c r="S14" s="1578">
        <f t="shared" si="0"/>
        <v>100</v>
      </c>
      <c r="T14" s="1577" t="s">
        <v>8</v>
      </c>
      <c r="U14" s="1578">
        <f t="shared" si="1"/>
        <v>100</v>
      </c>
      <c r="V14" s="1577" t="s">
        <v>8</v>
      </c>
      <c r="W14" s="1578">
        <f t="shared" si="2"/>
        <v>100</v>
      </c>
      <c r="X14" s="1571"/>
      <c r="Y14" s="3353"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6"/>
      <c r="M15" s="2138"/>
      <c r="N15" s="2138"/>
      <c r="O15" s="2145"/>
      <c r="P15" s="3354"/>
      <c r="Q15" s="1576"/>
      <c r="R15" s="1577"/>
      <c r="S15" s="1578"/>
      <c r="T15" s="1577"/>
      <c r="U15" s="1578"/>
      <c r="V15" s="1577"/>
      <c r="W15" s="1578"/>
      <c r="X15" s="1571"/>
      <c r="Y15" s="3354"/>
      <c r="Z15" s="1579"/>
      <c r="AA15" s="1580">
        <v>1</v>
      </c>
      <c r="AB15" s="1580">
        <v>1</v>
      </c>
      <c r="AC15" s="1580">
        <v>1</v>
      </c>
    </row>
    <row r="16" spans="1:29" ht="42.75">
      <c r="A16" s="518"/>
      <c r="B16" s="2631" t="s">
        <v>2552</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54"/>
      <c r="Q16" s="1576" t="str">
        <f>B16</f>
        <v>公共配套设施</v>
      </c>
      <c r="R16" s="1577" t="s">
        <v>8</v>
      </c>
      <c r="S16" s="1578">
        <f>F16</f>
        <v>100</v>
      </c>
      <c r="T16" s="1577" t="s">
        <v>8</v>
      </c>
      <c r="U16" s="1578">
        <f>H16</f>
        <v>100</v>
      </c>
      <c r="V16" s="1577" t="s">
        <v>8</v>
      </c>
      <c r="W16" s="1578">
        <f>J16</f>
        <v>100</v>
      </c>
      <c r="X16" s="1571"/>
      <c r="Y16" s="3354"/>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6"/>
      <c r="M17" s="2138"/>
      <c r="N17" s="2138"/>
      <c r="O17" s="2145"/>
      <c r="P17" s="3354"/>
      <c r="Q17" s="1576"/>
      <c r="R17" s="1577"/>
      <c r="S17" s="1578"/>
      <c r="T17" s="1577"/>
      <c r="U17" s="1578"/>
      <c r="V17" s="1577"/>
      <c r="W17" s="1578"/>
      <c r="X17" s="1571"/>
      <c r="Y17" s="3354"/>
      <c r="Z17" s="1579"/>
      <c r="AA17" s="1580">
        <v>1</v>
      </c>
      <c r="AB17" s="1580">
        <v>1</v>
      </c>
      <c r="AC17" s="1580">
        <v>1</v>
      </c>
    </row>
    <row r="18" spans="1:29" ht="28.5">
      <c r="A18" s="518"/>
      <c r="B18" s="2619" t="s">
        <v>2564</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54"/>
      <c r="Q18" s="2607" t="str">
        <f>B18</f>
        <v>基础设施水平</v>
      </c>
      <c r="R18" s="1577" t="s">
        <v>8</v>
      </c>
      <c r="S18" s="1578">
        <f>F18</f>
        <v>100</v>
      </c>
      <c r="T18" s="1577" t="s">
        <v>8</v>
      </c>
      <c r="U18" s="1578">
        <f>H18</f>
        <v>100</v>
      </c>
      <c r="V18" s="1577" t="s">
        <v>8</v>
      </c>
      <c r="W18" s="1578">
        <f>J18</f>
        <v>100</v>
      </c>
      <c r="X18" s="2609"/>
      <c r="Y18" s="3354"/>
      <c r="Z18" s="2608"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0"/>
      <c r="L19" s="2146"/>
      <c r="M19" s="2138"/>
      <c r="N19" s="2138"/>
      <c r="O19" s="2145"/>
      <c r="P19" s="3354"/>
      <c r="Q19" s="2607"/>
      <c r="R19" s="1577"/>
      <c r="S19" s="1578"/>
      <c r="T19" s="1577"/>
      <c r="U19" s="1578"/>
      <c r="V19" s="1577"/>
      <c r="W19" s="1578"/>
      <c r="X19" s="2609"/>
      <c r="Y19" s="3354"/>
      <c r="Z19" s="2608"/>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54"/>
      <c r="Q20" s="1576" t="str">
        <f>B20</f>
        <v>自然及人文环境</v>
      </c>
      <c r="R20" s="1577" t="s">
        <v>8</v>
      </c>
      <c r="S20" s="1578">
        <f>F20</f>
        <v>100</v>
      </c>
      <c r="T20" s="1577" t="s">
        <v>8</v>
      </c>
      <c r="U20" s="1578">
        <f>H20</f>
        <v>100</v>
      </c>
      <c r="V20" s="1577" t="s">
        <v>8</v>
      </c>
      <c r="W20" s="1578">
        <f>J20</f>
        <v>100</v>
      </c>
      <c r="X20" s="1571"/>
      <c r="Y20" s="3354"/>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6"/>
      <c r="M21" s="2138"/>
      <c r="N21" s="2138"/>
      <c r="O21" s="2145"/>
      <c r="P21" s="3354"/>
      <c r="Q21" s="1576"/>
      <c r="R21" s="1577"/>
      <c r="S21" s="1578"/>
      <c r="T21" s="1577"/>
      <c r="U21" s="1578"/>
      <c r="V21" s="1577"/>
      <c r="W21" s="1578"/>
      <c r="X21" s="1571"/>
      <c r="Y21" s="3354"/>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54"/>
      <c r="Q22" s="1576" t="str">
        <f>B22</f>
        <v>楼层</v>
      </c>
      <c r="R22" s="1577" t="s">
        <v>8</v>
      </c>
      <c r="S22" s="1578">
        <f>F22</f>
        <v>100</v>
      </c>
      <c r="T22" s="1577" t="s">
        <v>8</v>
      </c>
      <c r="U22" s="1578">
        <f>H22</f>
        <v>100</v>
      </c>
      <c r="V22" s="1577" t="s">
        <v>8</v>
      </c>
      <c r="W22" s="1578">
        <f>J22</f>
        <v>100</v>
      </c>
      <c r="X22" s="1571"/>
      <c r="Y22" s="3354"/>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54"/>
      <c r="Q23" s="1576">
        <f>B23</f>
        <v>111</v>
      </c>
      <c r="R23" s="1577" t="s">
        <v>8</v>
      </c>
      <c r="S23" s="1578">
        <f>F23</f>
        <v>100</v>
      </c>
      <c r="T23" s="1577" t="s">
        <v>8</v>
      </c>
      <c r="U23" s="1578">
        <f>H23</f>
        <v>100</v>
      </c>
      <c r="V23" s="1577" t="s">
        <v>8</v>
      </c>
      <c r="W23" s="1578">
        <f>J23</f>
        <v>100</v>
      </c>
      <c r="X23" s="1571"/>
      <c r="Y23" s="3354"/>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54"/>
      <c r="Q24" s="1576">
        <f t="shared" ref="Q24:Q36" si="11">B24</f>
        <v>111</v>
      </c>
      <c r="R24" s="1577" t="s">
        <v>8</v>
      </c>
      <c r="S24" s="1578">
        <f>F24</f>
        <v>100</v>
      </c>
      <c r="T24" s="1577" t="s">
        <v>8</v>
      </c>
      <c r="U24" s="1578">
        <f>H24</f>
        <v>100</v>
      </c>
      <c r="V24" s="1577" t="s">
        <v>8</v>
      </c>
      <c r="W24" s="1578">
        <f>J24</f>
        <v>100</v>
      </c>
      <c r="X24" s="1571"/>
      <c r="Y24" s="3354"/>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54"/>
      <c r="Q25" s="1154">
        <f t="shared" si="11"/>
        <v>111</v>
      </c>
      <c r="R25" s="1572" t="s">
        <v>8</v>
      </c>
      <c r="S25" s="1573">
        <f>F25</f>
        <v>100</v>
      </c>
      <c r="T25" s="1572" t="s">
        <v>8</v>
      </c>
      <c r="U25" s="1573">
        <f>H25</f>
        <v>100</v>
      </c>
      <c r="V25" s="1572" t="s">
        <v>8</v>
      </c>
      <c r="W25" s="1573">
        <f>J25</f>
        <v>100</v>
      </c>
      <c r="X25" s="1574"/>
      <c r="Y25" s="3354"/>
      <c r="Z25" s="1153">
        <f>Q25</f>
        <v>111</v>
      </c>
      <c r="AA25" s="1580">
        <f>D25/F25</f>
        <v>1</v>
      </c>
      <c r="AB25" s="1580">
        <f>D25/H25</f>
        <v>1</v>
      </c>
      <c r="AC25" s="1580">
        <f>D25/J25</f>
        <v>1</v>
      </c>
    </row>
    <row r="26" spans="1:29" ht="15">
      <c r="A26" s="2939" t="s">
        <v>2763</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55"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56"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56"/>
      <c r="Q27" s="1609" t="str">
        <f t="shared" si="11"/>
        <v>项目停车位配比</v>
      </c>
      <c r="R27" s="1581" t="s">
        <v>8</v>
      </c>
      <c r="S27" s="1582">
        <f t="shared" si="12"/>
        <v>100</v>
      </c>
      <c r="T27" s="1581" t="s">
        <v>8</v>
      </c>
      <c r="U27" s="1582">
        <f t="shared" si="13"/>
        <v>100</v>
      </c>
      <c r="V27" s="1581" t="s">
        <v>8</v>
      </c>
      <c r="W27" s="1582">
        <f t="shared" si="14"/>
        <v>100</v>
      </c>
      <c r="X27" s="1583"/>
      <c r="Y27" s="3356"/>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56"/>
      <c r="Q28" s="1576" t="str">
        <f t="shared" si="11"/>
        <v>公共部分装修</v>
      </c>
      <c r="R28" s="1577" t="s">
        <v>8</v>
      </c>
      <c r="S28" s="1578">
        <f t="shared" si="12"/>
        <v>100</v>
      </c>
      <c r="T28" s="1577" t="s">
        <v>8</v>
      </c>
      <c r="U28" s="1578">
        <f t="shared" si="13"/>
        <v>100</v>
      </c>
      <c r="V28" s="1577" t="s">
        <v>8</v>
      </c>
      <c r="W28" s="1578">
        <f t="shared" si="14"/>
        <v>100</v>
      </c>
      <c r="X28" s="1571"/>
      <c r="Y28" s="3356"/>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56"/>
      <c r="Q29" s="1576" t="str">
        <f t="shared" si="11"/>
        <v>成新率</v>
      </c>
      <c r="R29" s="1577" t="s">
        <v>8</v>
      </c>
      <c r="S29" s="1578" t="e">
        <f t="shared" si="12"/>
        <v>#N/A</v>
      </c>
      <c r="T29" s="1577" t="s">
        <v>8</v>
      </c>
      <c r="U29" s="1578" t="e">
        <f t="shared" si="13"/>
        <v>#N/A</v>
      </c>
      <c r="V29" s="1577" t="s">
        <v>8</v>
      </c>
      <c r="W29" s="1578" t="e">
        <f t="shared" si="14"/>
        <v>#N/A</v>
      </c>
      <c r="X29" s="1571"/>
      <c r="Y29" s="3356"/>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56"/>
      <c r="Q30" s="1576" t="str">
        <f t="shared" si="11"/>
        <v>物业等级</v>
      </c>
      <c r="R30" s="1577" t="s">
        <v>8</v>
      </c>
      <c r="S30" s="1578">
        <f t="shared" si="12"/>
        <v>100</v>
      </c>
      <c r="T30" s="1577" t="s">
        <v>8</v>
      </c>
      <c r="U30" s="1578">
        <f t="shared" si="13"/>
        <v>100</v>
      </c>
      <c r="V30" s="1577" t="s">
        <v>8</v>
      </c>
      <c r="W30" s="1578">
        <f t="shared" si="14"/>
        <v>100</v>
      </c>
      <c r="X30" s="1571"/>
      <c r="Y30" s="3356"/>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56"/>
      <c r="Q31" s="1154" t="str">
        <f t="shared" si="11"/>
        <v>停车位面积</v>
      </c>
      <c r="R31" s="1572" t="s">
        <v>8</v>
      </c>
      <c r="S31" s="1573" t="e">
        <f t="shared" si="12"/>
        <v>#N/A</v>
      </c>
      <c r="T31" s="1572" t="s">
        <v>8</v>
      </c>
      <c r="U31" s="1573" t="e">
        <f t="shared" si="13"/>
        <v>#N/A</v>
      </c>
      <c r="V31" s="1572" t="s">
        <v>8</v>
      </c>
      <c r="W31" s="1573" t="e">
        <f t="shared" si="14"/>
        <v>#N/A</v>
      </c>
      <c r="X31" s="1574"/>
      <c r="Y31" s="3356"/>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56" t="s">
        <v>551</v>
      </c>
      <c r="Q32" s="1576" t="str">
        <f t="shared" si="11"/>
        <v>车位类型</v>
      </c>
      <c r="R32" s="1577" t="s">
        <v>8</v>
      </c>
      <c r="S32" s="1578">
        <f t="shared" si="12"/>
        <v>100</v>
      </c>
      <c r="T32" s="1577" t="s">
        <v>8</v>
      </c>
      <c r="U32" s="1578">
        <f t="shared" si="13"/>
        <v>100</v>
      </c>
      <c r="V32" s="1577" t="s">
        <v>8</v>
      </c>
      <c r="W32" s="1578">
        <f t="shared" si="14"/>
        <v>100</v>
      </c>
      <c r="X32" s="1571"/>
      <c r="Y32" s="3356"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56"/>
      <c r="Q33" s="1576" t="str">
        <f t="shared" si="11"/>
        <v>是否直接入户</v>
      </c>
      <c r="R33" s="1577" t="s">
        <v>8</v>
      </c>
      <c r="S33" s="1578">
        <f t="shared" si="12"/>
        <v>100</v>
      </c>
      <c r="T33" s="1577" t="s">
        <v>8</v>
      </c>
      <c r="U33" s="1578">
        <f t="shared" si="13"/>
        <v>100</v>
      </c>
      <c r="V33" s="1577" t="s">
        <v>8</v>
      </c>
      <c r="W33" s="1578">
        <f t="shared" si="14"/>
        <v>100</v>
      </c>
      <c r="X33" s="1571"/>
      <c r="Y33" s="3356"/>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56"/>
      <c r="Q34" s="1576">
        <f t="shared" si="11"/>
        <v>111</v>
      </c>
      <c r="R34" s="1577" t="s">
        <v>8</v>
      </c>
      <c r="S34" s="1578">
        <f t="shared" si="12"/>
        <v>100</v>
      </c>
      <c r="T34" s="1577" t="s">
        <v>8</v>
      </c>
      <c r="U34" s="1578">
        <f t="shared" si="13"/>
        <v>100</v>
      </c>
      <c r="V34" s="1577" t="s">
        <v>8</v>
      </c>
      <c r="W34" s="1578">
        <f t="shared" si="14"/>
        <v>100</v>
      </c>
      <c r="X34" s="1571"/>
      <c r="Y34" s="3356"/>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56"/>
      <c r="Q35" s="1609">
        <f t="shared" si="11"/>
        <v>111</v>
      </c>
      <c r="R35" s="1581" t="s">
        <v>8</v>
      </c>
      <c r="S35" s="1582">
        <f t="shared" si="12"/>
        <v>100</v>
      </c>
      <c r="T35" s="1581" t="s">
        <v>8</v>
      </c>
      <c r="U35" s="1582">
        <f t="shared" si="13"/>
        <v>100</v>
      </c>
      <c r="V35" s="1581" t="s">
        <v>8</v>
      </c>
      <c r="W35" s="1582">
        <f t="shared" si="14"/>
        <v>100</v>
      </c>
      <c r="X35" s="1583"/>
      <c r="Y35" s="3356"/>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56"/>
      <c r="Q36" s="1576">
        <f t="shared" si="11"/>
        <v>111</v>
      </c>
      <c r="R36" s="1577" t="s">
        <v>8</v>
      </c>
      <c r="S36" s="1578">
        <f t="shared" si="12"/>
        <v>100</v>
      </c>
      <c r="T36" s="1577" t="s">
        <v>8</v>
      </c>
      <c r="U36" s="1578">
        <f t="shared" si="13"/>
        <v>100</v>
      </c>
      <c r="V36" s="1577" t="s">
        <v>8</v>
      </c>
      <c r="W36" s="1578">
        <f t="shared" si="14"/>
        <v>100</v>
      </c>
      <c r="X36" s="1571"/>
      <c r="Y36" s="3356"/>
      <c r="Z36" s="1579">
        <f t="shared" si="15"/>
        <v>111</v>
      </c>
      <c r="AA36" s="1580">
        <f t="shared" si="3"/>
        <v>1</v>
      </c>
      <c r="AB36" s="1580">
        <f t="shared" si="4"/>
        <v>1</v>
      </c>
      <c r="AC36" s="1580">
        <f t="shared" si="5"/>
        <v>1</v>
      </c>
    </row>
    <row r="37" spans="1:29" ht="15">
      <c r="A37" s="1850" t="s">
        <v>2081</v>
      </c>
      <c r="B37" s="1851" t="s">
        <v>2082</v>
      </c>
      <c r="C37" s="2655" t="s">
        <v>1</v>
      </c>
      <c r="D37" s="2656"/>
      <c r="E37" s="2657"/>
      <c r="F37" s="2658"/>
      <c r="G37" s="2659"/>
      <c r="H37" s="2660"/>
      <c r="I37" s="2657"/>
      <c r="J37" s="2660"/>
      <c r="K37" s="1615"/>
      <c r="L37" s="2148"/>
      <c r="M37" s="2149"/>
      <c r="N37" s="2138"/>
      <c r="O37" s="2149"/>
      <c r="P37" s="3351" t="str">
        <f>A37</f>
        <v>成交单价</v>
      </c>
      <c r="Q37" s="3351"/>
      <c r="R37" s="3352">
        <f>E37</f>
        <v>0</v>
      </c>
      <c r="S37" s="3352"/>
      <c r="T37" s="3352">
        <f>G37</f>
        <v>0</v>
      </c>
      <c r="U37" s="3352"/>
      <c r="V37" s="3352">
        <f>I37</f>
        <v>0</v>
      </c>
      <c r="W37" s="3352"/>
      <c r="X37" s="1563"/>
      <c r="Y37" s="1585"/>
      <c r="Z37" s="1563"/>
      <c r="AA37" s="1563"/>
      <c r="AB37" s="1563"/>
      <c r="AC37" s="1563"/>
    </row>
    <row r="38" spans="1:29" ht="15.75" thickBot="1">
      <c r="A38" s="618" t="s">
        <v>2768</v>
      </c>
      <c r="B38" s="891"/>
      <c r="C38" s="2661" t="e">
        <f>R39</f>
        <v>#DIV/0!</v>
      </c>
      <c r="D38" s="2662"/>
      <c r="E38" s="2663" t="e">
        <f>R38</f>
        <v>#DIV/0!</v>
      </c>
      <c r="F38" s="2663"/>
      <c r="G38" s="2661" t="e">
        <f>T38</f>
        <v>#DIV/0!</v>
      </c>
      <c r="H38" s="2662"/>
      <c r="I38" s="2663" t="e">
        <f>V38</f>
        <v>#DIV/0!</v>
      </c>
      <c r="J38" s="2662"/>
      <c r="K38" s="1616"/>
      <c r="L38" s="2148"/>
      <c r="M38" s="2149"/>
      <c r="N38" s="2149"/>
      <c r="O38" s="2149"/>
      <c r="P38" s="3351" t="str">
        <f>A38</f>
        <v>比较价格（元/平方米）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1563"/>
      <c r="Y38" s="1563"/>
      <c r="Z38" s="1563"/>
      <c r="AA38" s="1563"/>
      <c r="AB38" s="1563"/>
      <c r="AC38" s="1563"/>
    </row>
    <row r="39" spans="1:29" ht="15.75" thickBot="1">
      <c r="A39" s="624" t="s">
        <v>2942</v>
      </c>
      <c r="B39" s="625"/>
      <c r="C39" s="2664" t="e">
        <f>R39</f>
        <v>#DIV/0!</v>
      </c>
      <c r="D39" s="2664"/>
      <c r="E39" s="2664"/>
      <c r="F39" s="2664"/>
      <c r="G39" s="2664"/>
      <c r="H39" s="2664"/>
      <c r="I39" s="2664"/>
      <c r="J39" s="2664"/>
      <c r="K39" s="1617"/>
      <c r="L39" s="2148"/>
      <c r="M39" s="2149"/>
      <c r="N39" s="2149"/>
      <c r="O39" s="2149"/>
      <c r="P39" s="3348" t="str">
        <f>A39</f>
        <v>估价对象XX用房的比较价格（楼面单价，元/平方米）</v>
      </c>
      <c r="Q39" s="3349"/>
      <c r="R39" s="3350" t="e">
        <f>IF(F1="售价",ROUND(AVERAGE(R38:V38),0),ROUND(AVERAGE(R38:V38),1))</f>
        <v>#DIV/0!</v>
      </c>
      <c r="S39" s="3350"/>
      <c r="T39" s="3350"/>
      <c r="U39" s="3350"/>
      <c r="V39" s="3350"/>
      <c r="W39" s="3350"/>
      <c r="X39" s="1563"/>
      <c r="Y39" s="1563"/>
      <c r="Z39" s="1563"/>
      <c r="AA39" s="1563"/>
      <c r="AB39" s="1563"/>
      <c r="AC39" s="1563"/>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8" t="s">
        <v>575</v>
      </c>
      <c r="B47" s="1563"/>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4" t="str">
        <f>YEAR(C7)&amp;"-"&amp;MONTH(C7)</f>
        <v>2017-10</v>
      </c>
      <c r="D48" s="2836">
        <f>EDATE(C48,-1)</f>
        <v>42979</v>
      </c>
      <c r="E48" s="2836">
        <f t="shared" ref="E48:O48" si="16">EDATE(D48,-1)</f>
        <v>42948</v>
      </c>
      <c r="F48" s="2836">
        <f t="shared" si="16"/>
        <v>42917</v>
      </c>
      <c r="G48" s="2836">
        <f t="shared" si="16"/>
        <v>42887</v>
      </c>
      <c r="H48" s="2836">
        <f t="shared" si="16"/>
        <v>42856</v>
      </c>
      <c r="I48" s="2836">
        <f t="shared" si="16"/>
        <v>42826</v>
      </c>
      <c r="J48" s="2836">
        <f t="shared" si="16"/>
        <v>42795</v>
      </c>
      <c r="K48" s="2836">
        <f t="shared" si="16"/>
        <v>42767</v>
      </c>
      <c r="L48" s="2836">
        <f t="shared" si="16"/>
        <v>42736</v>
      </c>
      <c r="M48" s="2836">
        <f t="shared" si="16"/>
        <v>42705</v>
      </c>
      <c r="N48" s="2836">
        <f t="shared" si="16"/>
        <v>42675</v>
      </c>
      <c r="O48" s="2836">
        <f t="shared" si="16"/>
        <v>42644</v>
      </c>
      <c r="P48" s="2164"/>
      <c r="Q48" s="2165"/>
      <c r="R48" s="2165"/>
      <c r="S48" s="2165"/>
      <c r="T48" s="2165"/>
      <c r="U48" s="2165"/>
      <c r="V48" s="2165"/>
      <c r="W48" s="2165"/>
      <c r="X48" s="2165"/>
      <c r="Y48" s="2165"/>
      <c r="Z48" s="2165"/>
      <c r="AA48" s="2165"/>
      <c r="AB48" s="2165"/>
      <c r="AC48" s="2165"/>
    </row>
    <row r="49" spans="1:29" s="1223" customFormat="1" ht="15">
      <c r="A49" s="650"/>
      <c r="B49" s="651"/>
      <c r="C49" s="2835">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2564</v>
      </c>
      <c r="C67" s="2626" t="s">
        <v>2565</v>
      </c>
      <c r="D67" s="2626" t="s">
        <v>2566</v>
      </c>
      <c r="E67" s="2626" t="s">
        <v>2567</v>
      </c>
      <c r="F67" s="2626" t="s">
        <v>2568</v>
      </c>
      <c r="G67" s="2626" t="s">
        <v>2569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61" t="s">
        <v>799</v>
      </c>
      <c r="D4" s="3362"/>
      <c r="E4" s="3363" t="s">
        <v>800</v>
      </c>
      <c r="F4" s="3364"/>
      <c r="G4" s="3361" t="s">
        <v>801</v>
      </c>
      <c r="H4" s="3362"/>
      <c r="I4" s="3361" t="s">
        <v>802</v>
      </c>
      <c r="J4" s="3362"/>
      <c r="K4" s="517" t="s">
        <v>803</v>
      </c>
      <c r="L4" s="2137"/>
      <c r="M4" s="2138"/>
      <c r="N4" s="2138"/>
      <c r="O4" s="2138"/>
      <c r="P4" s="3365" t="s">
        <v>804</v>
      </c>
      <c r="Q4" s="3366"/>
      <c r="R4" s="3371" t="s">
        <v>800</v>
      </c>
      <c r="S4" s="3372"/>
      <c r="T4" s="3371" t="s">
        <v>801</v>
      </c>
      <c r="U4" s="3372"/>
      <c r="V4" s="3377" t="s">
        <v>802</v>
      </c>
      <c r="W4" s="3377"/>
      <c r="X4" s="1571"/>
      <c r="Y4" s="3371" t="s">
        <v>804</v>
      </c>
      <c r="Z4" s="3372"/>
      <c r="AA4" s="3358" t="s">
        <v>800</v>
      </c>
      <c r="AB4" s="3359" t="s">
        <v>801</v>
      </c>
      <c r="AC4" s="3358" t="s">
        <v>802</v>
      </c>
    </row>
    <row r="5" spans="1:29" ht="15">
      <c r="A5" s="518"/>
      <c r="B5" s="519"/>
      <c r="C5" s="3380" t="s">
        <v>2936</v>
      </c>
      <c r="D5" s="3381"/>
      <c r="E5" s="3388" t="s">
        <v>2937</v>
      </c>
      <c r="F5" s="3389"/>
      <c r="G5" s="3380" t="s">
        <v>2938</v>
      </c>
      <c r="H5" s="3381"/>
      <c r="I5" s="3380" t="s">
        <v>2939</v>
      </c>
      <c r="J5" s="3381"/>
      <c r="K5" s="517"/>
      <c r="L5" s="2137"/>
      <c r="M5" s="2138"/>
      <c r="N5" s="2138"/>
      <c r="O5" s="2138"/>
      <c r="P5" s="3367"/>
      <c r="Q5" s="3368"/>
      <c r="R5" s="3373"/>
      <c r="S5" s="3374"/>
      <c r="T5" s="3373"/>
      <c r="U5" s="3374"/>
      <c r="V5" s="3377"/>
      <c r="W5" s="3377"/>
      <c r="X5" s="1571"/>
      <c r="Y5" s="3373"/>
      <c r="Z5" s="3374"/>
      <c r="AA5" s="3359"/>
      <c r="AB5" s="3359"/>
      <c r="AC5" s="3359"/>
    </row>
    <row r="6" spans="1:29" ht="15.75" thickBot="1">
      <c r="A6" s="520"/>
      <c r="B6" s="521"/>
      <c r="C6" s="3378" t="s">
        <v>2940</v>
      </c>
      <c r="D6" s="3379"/>
      <c r="E6" s="3386" t="s">
        <v>2940</v>
      </c>
      <c r="F6" s="3387"/>
      <c r="G6" s="3378" t="s">
        <v>2940</v>
      </c>
      <c r="H6" s="3379"/>
      <c r="I6" s="3378" t="s">
        <v>2940</v>
      </c>
      <c r="J6" s="3379"/>
      <c r="K6" s="517" t="s">
        <v>529</v>
      </c>
      <c r="L6" s="2137"/>
      <c r="M6" s="2138"/>
      <c r="N6" s="2138"/>
      <c r="O6" s="2138"/>
      <c r="P6" s="3369"/>
      <c r="Q6" s="3370"/>
      <c r="R6" s="3373"/>
      <c r="S6" s="3374"/>
      <c r="T6" s="3375"/>
      <c r="U6" s="3376"/>
      <c r="V6" s="3377"/>
      <c r="W6" s="3377"/>
      <c r="X6" s="1571"/>
      <c r="Y6" s="3375"/>
      <c r="Z6" s="3376"/>
      <c r="AA6" s="3360"/>
      <c r="AB6" s="3360"/>
      <c r="AC6" s="3360"/>
    </row>
    <row r="7" spans="1:29" s="1223" customFormat="1" ht="15.75" thickBot="1">
      <c r="A7" s="2944"/>
      <c r="B7" s="2951" t="s">
        <v>530</v>
      </c>
      <c r="C7" s="522">
        <f>'数据-取费表'!B2</f>
        <v>43021</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82" t="s">
        <v>531</v>
      </c>
      <c r="Q7" s="3384"/>
      <c r="R7" s="1572" t="s">
        <v>8</v>
      </c>
      <c r="S7" s="1573">
        <f t="shared" ref="S7:S14" si="0">F7</f>
        <v>0</v>
      </c>
      <c r="T7" s="1572" t="s">
        <v>8</v>
      </c>
      <c r="U7" s="1573">
        <f t="shared" ref="U7:U14" si="1">H7</f>
        <v>0</v>
      </c>
      <c r="V7" s="1572" t="s">
        <v>8</v>
      </c>
      <c r="W7" s="1573">
        <f t="shared" ref="W7:W14" si="2">J7</f>
        <v>0</v>
      </c>
      <c r="X7" s="1574"/>
      <c r="Y7" s="3382" t="s">
        <v>531</v>
      </c>
      <c r="Z7" s="3383"/>
      <c r="AA7" s="1575" t="e">
        <f>D7/F7</f>
        <v>#DIV/0!</v>
      </c>
      <c r="AB7" s="1575" t="e">
        <f>D7/H7</f>
        <v>#DIV/0!</v>
      </c>
      <c r="AC7" s="1575" t="e">
        <f>D7/J7</f>
        <v>#DIV/0!</v>
      </c>
    </row>
    <row r="8" spans="1:29" s="1223" customFormat="1" ht="15.75" thickBot="1">
      <c r="A8" s="2945"/>
      <c r="B8" s="2952"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82" t="s">
        <v>534</v>
      </c>
      <c r="Q8" s="3383"/>
      <c r="R8" s="1572" t="s">
        <v>8</v>
      </c>
      <c r="S8" s="1573">
        <f t="shared" si="0"/>
        <v>0</v>
      </c>
      <c r="T8" s="1572" t="s">
        <v>8</v>
      </c>
      <c r="U8" s="1573">
        <f t="shared" si="1"/>
        <v>0</v>
      </c>
      <c r="V8" s="1572" t="s">
        <v>8</v>
      </c>
      <c r="W8" s="1573">
        <f t="shared" si="2"/>
        <v>0</v>
      </c>
      <c r="X8" s="1574"/>
      <c r="Y8" s="3382" t="s">
        <v>534</v>
      </c>
      <c r="Z8" s="3383"/>
      <c r="AA8" s="1575" t="e">
        <f t="shared" ref="AA8:AA34" si="3">D8/F8</f>
        <v>#DIV/0!</v>
      </c>
      <c r="AB8" s="1575" t="e">
        <f t="shared" ref="AB8:AB34" si="4">D8/H8</f>
        <v>#DIV/0!</v>
      </c>
      <c r="AC8" s="1575" t="e">
        <f t="shared" ref="AC8:AC34" si="5">D8/J8</f>
        <v>#DIV/0!</v>
      </c>
    </row>
    <row r="9" spans="1:29" s="1223" customFormat="1" ht="15">
      <c r="A9" s="2946"/>
      <c r="B9" s="2953" t="s">
        <v>2764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51" t="s">
        <v>536</v>
      </c>
      <c r="Q9" s="1154" t="str">
        <f t="shared" ref="Q9:Q14" si="6">B9</f>
        <v>用途</v>
      </c>
      <c r="R9" s="1572" t="s">
        <v>8</v>
      </c>
      <c r="S9" s="1573">
        <f t="shared" si="0"/>
        <v>100</v>
      </c>
      <c r="T9" s="1572" t="s">
        <v>8</v>
      </c>
      <c r="U9" s="1573">
        <f t="shared" si="1"/>
        <v>100</v>
      </c>
      <c r="V9" s="1572" t="s">
        <v>8</v>
      </c>
      <c r="W9" s="1573">
        <f t="shared" si="2"/>
        <v>100</v>
      </c>
      <c r="X9" s="1574"/>
      <c r="Y9" s="3297" t="s">
        <v>537</v>
      </c>
      <c r="Z9" s="1153" t="str">
        <f t="shared" ref="Z9:Z14" si="7">Q9</f>
        <v>用途</v>
      </c>
      <c r="AA9" s="1575">
        <f t="shared" si="3"/>
        <v>1</v>
      </c>
      <c r="AB9" s="1575">
        <f t="shared" si="4"/>
        <v>1</v>
      </c>
      <c r="AC9" s="1575">
        <f t="shared" si="5"/>
        <v>1</v>
      </c>
    </row>
    <row r="10" spans="1:29" s="1341" customFormat="1" ht="27">
      <c r="A10" s="2947"/>
      <c r="B10" s="2952" t="s">
        <v>2765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5">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51"/>
      <c r="Q11" s="1154">
        <f t="shared" si="6"/>
        <v>111</v>
      </c>
      <c r="R11" s="1572" t="s">
        <v>8</v>
      </c>
      <c r="S11" s="1573">
        <f t="shared" si="0"/>
        <v>100</v>
      </c>
      <c r="T11" s="1572" t="s">
        <v>8</v>
      </c>
      <c r="U11" s="1573">
        <f t="shared" si="1"/>
        <v>100</v>
      </c>
      <c r="V11" s="1572" t="s">
        <v>8</v>
      </c>
      <c r="W11" s="1573">
        <f t="shared" si="2"/>
        <v>100</v>
      </c>
      <c r="X11" s="1574"/>
      <c r="Y11" s="3297"/>
      <c r="Z11" s="1153">
        <f t="shared" si="7"/>
        <v>111</v>
      </c>
      <c r="AA11" s="1575">
        <f t="shared" si="3"/>
        <v>1</v>
      </c>
      <c r="AB11" s="1575">
        <f t="shared" si="4"/>
        <v>1</v>
      </c>
      <c r="AC11" s="1575">
        <f t="shared" si="5"/>
        <v>1</v>
      </c>
    </row>
    <row r="12" spans="1:29" s="1223" customFormat="1" ht="15">
      <c r="A12" s="2949"/>
      <c r="B12" s="2955">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75" thickBot="1">
      <c r="A13" s="2950"/>
      <c r="B13" s="2956">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85.5">
      <c r="A14" s="2942" t="s">
        <v>2762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53" t="s">
        <v>541</v>
      </c>
      <c r="Q14" s="1576" t="str">
        <f t="shared" si="6"/>
        <v>交通便捷度</v>
      </c>
      <c r="R14" s="1577" t="s">
        <v>8</v>
      </c>
      <c r="S14" s="1578">
        <f t="shared" si="0"/>
        <v>100</v>
      </c>
      <c r="T14" s="1577" t="s">
        <v>8</v>
      </c>
      <c r="U14" s="1578">
        <f t="shared" si="1"/>
        <v>100</v>
      </c>
      <c r="V14" s="1577" t="s">
        <v>8</v>
      </c>
      <c r="W14" s="1578">
        <f t="shared" si="2"/>
        <v>100</v>
      </c>
      <c r="X14" s="1571"/>
      <c r="Y14" s="3353"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6"/>
      <c r="M15" s="2138"/>
      <c r="N15" s="2138"/>
      <c r="O15" s="2145"/>
      <c r="P15" s="3354"/>
      <c r="Q15" s="1576"/>
      <c r="R15" s="1577"/>
      <c r="S15" s="1578"/>
      <c r="T15" s="1577"/>
      <c r="U15" s="1578"/>
      <c r="V15" s="1577"/>
      <c r="W15" s="1578"/>
      <c r="X15" s="1571"/>
      <c r="Y15" s="3354"/>
      <c r="Z15" s="1579"/>
      <c r="AA15" s="1580">
        <v>1</v>
      </c>
      <c r="AB15" s="1580">
        <v>1</v>
      </c>
      <c r="AC15" s="1580">
        <v>1</v>
      </c>
    </row>
    <row r="16" spans="1:29" ht="42.75">
      <c r="A16" s="535"/>
      <c r="B16" s="2631" t="s">
        <v>2552</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54"/>
      <c r="Q16" s="1576" t="str">
        <f>B16</f>
        <v>公共配套设施</v>
      </c>
      <c r="R16" s="1577" t="s">
        <v>8</v>
      </c>
      <c r="S16" s="1578">
        <f>F16</f>
        <v>100</v>
      </c>
      <c r="T16" s="1577" t="s">
        <v>8</v>
      </c>
      <c r="U16" s="1578">
        <f>H16</f>
        <v>100</v>
      </c>
      <c r="V16" s="1577" t="s">
        <v>8</v>
      </c>
      <c r="W16" s="1578">
        <f>J16</f>
        <v>100</v>
      </c>
      <c r="X16" s="1571"/>
      <c r="Y16" s="3354"/>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6"/>
      <c r="M17" s="2138"/>
      <c r="N17" s="2138"/>
      <c r="O17" s="2145"/>
      <c r="P17" s="3354"/>
      <c r="Q17" s="1576"/>
      <c r="R17" s="1577"/>
      <c r="S17" s="1578"/>
      <c r="T17" s="1577"/>
      <c r="U17" s="1578"/>
      <c r="V17" s="1577"/>
      <c r="W17" s="1578"/>
      <c r="X17" s="1571"/>
      <c r="Y17" s="3354"/>
      <c r="Z17" s="1579"/>
      <c r="AA17" s="1580">
        <v>1</v>
      </c>
      <c r="AB17" s="1580">
        <v>1</v>
      </c>
      <c r="AC17" s="1580">
        <v>1</v>
      </c>
    </row>
    <row r="18" spans="1:29" ht="28.5">
      <c r="A18" s="535"/>
      <c r="B18" s="2619" t="s">
        <v>2564</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54"/>
      <c r="Q18" s="2607" t="str">
        <f>B18</f>
        <v>基础设施水平</v>
      </c>
      <c r="R18" s="1577" t="s">
        <v>8</v>
      </c>
      <c r="S18" s="1578">
        <f>F18</f>
        <v>100</v>
      </c>
      <c r="T18" s="1577" t="s">
        <v>8</v>
      </c>
      <c r="U18" s="1578">
        <f>H18</f>
        <v>100</v>
      </c>
      <c r="V18" s="1577" t="s">
        <v>8</v>
      </c>
      <c r="W18" s="1578">
        <f>J18</f>
        <v>100</v>
      </c>
      <c r="X18" s="2609"/>
      <c r="Y18" s="3354"/>
      <c r="Z18" s="2608"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0"/>
      <c r="L19" s="2146"/>
      <c r="M19" s="2138"/>
      <c r="N19" s="2138"/>
      <c r="O19" s="2145"/>
      <c r="P19" s="3354"/>
      <c r="Q19" s="2607"/>
      <c r="R19" s="1577"/>
      <c r="S19" s="1578"/>
      <c r="T19" s="1577"/>
      <c r="U19" s="1578"/>
      <c r="V19" s="1577"/>
      <c r="W19" s="1578"/>
      <c r="X19" s="2609"/>
      <c r="Y19" s="3354"/>
      <c r="Z19" s="2608"/>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54"/>
      <c r="Q20" s="1576" t="str">
        <f>B20</f>
        <v>自然及人文环境</v>
      </c>
      <c r="R20" s="1577" t="s">
        <v>8</v>
      </c>
      <c r="S20" s="1578">
        <f>F20</f>
        <v>100</v>
      </c>
      <c r="T20" s="1577" t="s">
        <v>8</v>
      </c>
      <c r="U20" s="1578">
        <f>H20</f>
        <v>100</v>
      </c>
      <c r="V20" s="1577" t="s">
        <v>8</v>
      </c>
      <c r="W20" s="1578">
        <f>J20</f>
        <v>100</v>
      </c>
      <c r="X20" s="1571"/>
      <c r="Y20" s="3354"/>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6"/>
      <c r="M21" s="2138"/>
      <c r="N21" s="2138"/>
      <c r="O21" s="2145"/>
      <c r="P21" s="3354"/>
      <c r="Q21" s="1576"/>
      <c r="R21" s="1577"/>
      <c r="S21" s="1578"/>
      <c r="T21" s="1577"/>
      <c r="U21" s="1578"/>
      <c r="V21" s="1577"/>
      <c r="W21" s="1578"/>
      <c r="X21" s="1571"/>
      <c r="Y21" s="3354"/>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54"/>
      <c r="Q22" s="1576" t="str">
        <f>B22</f>
        <v>楼层</v>
      </c>
      <c r="R22" s="1577" t="s">
        <v>8</v>
      </c>
      <c r="S22" s="1578">
        <f>F22</f>
        <v>100</v>
      </c>
      <c r="T22" s="1577" t="s">
        <v>8</v>
      </c>
      <c r="U22" s="1578">
        <f>H22</f>
        <v>100</v>
      </c>
      <c r="V22" s="1577" t="s">
        <v>8</v>
      </c>
      <c r="W22" s="1578">
        <f>J22</f>
        <v>100</v>
      </c>
      <c r="X22" s="1571"/>
      <c r="Y22" s="3354"/>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54"/>
      <c r="Q23" s="1576">
        <f>B23</f>
        <v>111</v>
      </c>
      <c r="R23" s="1577" t="s">
        <v>8</v>
      </c>
      <c r="S23" s="1578">
        <f>F23</f>
        <v>100</v>
      </c>
      <c r="T23" s="1577" t="s">
        <v>8</v>
      </c>
      <c r="U23" s="1578">
        <f>H23</f>
        <v>100</v>
      </c>
      <c r="V23" s="1577" t="s">
        <v>8</v>
      </c>
      <c r="W23" s="1578">
        <f>J23</f>
        <v>100</v>
      </c>
      <c r="X23" s="1571"/>
      <c r="Y23" s="3354"/>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54"/>
      <c r="Q24" s="1576">
        <f t="shared" ref="Q24:Q34" si="11">B24</f>
        <v>111</v>
      </c>
      <c r="R24" s="1577" t="s">
        <v>8</v>
      </c>
      <c r="S24" s="1578">
        <f>F24</f>
        <v>100</v>
      </c>
      <c r="T24" s="1577" t="s">
        <v>8</v>
      </c>
      <c r="U24" s="1578">
        <f>H24</f>
        <v>100</v>
      </c>
      <c r="V24" s="1577" t="s">
        <v>8</v>
      </c>
      <c r="W24" s="1578">
        <f>J24</f>
        <v>100</v>
      </c>
      <c r="X24" s="1571"/>
      <c r="Y24" s="3354"/>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54"/>
      <c r="Q25" s="1154">
        <f t="shared" si="11"/>
        <v>111</v>
      </c>
      <c r="R25" s="1572" t="s">
        <v>8</v>
      </c>
      <c r="S25" s="1573">
        <f>F25</f>
        <v>100</v>
      </c>
      <c r="T25" s="1572" t="s">
        <v>8</v>
      </c>
      <c r="U25" s="1573">
        <f>H25</f>
        <v>100</v>
      </c>
      <c r="V25" s="1572" t="s">
        <v>8</v>
      </c>
      <c r="W25" s="1573">
        <f>J25</f>
        <v>100</v>
      </c>
      <c r="X25" s="1574"/>
      <c r="Y25" s="3354"/>
      <c r="Z25" s="1153">
        <f>Q25</f>
        <v>111</v>
      </c>
      <c r="AA25" s="1580">
        <f>D25/F25</f>
        <v>1</v>
      </c>
      <c r="AB25" s="1580">
        <f>D25/H25</f>
        <v>1</v>
      </c>
      <c r="AC25" s="1580">
        <f>D25/J25</f>
        <v>1</v>
      </c>
    </row>
    <row r="26" spans="1:29" ht="15">
      <c r="A26" s="2939" t="s">
        <v>2763</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55"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56"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56"/>
      <c r="Q27" s="1609" t="str">
        <f t="shared" si="11"/>
        <v>成新率</v>
      </c>
      <c r="R27" s="1581" t="s">
        <v>8</v>
      </c>
      <c r="S27" s="1582" t="e">
        <f t="shared" si="12"/>
        <v>#N/A</v>
      </c>
      <c r="T27" s="1581" t="s">
        <v>8</v>
      </c>
      <c r="U27" s="1582" t="e">
        <f t="shared" si="13"/>
        <v>#N/A</v>
      </c>
      <c r="V27" s="1581" t="s">
        <v>8</v>
      </c>
      <c r="W27" s="1582" t="e">
        <f t="shared" si="14"/>
        <v>#N/A</v>
      </c>
      <c r="X27" s="1583"/>
      <c r="Y27" s="3356"/>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56"/>
      <c r="Q28" s="1576" t="str">
        <f t="shared" si="11"/>
        <v>物业等级</v>
      </c>
      <c r="R28" s="1577" t="s">
        <v>8</v>
      </c>
      <c r="S28" s="1578">
        <f t="shared" si="12"/>
        <v>100</v>
      </c>
      <c r="T28" s="1577" t="s">
        <v>8</v>
      </c>
      <c r="U28" s="1578">
        <f t="shared" si="13"/>
        <v>100</v>
      </c>
      <c r="V28" s="1577" t="s">
        <v>8</v>
      </c>
      <c r="W28" s="1578">
        <f t="shared" si="14"/>
        <v>100</v>
      </c>
      <c r="X28" s="1571"/>
      <c r="Y28" s="3356"/>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56"/>
      <c r="Q29" s="1576" t="str">
        <f t="shared" si="11"/>
        <v>有无电梯</v>
      </c>
      <c r="R29" s="1577" t="s">
        <v>8</v>
      </c>
      <c r="S29" s="1578">
        <f t="shared" si="12"/>
        <v>100</v>
      </c>
      <c r="T29" s="1577" t="s">
        <v>8</v>
      </c>
      <c r="U29" s="1578">
        <f t="shared" si="13"/>
        <v>100</v>
      </c>
      <c r="V29" s="1577" t="s">
        <v>8</v>
      </c>
      <c r="W29" s="1578">
        <f t="shared" si="14"/>
        <v>100</v>
      </c>
      <c r="X29" s="1571"/>
      <c r="Y29" s="3356"/>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56"/>
      <c r="Q30" s="1576" t="str">
        <f t="shared" si="11"/>
        <v>建筑面积</v>
      </c>
      <c r="R30" s="1577" t="s">
        <v>8</v>
      </c>
      <c r="S30" s="1578" t="e">
        <f t="shared" si="12"/>
        <v>#N/A</v>
      </c>
      <c r="T30" s="1577" t="s">
        <v>8</v>
      </c>
      <c r="U30" s="1578" t="e">
        <f t="shared" si="13"/>
        <v>#N/A</v>
      </c>
      <c r="V30" s="1577" t="s">
        <v>8</v>
      </c>
      <c r="W30" s="1578" t="e">
        <f t="shared" si="14"/>
        <v>#N/A</v>
      </c>
      <c r="X30" s="1571"/>
      <c r="Y30" s="3356"/>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56"/>
      <c r="Q31" s="1154" t="str">
        <f t="shared" si="11"/>
        <v>是否封闭</v>
      </c>
      <c r="R31" s="1572" t="s">
        <v>8</v>
      </c>
      <c r="S31" s="1573">
        <f t="shared" si="12"/>
        <v>100</v>
      </c>
      <c r="T31" s="1572" t="s">
        <v>8</v>
      </c>
      <c r="U31" s="1573">
        <f t="shared" si="13"/>
        <v>100</v>
      </c>
      <c r="V31" s="1572" t="s">
        <v>8</v>
      </c>
      <c r="W31" s="1573">
        <f t="shared" si="14"/>
        <v>100</v>
      </c>
      <c r="X31" s="1574"/>
      <c r="Y31" s="3356"/>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56" t="s">
        <v>551</v>
      </c>
      <c r="Q32" s="1576">
        <f t="shared" si="11"/>
        <v>111</v>
      </c>
      <c r="R32" s="1577" t="s">
        <v>8</v>
      </c>
      <c r="S32" s="1578">
        <f t="shared" si="12"/>
        <v>100</v>
      </c>
      <c r="T32" s="1577" t="s">
        <v>8</v>
      </c>
      <c r="U32" s="1578">
        <f t="shared" si="13"/>
        <v>100</v>
      </c>
      <c r="V32" s="1577" t="s">
        <v>8</v>
      </c>
      <c r="W32" s="1578">
        <f t="shared" si="14"/>
        <v>100</v>
      </c>
      <c r="X32" s="1571"/>
      <c r="Y32" s="3356"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56"/>
      <c r="Q33" s="1576">
        <f t="shared" si="11"/>
        <v>111</v>
      </c>
      <c r="R33" s="1577" t="s">
        <v>8</v>
      </c>
      <c r="S33" s="1578">
        <f t="shared" si="12"/>
        <v>100</v>
      </c>
      <c r="T33" s="1577" t="s">
        <v>8</v>
      </c>
      <c r="U33" s="1578">
        <f t="shared" si="13"/>
        <v>100</v>
      </c>
      <c r="V33" s="1577" t="s">
        <v>8</v>
      </c>
      <c r="W33" s="1578">
        <f t="shared" si="14"/>
        <v>100</v>
      </c>
      <c r="X33" s="1571"/>
      <c r="Y33" s="3356"/>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56"/>
      <c r="Q34" s="1576">
        <f t="shared" si="11"/>
        <v>111</v>
      </c>
      <c r="R34" s="1577" t="s">
        <v>8</v>
      </c>
      <c r="S34" s="1578">
        <f t="shared" si="12"/>
        <v>100</v>
      </c>
      <c r="T34" s="1577" t="s">
        <v>8</v>
      </c>
      <c r="U34" s="1578">
        <f t="shared" si="13"/>
        <v>100</v>
      </c>
      <c r="V34" s="1577" t="s">
        <v>8</v>
      </c>
      <c r="W34" s="1578">
        <f t="shared" si="14"/>
        <v>100</v>
      </c>
      <c r="X34" s="1571"/>
      <c r="Y34" s="3356"/>
      <c r="Z34" s="1579">
        <f t="shared" si="15"/>
        <v>111</v>
      </c>
      <c r="AA34" s="1580">
        <f t="shared" si="3"/>
        <v>1</v>
      </c>
      <c r="AB34" s="1580">
        <f t="shared" si="4"/>
        <v>1</v>
      </c>
      <c r="AC34" s="1580">
        <f t="shared" si="5"/>
        <v>1</v>
      </c>
    </row>
    <row r="35" spans="1:29" ht="15">
      <c r="A35" s="610" t="s">
        <v>737</v>
      </c>
      <c r="B35" s="890"/>
      <c r="C35" s="2655" t="s">
        <v>1</v>
      </c>
      <c r="D35" s="2656"/>
      <c r="E35" s="2657"/>
      <c r="F35" s="2658"/>
      <c r="G35" s="2659"/>
      <c r="H35" s="2660"/>
      <c r="I35" s="2657"/>
      <c r="J35" s="2660"/>
      <c r="K35" s="1615"/>
      <c r="L35" s="2148"/>
      <c r="M35" s="2149"/>
      <c r="N35" s="2138"/>
      <c r="O35" s="2149"/>
      <c r="P35" s="3351" t="str">
        <f>A35</f>
        <v>成交单价（元/平方米）</v>
      </c>
      <c r="Q35" s="3351"/>
      <c r="R35" s="3352">
        <f>E35</f>
        <v>0</v>
      </c>
      <c r="S35" s="3352"/>
      <c r="T35" s="3352">
        <f>G35</f>
        <v>0</v>
      </c>
      <c r="U35" s="3352"/>
      <c r="V35" s="3352">
        <f>I35</f>
        <v>0</v>
      </c>
      <c r="W35" s="3352"/>
      <c r="X35" s="1563"/>
      <c r="Y35" s="1585"/>
      <c r="Z35" s="1563"/>
      <c r="AA35" s="1563"/>
      <c r="AB35" s="1563"/>
      <c r="AC35" s="1563"/>
    </row>
    <row r="36" spans="1:29" ht="15.75" thickBot="1">
      <c r="A36" s="618" t="s">
        <v>2768</v>
      </c>
      <c r="B36" s="891"/>
      <c r="C36" s="2661" t="e">
        <f>R37</f>
        <v>#DIV/0!</v>
      </c>
      <c r="D36" s="2662"/>
      <c r="E36" s="2663" t="e">
        <f>R36</f>
        <v>#DIV/0!</v>
      </c>
      <c r="F36" s="2663"/>
      <c r="G36" s="2661" t="e">
        <f>T36</f>
        <v>#DIV/0!</v>
      </c>
      <c r="H36" s="2662"/>
      <c r="I36" s="2663" t="e">
        <f>V36</f>
        <v>#DIV/0!</v>
      </c>
      <c r="J36" s="2662"/>
      <c r="K36" s="1616"/>
      <c r="L36" s="2148"/>
      <c r="M36" s="2149"/>
      <c r="N36" s="2138"/>
      <c r="O36" s="2149"/>
      <c r="P36" s="3351" t="str">
        <f>A36</f>
        <v>比较价格（元/平方米）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1563"/>
      <c r="Y36" s="1563"/>
      <c r="Z36" s="1563"/>
      <c r="AA36" s="1563"/>
      <c r="AB36" s="1563"/>
      <c r="AC36" s="1563"/>
    </row>
    <row r="37" spans="1:29" ht="15.75" thickBot="1">
      <c r="A37" s="624" t="s">
        <v>2942</v>
      </c>
      <c r="B37" s="625"/>
      <c r="C37" s="2664" t="e">
        <f>R37</f>
        <v>#DIV/0!</v>
      </c>
      <c r="D37" s="2664"/>
      <c r="E37" s="2664"/>
      <c r="F37" s="2664"/>
      <c r="G37" s="2664"/>
      <c r="H37" s="2664"/>
      <c r="I37" s="2664"/>
      <c r="J37" s="2664"/>
      <c r="K37" s="1617"/>
      <c r="L37" s="2148"/>
      <c r="M37" s="2149"/>
      <c r="N37" s="2149"/>
      <c r="O37" s="2149"/>
      <c r="P37" s="3348" t="str">
        <f>A37</f>
        <v>估价对象XX用房的比较价格（楼面单价，元/平方米）</v>
      </c>
      <c r="Q37" s="3349"/>
      <c r="R37" s="3350" t="e">
        <f>IF(F1="售价",ROUND(AVERAGE(R36:V36),0),ROUND(AVERAGE(R36:V36),1))</f>
        <v>#DIV/0!</v>
      </c>
      <c r="S37" s="3350"/>
      <c r="T37" s="3350"/>
      <c r="U37" s="3350"/>
      <c r="V37" s="3350"/>
      <c r="W37" s="3350"/>
      <c r="X37" s="1563"/>
      <c r="Y37" s="1563"/>
      <c r="Z37" s="1563"/>
      <c r="AA37" s="1563"/>
      <c r="AB37" s="1563"/>
      <c r="AC37" s="1563"/>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8" t="s">
        <v>575</v>
      </c>
      <c r="B45" s="1563"/>
      <c r="C45" s="1587"/>
      <c r="D45" s="1587"/>
      <c r="E45" s="1587"/>
      <c r="F45" s="1589"/>
      <c r="G45" s="1589"/>
      <c r="H45" s="1587"/>
      <c r="I45" s="1587"/>
      <c r="J45" s="1587"/>
      <c r="K45" s="1590"/>
      <c r="L45" s="1586"/>
      <c r="M45" s="1587"/>
      <c r="N45" s="1587"/>
      <c r="O45" s="1587"/>
      <c r="P45" s="2161"/>
      <c r="Q45" s="2162"/>
      <c r="R45" s="2149"/>
      <c r="S45" s="2149"/>
      <c r="T45" s="2149"/>
      <c r="U45" s="2149"/>
      <c r="V45" s="2149"/>
      <c r="W45" s="2149"/>
      <c r="X45" s="2149"/>
      <c r="Y45" s="2149"/>
      <c r="Z45" s="2149"/>
      <c r="AA45" s="2149"/>
      <c r="AB45" s="2149"/>
      <c r="AC45" s="2149"/>
    </row>
    <row r="46" spans="1:29" s="1350" customFormat="1" ht="15">
      <c r="A46" s="648" t="s">
        <v>530</v>
      </c>
      <c r="B46" s="649"/>
      <c r="C46" s="2834" t="str">
        <f>YEAR(C7)&amp;"-"&amp;MONTH(C7)</f>
        <v>2017-10</v>
      </c>
      <c r="D46" s="2836">
        <f>EDATE(C46,-1)</f>
        <v>42979</v>
      </c>
      <c r="E46" s="2836">
        <f t="shared" ref="E46:O46" si="16">EDATE(D46,-1)</f>
        <v>42948</v>
      </c>
      <c r="F46" s="2836">
        <f t="shared" si="16"/>
        <v>42917</v>
      </c>
      <c r="G46" s="2836">
        <f t="shared" si="16"/>
        <v>42887</v>
      </c>
      <c r="H46" s="2836">
        <f t="shared" si="16"/>
        <v>42856</v>
      </c>
      <c r="I46" s="2836">
        <f t="shared" si="16"/>
        <v>42826</v>
      </c>
      <c r="J46" s="2836">
        <f t="shared" si="16"/>
        <v>42795</v>
      </c>
      <c r="K46" s="2836">
        <f t="shared" si="16"/>
        <v>42767</v>
      </c>
      <c r="L46" s="2836">
        <f t="shared" si="16"/>
        <v>42736</v>
      </c>
      <c r="M46" s="2836">
        <f t="shared" si="16"/>
        <v>42705</v>
      </c>
      <c r="N46" s="2836">
        <f t="shared" si="16"/>
        <v>42675</v>
      </c>
      <c r="O46" s="2836">
        <f t="shared" si="16"/>
        <v>42644</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2564</v>
      </c>
      <c r="C65" s="2626" t="s">
        <v>2565</v>
      </c>
      <c r="D65" s="2626" t="s">
        <v>2566</v>
      </c>
      <c r="E65" s="2626" t="s">
        <v>2567</v>
      </c>
      <c r="F65" s="2626" t="s">
        <v>2568</v>
      </c>
      <c r="G65" s="2626" t="s">
        <v>2569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8" t="s">
        <v>2307</v>
      </c>
      <c r="C1" s="3469" t="s">
        <v>2308</v>
      </c>
      <c r="D1" s="3470"/>
      <c r="E1" s="3470"/>
      <c r="F1" s="3470"/>
      <c r="G1" s="3470"/>
      <c r="H1" s="3470"/>
      <c r="I1" s="3470"/>
      <c r="J1" s="3470"/>
      <c r="K1" s="3470"/>
      <c r="L1" s="3470"/>
      <c r="M1" s="3470"/>
      <c r="N1" s="3470"/>
      <c r="O1" s="3470"/>
      <c r="P1" s="3470"/>
      <c r="Q1" s="3470"/>
      <c r="R1" s="3470"/>
      <c r="S1" s="3471"/>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22"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4" t="s">
        <v>2934</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4" t="s">
        <v>2933</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3"/>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2"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2"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2"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466" t="s">
        <v>20</v>
      </c>
      <c r="D22" s="3467"/>
      <c r="E22" s="3467"/>
      <c r="F22" s="3467"/>
      <c r="G22" s="3467"/>
      <c r="H22" s="3467"/>
      <c r="I22" s="3467"/>
      <c r="J22" s="3467"/>
      <c r="K22" s="3467"/>
      <c r="L22" s="3467"/>
      <c r="M22" s="3467"/>
      <c r="N22" s="3467"/>
      <c r="O22" s="3467"/>
      <c r="P22" s="3467"/>
      <c r="Q22" s="3468"/>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2796</v>
      </c>
      <c r="C1" s="3036">
        <f>项目基本情况!D3</f>
        <v>43021</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2827</v>
      </c>
      <c r="C2" s="3037">
        <f>'数据-取费表'!B22</f>
        <v>2</v>
      </c>
      <c r="D2" s="3032" t="s">
        <v>2797</v>
      </c>
      <c r="E2" s="3035">
        <f ca="1">INDIRECT("I"&amp;$I$1)/100</f>
        <v>4.7500000000000001E-2</v>
      </c>
      <c r="G2" s="2972"/>
      <c r="H2" s="2972"/>
      <c r="I2" s="2972" t="s">
        <v>2798</v>
      </c>
      <c r="K2" s="2972"/>
      <c r="L2" s="2972"/>
      <c r="M2" s="2972"/>
      <c r="N2" s="2972" t="s">
        <v>2799</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2829</v>
      </c>
      <c r="C3" s="3034">
        <f>'数据-取费表'!B19</f>
        <v>0</v>
      </c>
      <c r="D3" s="3032" t="s">
        <v>2797</v>
      </c>
      <c r="E3" s="3035">
        <f ca="1">INDIRECT("J"&amp;$J$1)/100</f>
        <v>0</v>
      </c>
      <c r="G3" s="2974" t="s">
        <v>2800</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2828</v>
      </c>
      <c r="C4" s="3035">
        <f ca="1">N4/100</f>
        <v>1.4999999999999999E-2</v>
      </c>
      <c r="G4" s="2980" t="s">
        <v>2801</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2802</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2803</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2804</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2805</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2806</v>
      </c>
      <c r="C10" s="2999"/>
      <c r="D10" s="2999"/>
      <c r="E10" s="2999"/>
      <c r="F10" s="2999"/>
      <c r="G10" s="2999"/>
      <c r="H10" s="2999"/>
      <c r="I10" s="2973"/>
      <c r="J10" s="2973"/>
      <c r="K10" s="2999"/>
      <c r="L10" s="3000" t="s">
        <v>2807</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2808</v>
      </c>
      <c r="C11" s="3004" t="s">
        <v>2809</v>
      </c>
      <c r="D11" s="3005" t="s">
        <v>2810</v>
      </c>
      <c r="E11" s="3006"/>
      <c r="F11" s="3005" t="s">
        <v>2811</v>
      </c>
      <c r="G11" s="3007"/>
      <c r="H11" s="3006"/>
      <c r="I11" s="3005" t="s">
        <v>2812</v>
      </c>
      <c r="J11" s="3006"/>
      <c r="K11" s="3002"/>
      <c r="L11" s="3003" t="s">
        <v>2808</v>
      </c>
      <c r="M11" s="3004" t="s">
        <v>2809</v>
      </c>
      <c r="N11" s="3003" t="s">
        <v>2813</v>
      </c>
      <c r="O11" s="3005" t="s">
        <v>2814</v>
      </c>
      <c r="P11" s="3007"/>
      <c r="Q11" s="3007"/>
      <c r="R11" s="3007"/>
      <c r="S11" s="3007"/>
      <c r="T11" s="3006"/>
      <c r="U11" s="3005" t="s">
        <v>2815</v>
      </c>
      <c r="V11" s="3007"/>
      <c r="W11" s="3006"/>
      <c r="X11" s="3003" t="s">
        <v>2816</v>
      </c>
      <c r="Y11" s="3003" t="s">
        <v>2817</v>
      </c>
      <c r="Z11" s="3003" t="s">
        <v>2818</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2819</v>
      </c>
      <c r="E12" s="3012" t="s">
        <v>2820</v>
      </c>
      <c r="F12" s="3012" t="s">
        <v>2821</v>
      </c>
      <c r="G12" s="3012" t="s">
        <v>2822</v>
      </c>
      <c r="H12" s="3012" t="s">
        <v>2804</v>
      </c>
      <c r="I12" s="3013" t="s">
        <v>2823</v>
      </c>
      <c r="J12" s="3013" t="s">
        <v>2823</v>
      </c>
      <c r="K12" s="3009"/>
      <c r="L12" s="3010"/>
      <c r="M12" s="3011"/>
      <c r="N12" s="3010"/>
      <c r="O12" s="3013" t="s">
        <v>2824</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2825</v>
      </c>
      <c r="C13" s="3017">
        <v>42301</v>
      </c>
      <c r="D13" s="3018">
        <v>4.3499999999999996</v>
      </c>
      <c r="E13" s="3018">
        <v>4.3499999999999996</v>
      </c>
      <c r="F13" s="3018">
        <v>4.75</v>
      </c>
      <c r="G13" s="3018">
        <v>4.75</v>
      </c>
      <c r="H13" s="3018">
        <v>4.9000000000000004</v>
      </c>
      <c r="I13" s="3018">
        <v>2.75</v>
      </c>
      <c r="J13" s="3018">
        <v>3.25</v>
      </c>
      <c r="K13" s="3015"/>
      <c r="L13" s="3016" t="s">
        <v>2825</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2826</v>
      </c>
      <c r="Y42" s="3022" t="s">
        <v>2826</v>
      </c>
      <c r="Z42" s="3022" t="s">
        <v>2826</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2826</v>
      </c>
      <c r="Y43" s="3022" t="s">
        <v>2826</v>
      </c>
      <c r="Z43" s="3022" t="s">
        <v>2826</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2826</v>
      </c>
      <c r="Y44" s="3022" t="s">
        <v>2826</v>
      </c>
      <c r="Z44" s="3022" t="s">
        <v>2826</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2826</v>
      </c>
      <c r="Y45" s="3022" t="s">
        <v>2826</v>
      </c>
      <c r="Z45" s="3022" t="s">
        <v>2826</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2826</v>
      </c>
      <c r="Y46" s="3022" t="s">
        <v>2826</v>
      </c>
      <c r="Z46" s="3022" t="s">
        <v>2826</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2826</v>
      </c>
      <c r="Y47" s="3022" t="s">
        <v>2826</v>
      </c>
      <c r="Z47" s="3022" t="s">
        <v>2826</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2826</v>
      </c>
      <c r="Y48" s="3022" t="s">
        <v>2826</v>
      </c>
      <c r="Z48" s="3022" t="s">
        <v>2826</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2826</v>
      </c>
      <c r="Y49" s="3022" t="s">
        <v>2826</v>
      </c>
      <c r="Z49" s="3022" t="s">
        <v>2826</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2826</v>
      </c>
      <c r="Y50" s="3022" t="s">
        <v>2826</v>
      </c>
      <c r="Z50" s="3022" t="s">
        <v>2826</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2826</v>
      </c>
      <c r="V51" s="3022" t="s">
        <v>2826</v>
      </c>
      <c r="W51" s="3022" t="s">
        <v>2826</v>
      </c>
      <c r="X51" s="3022" t="s">
        <v>2826</v>
      </c>
      <c r="Y51" s="3022" t="s">
        <v>2826</v>
      </c>
      <c r="Z51" s="3022" t="s">
        <v>2826</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2826</v>
      </c>
      <c r="J55" s="3022" t="s">
        <v>2826</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中信信托有限责任公司：</v>
      </c>
    </row>
    <row r="4" spans="1:4" ht="37.5">
      <c r="A4" s="1795" t="str">
        <f>"受贵公司委托，我公司对"&amp;项目基本情况!K2&amp;项目基本情况!B9&amp;"进行了预评估。"</f>
        <v>受贵公司委托，我公司对郑州市鸿宝南路南、姚店堤西路东出让国有建设用地使用权抵押价格进行了预评估。</v>
      </c>
    </row>
    <row r="5" spans="1:4" ht="18.75">
      <c r="A5" s="1798" t="s">
        <v>1907</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嘉智置业有限公司使用的、位于郑州市鸿宝南路南、姚店堤西路东出让国有建设用地使用权。根据《不动产权证》[豫（2017）郑州市不动产权第0125580号]，估价对象（分摊）出让国有建设用地使用权面积为54313.53平方米。根据《建设工程规划许可证》[]、《出让合同》[]，估价对象规划建筑面积为114058.41平方米。</v>
      </c>
    </row>
    <row r="7" spans="1:4" ht="93.75">
      <c r="A7" s="2905" t="s">
        <v>2756</v>
      </c>
    </row>
    <row r="8" spans="1:4" ht="18.75">
      <c r="A8" s="1798" t="s">
        <v>1908</v>
      </c>
    </row>
    <row r="9" spans="1:4" ht="93.75">
      <c r="A9" s="1800" t="str">
        <f>IF(项目基本情况!B8="抵押",IF(项目基本情况!B5=项目基本情况!B6,定义!C51,定义!B51),定义!D51)</f>
        <v>郑州泰禾置业集团有限公司拟使用郑州市鸿宝南路南、姚店堤西路东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2017年10月13日（评估专业人员勘察现场之日）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根据《不动产权证》[豫（2017）郑州市不动产权第0125580号]，本次评估估价对象证载（地类）用途为城镇住宅用地。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2077</v>
      </c>
    </row>
    <row r="20" spans="1:1" ht="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豫（2017）郑州市不动产权第0125580号]，估价对象（分摊）出让国有建设用地使用权面积为54313.53平方米。根据《建设工程规划许可证》[]、《出让合同》[]，估价对象规划建筑面积为114058.41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7" t="s">
        <v>2757</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10月13日，在规划利用条件下、设定土地开发程度为红线外“六通”、宗地内场地平整，设定用途为城镇住宅用地，剩余土地使用年限为住宅70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3" zoomScale="80" zoomScaleNormal="95" zoomScaleSheetLayoutView="80" workbookViewId="0">
      <selection activeCell="C40" sqref="C40"/>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142824</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12522</v>
      </c>
      <c r="C3" s="2065"/>
      <c r="D3" s="2598"/>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26296</v>
      </c>
      <c r="C4" s="2065"/>
      <c r="D4" s="2598"/>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1753</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68"/>
      <c r="AC5" s="431"/>
    </row>
    <row r="6" spans="1:30" ht="20.25">
      <c r="A6" s="515" t="s">
        <v>522</v>
      </c>
      <c r="B6" s="516"/>
      <c r="C6" s="3361" t="s">
        <v>523</v>
      </c>
      <c r="D6" s="3362"/>
      <c r="E6" s="3361" t="s">
        <v>524</v>
      </c>
      <c r="F6" s="3362"/>
      <c r="G6" s="3361" t="s">
        <v>525</v>
      </c>
      <c r="H6" s="3362"/>
      <c r="I6" s="3361" t="s">
        <v>526</v>
      </c>
      <c r="J6" s="3362"/>
      <c r="K6" s="517" t="s">
        <v>527</v>
      </c>
      <c r="L6" s="2137"/>
      <c r="M6" s="2136"/>
      <c r="N6" s="2136"/>
      <c r="O6" s="2138"/>
      <c r="P6" s="3365" t="s">
        <v>528</v>
      </c>
      <c r="Q6" s="3366"/>
      <c r="R6" s="3371" t="s">
        <v>524</v>
      </c>
      <c r="S6" s="3372"/>
      <c r="T6" s="3371" t="s">
        <v>525</v>
      </c>
      <c r="U6" s="3372"/>
      <c r="V6" s="3377" t="s">
        <v>526</v>
      </c>
      <c r="W6" s="3377"/>
      <c r="X6" s="1571"/>
      <c r="Y6" s="3371" t="s">
        <v>528</v>
      </c>
      <c r="Z6" s="3372"/>
      <c r="AA6" s="3358" t="s">
        <v>524</v>
      </c>
      <c r="AB6" s="3359" t="s">
        <v>525</v>
      </c>
      <c r="AC6" s="3358" t="s">
        <v>526</v>
      </c>
    </row>
    <row r="7" spans="1:30" ht="20.25">
      <c r="A7" s="518"/>
      <c r="B7" s="519"/>
      <c r="C7" s="3385" t="s">
        <v>3019</v>
      </c>
      <c r="D7" s="3381"/>
      <c r="E7" s="3380" t="s">
        <v>2937</v>
      </c>
      <c r="F7" s="3381"/>
      <c r="G7" s="3380" t="s">
        <v>2938</v>
      </c>
      <c r="H7" s="3381"/>
      <c r="I7" s="3380" t="s">
        <v>2939</v>
      </c>
      <c r="J7" s="3381"/>
      <c r="K7" s="517"/>
      <c r="L7" s="2137"/>
      <c r="M7" s="2136"/>
      <c r="N7" s="2136"/>
      <c r="O7" s="2138"/>
      <c r="P7" s="3367"/>
      <c r="Q7" s="3368"/>
      <c r="R7" s="3373"/>
      <c r="S7" s="3374"/>
      <c r="T7" s="3373"/>
      <c r="U7" s="3374"/>
      <c r="V7" s="3377"/>
      <c r="W7" s="3377"/>
      <c r="X7" s="1571"/>
      <c r="Y7" s="3373"/>
      <c r="Z7" s="3374"/>
      <c r="AA7" s="3359"/>
      <c r="AB7" s="3359"/>
      <c r="AC7" s="3359"/>
    </row>
    <row r="8" spans="1:30" ht="21" thickBot="1">
      <c r="A8" s="518"/>
      <c r="B8" s="519"/>
      <c r="C8" s="3472" t="s">
        <v>3020</v>
      </c>
      <c r="D8" s="3465"/>
      <c r="E8" s="3464" t="str">
        <f>土地案例!A2</f>
        <v>龙湖外环路东、龙翔八街北</v>
      </c>
      <c r="F8" s="3465"/>
      <c r="G8" s="3378" t="str">
        <f>土地案例!A3</f>
        <v>龙湖外环路西、龙翔七街南</v>
      </c>
      <c r="H8" s="3379"/>
      <c r="I8" s="3378" t="str">
        <f>土地案例!A4</f>
        <v>祭城路南、东风渠北</v>
      </c>
      <c r="J8" s="3379"/>
      <c r="K8" s="517" t="s">
        <v>529</v>
      </c>
      <c r="L8" s="2137"/>
      <c r="M8" s="2136"/>
      <c r="N8" s="2136"/>
      <c r="O8" s="2138"/>
      <c r="P8" s="3369"/>
      <c r="Q8" s="3370"/>
      <c r="R8" s="3373"/>
      <c r="S8" s="3374"/>
      <c r="T8" s="3375"/>
      <c r="U8" s="3376"/>
      <c r="V8" s="3377"/>
      <c r="W8" s="3377"/>
      <c r="X8" s="1571"/>
      <c r="Y8" s="3375"/>
      <c r="Z8" s="3376"/>
      <c r="AA8" s="3360"/>
      <c r="AB8" s="3360"/>
      <c r="AC8" s="3360"/>
    </row>
    <row r="9" spans="1:30" s="1223" customFormat="1" ht="21" thickBot="1">
      <c r="A9" s="2944"/>
      <c r="B9" s="2951" t="s">
        <v>530</v>
      </c>
      <c r="C9" s="2943">
        <f>'数据-取费表'!B2</f>
        <v>43021</v>
      </c>
      <c r="D9" s="523">
        <v>100</v>
      </c>
      <c r="E9" s="524">
        <f>土地案例!E2</f>
        <v>42461</v>
      </c>
      <c r="F9" s="525">
        <f>SUMIF(72:72,YEAR(E9)&amp;"-"&amp;INT((MONTH(E9)+2)/3),73:73)</f>
        <v>94</v>
      </c>
      <c r="G9" s="526">
        <f>土地案例!E3</f>
        <v>42291</v>
      </c>
      <c r="H9" s="523">
        <f>SUMIF(72:72,YEAR(G9)&amp;"-"&amp;INT((MONTH(G9)+2)/3),73:73)</f>
        <v>92</v>
      </c>
      <c r="I9" s="526">
        <f>土地案例!E4</f>
        <v>42376</v>
      </c>
      <c r="J9" s="523">
        <f>SUMIF(72:72,YEAR(I9)&amp;"-"&amp;INT((MONTH(I9)+2)/3),73:73)</f>
        <v>93</v>
      </c>
      <c r="K9" s="527"/>
      <c r="L9" s="2139"/>
      <c r="M9" s="2136"/>
      <c r="N9" s="2136"/>
      <c r="O9" s="2140"/>
      <c r="P9" s="3382" t="s">
        <v>531</v>
      </c>
      <c r="Q9" s="3384"/>
      <c r="R9" s="1572" t="s">
        <v>8</v>
      </c>
      <c r="S9" s="1573">
        <f t="shared" ref="S9:S17" si="0">F9</f>
        <v>94</v>
      </c>
      <c r="T9" s="1572" t="s">
        <v>8</v>
      </c>
      <c r="U9" s="1573">
        <f t="shared" ref="U9:U17" si="1">H9</f>
        <v>92</v>
      </c>
      <c r="V9" s="1572" t="s">
        <v>8</v>
      </c>
      <c r="W9" s="1573">
        <f t="shared" ref="W9:W17" si="2">J9</f>
        <v>93</v>
      </c>
      <c r="X9" s="1574"/>
      <c r="Y9" s="3382" t="s">
        <v>531</v>
      </c>
      <c r="Z9" s="3383"/>
      <c r="AA9" s="1575">
        <f>D9/F9</f>
        <v>1.0638297872340425</v>
      </c>
      <c r="AB9" s="1575">
        <f>D9/H9</f>
        <v>1.0869565217391304</v>
      </c>
      <c r="AC9" s="1575">
        <f>D9/J9</f>
        <v>1.075268817204301</v>
      </c>
    </row>
    <row r="10" spans="1:30" s="1223" customFormat="1" ht="21" thickBot="1">
      <c r="A10" s="2945"/>
      <c r="B10" s="2952" t="s">
        <v>532</v>
      </c>
      <c r="C10" s="859" t="s">
        <v>533</v>
      </c>
      <c r="D10" s="523">
        <v>100</v>
      </c>
      <c r="E10" s="528" t="s">
        <v>3021</v>
      </c>
      <c r="F10" s="525">
        <f>SUMIF(75:75,E10,76:76)-SUMIF(75:75,C10,76:76)+100</f>
        <v>100</v>
      </c>
      <c r="G10" s="528" t="s">
        <v>3021</v>
      </c>
      <c r="H10" s="523">
        <f>SUMIF(75:75,G10,76:76)-SUMIF(75:75,C10,76:76)+100</f>
        <v>100</v>
      </c>
      <c r="I10" s="528" t="s">
        <v>3021</v>
      </c>
      <c r="J10" s="523">
        <f>SUMIF(75:75,I10,76:76)-SUMIF(75:75,C10,76:76)+100</f>
        <v>100</v>
      </c>
      <c r="K10" s="527"/>
      <c r="L10" s="2139"/>
      <c r="M10" s="2136"/>
      <c r="N10" s="2136"/>
      <c r="O10" s="2140"/>
      <c r="P10" s="3382" t="s">
        <v>534</v>
      </c>
      <c r="Q10" s="3383"/>
      <c r="R10" s="1572" t="s">
        <v>8</v>
      </c>
      <c r="S10" s="1573">
        <f t="shared" si="0"/>
        <v>100</v>
      </c>
      <c r="T10" s="1572" t="s">
        <v>8</v>
      </c>
      <c r="U10" s="1573">
        <f t="shared" si="1"/>
        <v>100</v>
      </c>
      <c r="V10" s="1572" t="s">
        <v>8</v>
      </c>
      <c r="W10" s="1573">
        <f t="shared" si="2"/>
        <v>100</v>
      </c>
      <c r="X10" s="1574"/>
      <c r="Y10" s="3382" t="s">
        <v>534</v>
      </c>
      <c r="Z10" s="3383"/>
      <c r="AA10" s="1575">
        <f t="shared" ref="AA10:AA47" si="3">D10/F10</f>
        <v>1</v>
      </c>
      <c r="AB10" s="1575">
        <f t="shared" ref="AB10:AB47" si="4">D10/H10</f>
        <v>1</v>
      </c>
      <c r="AC10" s="1575">
        <f t="shared" ref="AC10:AC47" si="5">D10/J10</f>
        <v>1</v>
      </c>
    </row>
    <row r="11" spans="1:30" s="1223" customFormat="1" ht="20.25">
      <c r="A11" s="2946"/>
      <c r="B11" s="2953" t="s">
        <v>2764</v>
      </c>
      <c r="C11" s="2940"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9"/>
      <c r="M11" s="2136"/>
      <c r="N11" s="2136"/>
      <c r="O11" s="2141"/>
      <c r="P11" s="3351" t="s">
        <v>536</v>
      </c>
      <c r="Q11" s="1154" t="str">
        <f t="shared" ref="Q11:Q17" si="6">B11</f>
        <v>用途</v>
      </c>
      <c r="R11" s="1572" t="s">
        <v>8</v>
      </c>
      <c r="S11" s="1573">
        <f t="shared" si="0"/>
        <v>100</v>
      </c>
      <c r="T11" s="1572" t="s">
        <v>8</v>
      </c>
      <c r="U11" s="1573">
        <f t="shared" si="1"/>
        <v>100</v>
      </c>
      <c r="V11" s="1572" t="s">
        <v>8</v>
      </c>
      <c r="W11" s="1573">
        <f t="shared" si="2"/>
        <v>100</v>
      </c>
      <c r="X11" s="1574"/>
      <c r="Y11" s="3297" t="s">
        <v>537</v>
      </c>
      <c r="Z11" s="1153" t="str">
        <f t="shared" ref="Z11:Z17" si="7">Q11</f>
        <v>用途</v>
      </c>
      <c r="AA11" s="1575">
        <f t="shared" si="3"/>
        <v>1</v>
      </c>
      <c r="AB11" s="1575">
        <f t="shared" si="4"/>
        <v>1</v>
      </c>
      <c r="AC11" s="1575">
        <f t="shared" si="5"/>
        <v>1</v>
      </c>
    </row>
    <row r="12" spans="1:30" s="1341" customFormat="1" ht="27">
      <c r="A12" s="2947"/>
      <c r="B12" s="2952" t="s">
        <v>2765</v>
      </c>
      <c r="C12" s="913">
        <v>70</v>
      </c>
      <c r="D12" s="255">
        <v>100</v>
      </c>
      <c r="E12" s="532" t="s">
        <v>3022</v>
      </c>
      <c r="F12" s="255">
        <f>ROUND(100/'数据-取费表'!G16,0)</f>
        <v>100</v>
      </c>
      <c r="G12" s="533" t="s">
        <v>3022</v>
      </c>
      <c r="H12" s="255">
        <f>ROUND(100/'数据-取费表'!G16,0)</f>
        <v>100</v>
      </c>
      <c r="I12" s="533" t="s">
        <v>3022</v>
      </c>
      <c r="J12" s="255">
        <f>ROUND(100/'数据-取费表'!G16,0)</f>
        <v>100</v>
      </c>
      <c r="K12" s="534"/>
      <c r="L12" s="2142"/>
      <c r="M12" s="2136"/>
      <c r="N12" s="2136"/>
      <c r="O12" s="2143"/>
      <c r="P12" s="3351"/>
      <c r="Q12" s="1154" t="str">
        <f t="shared" si="6"/>
        <v>土地使用年限（年）</v>
      </c>
      <c r="R12" s="1572" t="s">
        <v>8</v>
      </c>
      <c r="S12" s="1573">
        <f t="shared" si="0"/>
        <v>100</v>
      </c>
      <c r="T12" s="1572" t="s">
        <v>8</v>
      </c>
      <c r="U12" s="1573">
        <f t="shared" si="1"/>
        <v>100</v>
      </c>
      <c r="V12" s="1572" t="s">
        <v>8</v>
      </c>
      <c r="W12" s="1573">
        <f t="shared" si="2"/>
        <v>100</v>
      </c>
      <c r="X12" s="1574"/>
      <c r="Y12" s="3297"/>
      <c r="Z12" s="1153" t="str">
        <f t="shared" si="7"/>
        <v>土地使用年限（年）</v>
      </c>
      <c r="AA12" s="1575">
        <f t="shared" si="3"/>
        <v>1</v>
      </c>
      <c r="AB12" s="1575">
        <f t="shared" si="4"/>
        <v>1</v>
      </c>
      <c r="AC12" s="1575">
        <f t="shared" si="5"/>
        <v>1</v>
      </c>
    </row>
    <row r="13" spans="1:30" ht="20.25">
      <c r="A13" s="2948"/>
      <c r="B13" s="2952" t="s">
        <v>2766</v>
      </c>
      <c r="C13" s="537">
        <v>2.1</v>
      </c>
      <c r="D13" s="255">
        <v>100</v>
      </c>
      <c r="E13" s="536">
        <f>土地案例!D2</f>
        <v>2.5</v>
      </c>
      <c r="F13" s="255">
        <f>LOOKUP(E13,82:82,83:83)-LOOKUP(C13,82:82,83:83)+100</f>
        <v>100</v>
      </c>
      <c r="G13" s="537">
        <f>土地案例!D3</f>
        <v>2</v>
      </c>
      <c r="H13" s="255">
        <f>LOOKUP(G13,82:82,83:83)-LOOKUP(C13,82:82,83:83)+100</f>
        <v>100</v>
      </c>
      <c r="I13" s="536">
        <f>土地案例!D4</f>
        <v>2.5</v>
      </c>
      <c r="J13" s="255">
        <f>LOOKUP(I13,82:82,83:83)-LOOKUP(C13,82:82,83:83)+100</f>
        <v>100</v>
      </c>
      <c r="K13" s="538">
        <v>1</v>
      </c>
      <c r="L13" s="2144"/>
      <c r="M13" s="2136"/>
      <c r="N13" s="2136"/>
      <c r="O13" s="2145"/>
      <c r="P13" s="3351"/>
      <c r="Q13" s="1154" t="str">
        <f t="shared" si="6"/>
        <v>容积率</v>
      </c>
      <c r="R13" s="1572" t="s">
        <v>8</v>
      </c>
      <c r="S13" s="1573">
        <f t="shared" si="0"/>
        <v>100</v>
      </c>
      <c r="T13" s="1572" t="s">
        <v>8</v>
      </c>
      <c r="U13" s="1573">
        <f t="shared" si="1"/>
        <v>100</v>
      </c>
      <c r="V13" s="1572" t="s">
        <v>8</v>
      </c>
      <c r="W13" s="1573">
        <f t="shared" si="2"/>
        <v>100</v>
      </c>
      <c r="X13" s="1574"/>
      <c r="Y13" s="3297"/>
      <c r="Z13" s="1153" t="str">
        <f t="shared" si="7"/>
        <v>容积率</v>
      </c>
      <c r="AA13" s="1575">
        <f t="shared" si="3"/>
        <v>1</v>
      </c>
      <c r="AB13" s="1575">
        <f t="shared" si="4"/>
        <v>1</v>
      </c>
      <c r="AC13" s="1575">
        <f t="shared" si="5"/>
        <v>1</v>
      </c>
    </row>
    <row r="14" spans="1:30" s="1223" customFormat="1" ht="20.25">
      <c r="A14" s="2945"/>
      <c r="B14" s="2954" t="s">
        <v>2767</v>
      </c>
      <c r="C14" s="2941"/>
      <c r="D14" s="541">
        <v>100</v>
      </c>
      <c r="E14" s="1378"/>
      <c r="F14" s="255">
        <f>SUMIF(84:84,E14,85:85)-SUMIF(84:84,C14,85:85)+100</f>
        <v>100</v>
      </c>
      <c r="G14" s="533"/>
      <c r="H14" s="255">
        <f>SUMIF(84:84,G14,85:85)-SUMIF(84:84,C14,85:85)+100</f>
        <v>100</v>
      </c>
      <c r="I14" s="532"/>
      <c r="J14" s="255">
        <f>SUMIF(84:84,I14,85:85)-SUMIF(84:84,C14,85:85)+100</f>
        <v>100</v>
      </c>
      <c r="K14" s="534"/>
      <c r="L14" s="2139"/>
      <c r="M14" s="2136"/>
      <c r="N14" s="2136"/>
      <c r="O14" s="2141"/>
      <c r="P14" s="3351"/>
      <c r="Q14" s="1154" t="str">
        <f t="shared" si="6"/>
        <v>配建</v>
      </c>
      <c r="R14" s="1572" t="s">
        <v>8</v>
      </c>
      <c r="S14" s="1573">
        <f t="shared" si="0"/>
        <v>100</v>
      </c>
      <c r="T14" s="1572" t="s">
        <v>8</v>
      </c>
      <c r="U14" s="1573">
        <f t="shared" si="1"/>
        <v>100</v>
      </c>
      <c r="V14" s="1572" t="s">
        <v>8</v>
      </c>
      <c r="W14" s="1573">
        <f t="shared" si="2"/>
        <v>100</v>
      </c>
      <c r="X14" s="1574"/>
      <c r="Y14" s="3297"/>
      <c r="Z14" s="1153" t="str">
        <f t="shared" si="7"/>
        <v>配建</v>
      </c>
      <c r="AA14" s="1575">
        <f>D14/F14</f>
        <v>1</v>
      </c>
      <c r="AB14" s="1575">
        <f>D14/H14</f>
        <v>1</v>
      </c>
      <c r="AC14" s="1575">
        <f>D14/J14</f>
        <v>1</v>
      </c>
    </row>
    <row r="15" spans="1:30" ht="20.25">
      <c r="A15" s="2949"/>
      <c r="B15" s="2955">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51"/>
      <c r="Q15" s="1154">
        <f t="shared" si="6"/>
        <v>111</v>
      </c>
      <c r="R15" s="1572" t="s">
        <v>8</v>
      </c>
      <c r="S15" s="1573">
        <f t="shared" si="0"/>
        <v>100</v>
      </c>
      <c r="T15" s="1572" t="s">
        <v>8</v>
      </c>
      <c r="U15" s="1573">
        <f t="shared" si="1"/>
        <v>100</v>
      </c>
      <c r="V15" s="1572" t="s">
        <v>8</v>
      </c>
      <c r="W15" s="1573">
        <f t="shared" si="2"/>
        <v>100</v>
      </c>
      <c r="X15" s="1574"/>
      <c r="Y15" s="3297"/>
      <c r="Z15" s="1153">
        <f t="shared" si="7"/>
        <v>111</v>
      </c>
      <c r="AA15" s="1575">
        <f>D15/F15</f>
        <v>1</v>
      </c>
      <c r="AB15" s="1575">
        <f>D15/H15</f>
        <v>1</v>
      </c>
      <c r="AC15" s="1575">
        <f>D15/J15</f>
        <v>1</v>
      </c>
    </row>
    <row r="16" spans="1:30" ht="21" thickBot="1">
      <c r="A16" s="2950"/>
      <c r="B16" s="2956">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51"/>
      <c r="Q16" s="1154">
        <f t="shared" si="6"/>
        <v>111</v>
      </c>
      <c r="R16" s="1572" t="s">
        <v>8</v>
      </c>
      <c r="S16" s="1573">
        <f t="shared" si="0"/>
        <v>100</v>
      </c>
      <c r="T16" s="1572" t="s">
        <v>8</v>
      </c>
      <c r="U16" s="1573">
        <f t="shared" si="1"/>
        <v>100</v>
      </c>
      <c r="V16" s="1572" t="s">
        <v>8</v>
      </c>
      <c r="W16" s="1573">
        <f t="shared" si="2"/>
        <v>100</v>
      </c>
      <c r="X16" s="1574"/>
      <c r="Y16" s="3297"/>
      <c r="Z16" s="1153">
        <f t="shared" si="7"/>
        <v>111</v>
      </c>
      <c r="AA16" s="1575">
        <f>D16/F16</f>
        <v>1</v>
      </c>
      <c r="AB16" s="1575">
        <f>D16/H16</f>
        <v>1</v>
      </c>
      <c r="AC16" s="1575">
        <f>D16/J16</f>
        <v>1</v>
      </c>
    </row>
    <row r="17" spans="1:29" ht="99.75">
      <c r="A17" s="2942"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102</v>
      </c>
      <c r="G17" s="553"/>
      <c r="H17" s="552">
        <f>SUMIF(90:90,G18,91:91)-SUMIF(90:90,C18,91:91)+100</f>
        <v>102</v>
      </c>
      <c r="I17" s="555"/>
      <c r="J17" s="552">
        <f>SUMIF(90:90,I18,91:91)-SUMIF(90:90,C18,91:91)+100</f>
        <v>102</v>
      </c>
      <c r="K17" s="538">
        <v>2</v>
      </c>
      <c r="L17" s="2146"/>
      <c r="M17" s="2136"/>
      <c r="N17" s="2136"/>
      <c r="O17" s="2145"/>
      <c r="P17" s="3353" t="s">
        <v>541</v>
      </c>
      <c r="Q17" s="1576" t="str">
        <f t="shared" si="6"/>
        <v>居住社区成熟度</v>
      </c>
      <c r="R17" s="1577" t="s">
        <v>8</v>
      </c>
      <c r="S17" s="1578">
        <f t="shared" si="0"/>
        <v>102</v>
      </c>
      <c r="T17" s="1577" t="s">
        <v>8</v>
      </c>
      <c r="U17" s="1578">
        <f t="shared" si="1"/>
        <v>102</v>
      </c>
      <c r="V17" s="1577" t="s">
        <v>8</v>
      </c>
      <c r="W17" s="1578">
        <f t="shared" si="2"/>
        <v>102</v>
      </c>
      <c r="X17" s="1571"/>
      <c r="Y17" s="3353"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3035</v>
      </c>
      <c r="D18" s="560"/>
      <c r="E18" s="561" t="s">
        <v>3036</v>
      </c>
      <c r="F18" s="558"/>
      <c r="G18" s="559" t="s">
        <v>3036</v>
      </c>
      <c r="H18" s="562"/>
      <c r="I18" s="561" t="s">
        <v>3036</v>
      </c>
      <c r="J18" s="558"/>
      <c r="K18" s="534"/>
      <c r="L18" s="2146"/>
      <c r="M18" s="2136"/>
      <c r="N18" s="2136"/>
      <c r="O18" s="2145"/>
      <c r="P18" s="3354"/>
      <c r="Q18" s="1576"/>
      <c r="R18" s="1577"/>
      <c r="S18" s="1578"/>
      <c r="T18" s="1577"/>
      <c r="U18" s="1578"/>
      <c r="V18" s="1577"/>
      <c r="W18" s="1578"/>
      <c r="X18" s="1571"/>
      <c r="Y18" s="3354"/>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46"/>
      <c r="M19" s="2136"/>
      <c r="N19" s="2136"/>
      <c r="O19" s="2145"/>
      <c r="P19" s="3354"/>
      <c r="Q19" s="1576" t="str">
        <f>B19</f>
        <v>商业繁华度</v>
      </c>
      <c r="R19" s="1577" t="s">
        <v>8</v>
      </c>
      <c r="S19" s="1578">
        <f>F19</f>
        <v>100</v>
      </c>
      <c r="T19" s="1577" t="s">
        <v>8</v>
      </c>
      <c r="U19" s="1578">
        <f>H19</f>
        <v>100</v>
      </c>
      <c r="V19" s="1577" t="s">
        <v>8</v>
      </c>
      <c r="W19" s="1578">
        <f>J19</f>
        <v>100</v>
      </c>
      <c r="X19" s="1571"/>
      <c r="Y19" s="3354"/>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6"/>
      <c r="M20" s="2136"/>
      <c r="N20" s="2136"/>
      <c r="O20" s="2145"/>
      <c r="P20" s="3354"/>
      <c r="Q20" s="1576"/>
      <c r="R20" s="1577"/>
      <c r="S20" s="1578"/>
      <c r="T20" s="1577"/>
      <c r="U20" s="1578"/>
      <c r="V20" s="1577"/>
      <c r="W20" s="1578"/>
      <c r="X20" s="1571"/>
      <c r="Y20" s="3354"/>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2</v>
      </c>
      <c r="L21" s="2146"/>
      <c r="M21" s="2136"/>
      <c r="N21" s="2136"/>
      <c r="O21" s="2145"/>
      <c r="P21" s="3354"/>
      <c r="Q21" s="1576" t="str">
        <f>B21</f>
        <v>办公集聚程度</v>
      </c>
      <c r="R21" s="1577" t="s">
        <v>8</v>
      </c>
      <c r="S21" s="1578">
        <f>F21</f>
        <v>100</v>
      </c>
      <c r="T21" s="1577" t="s">
        <v>8</v>
      </c>
      <c r="U21" s="1578">
        <f>H21</f>
        <v>100</v>
      </c>
      <c r="V21" s="1577" t="s">
        <v>8</v>
      </c>
      <c r="W21" s="1578">
        <f>J21</f>
        <v>100</v>
      </c>
      <c r="X21" s="1571"/>
      <c r="Y21" s="3354"/>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6"/>
      <c r="M22" s="2136"/>
      <c r="N22" s="2136"/>
      <c r="O22" s="2145"/>
      <c r="P22" s="3354"/>
      <c r="Q22" s="1576"/>
      <c r="R22" s="1577"/>
      <c r="S22" s="1578"/>
      <c r="T22" s="1577"/>
      <c r="U22" s="1578"/>
      <c r="V22" s="1577"/>
      <c r="W22" s="1578"/>
      <c r="X22" s="1571"/>
      <c r="Y22" s="3354"/>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102</v>
      </c>
      <c r="I23" s="567"/>
      <c r="J23" s="562">
        <f>SUMIF(96:96,I24,97:97)-SUMIF(96:96,C24,97:97)+100</f>
        <v>102</v>
      </c>
      <c r="K23" s="538">
        <v>2</v>
      </c>
      <c r="L23" s="2146"/>
      <c r="M23" s="2136"/>
      <c r="N23" s="2136"/>
      <c r="O23" s="2145"/>
      <c r="P23" s="3354"/>
      <c r="Q23" s="1576" t="str">
        <f>B23</f>
        <v>交通便捷度</v>
      </c>
      <c r="R23" s="1577" t="s">
        <v>8</v>
      </c>
      <c r="S23" s="1578">
        <f>F23</f>
        <v>102</v>
      </c>
      <c r="T23" s="1577" t="s">
        <v>8</v>
      </c>
      <c r="U23" s="1578">
        <f>H23</f>
        <v>102</v>
      </c>
      <c r="V23" s="1577" t="s">
        <v>8</v>
      </c>
      <c r="W23" s="1578">
        <f>J23</f>
        <v>102</v>
      </c>
      <c r="X23" s="1571"/>
      <c r="Y23" s="3354"/>
      <c r="Z23" s="1579" t="str">
        <f>Q23</f>
        <v>交通便捷度</v>
      </c>
      <c r="AA23" s="1580">
        <f t="shared" si="3"/>
        <v>0.98039215686274506</v>
      </c>
      <c r="AB23" s="1580">
        <f t="shared" si="4"/>
        <v>0.98039215686274506</v>
      </c>
      <c r="AC23" s="1580">
        <f t="shared" si="5"/>
        <v>0.98039215686274506</v>
      </c>
    </row>
    <row r="24" spans="1:29" ht="20.25">
      <c r="A24" s="535"/>
      <c r="B24" s="581"/>
      <c r="C24" s="557" t="s">
        <v>3035</v>
      </c>
      <c r="D24" s="560"/>
      <c r="E24" s="561" t="s">
        <v>3036</v>
      </c>
      <c r="F24" s="558"/>
      <c r="G24" s="559" t="s">
        <v>3036</v>
      </c>
      <c r="H24" s="558"/>
      <c r="I24" s="561" t="s">
        <v>3036</v>
      </c>
      <c r="J24" s="558"/>
      <c r="K24" s="534"/>
      <c r="L24" s="2146"/>
      <c r="M24" s="2136"/>
      <c r="N24" s="2136"/>
      <c r="O24" s="2145"/>
      <c r="P24" s="3354"/>
      <c r="Q24" s="1576"/>
      <c r="R24" s="1577"/>
      <c r="S24" s="1578"/>
      <c r="T24" s="1577"/>
      <c r="U24" s="1578"/>
      <c r="V24" s="1577"/>
      <c r="W24" s="1578"/>
      <c r="X24" s="1571"/>
      <c r="Y24" s="3354"/>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54"/>
      <c r="Q25" s="1576" t="str">
        <f t="shared" ref="Q25:Q39" si="8">B25</f>
        <v>区域土地利用方向</v>
      </c>
      <c r="R25" s="1577" t="s">
        <v>8</v>
      </c>
      <c r="S25" s="1578">
        <f>F25</f>
        <v>100</v>
      </c>
      <c r="T25" s="1577" t="s">
        <v>8</v>
      </c>
      <c r="U25" s="1578">
        <f>H25</f>
        <v>100</v>
      </c>
      <c r="V25" s="1577" t="s">
        <v>8</v>
      </c>
      <c r="W25" s="1578">
        <f>J25</f>
        <v>100</v>
      </c>
      <c r="X25" s="1571"/>
      <c r="Y25" s="3354"/>
      <c r="Z25" s="1579" t="str">
        <f>Q25</f>
        <v>区域土地利用方向</v>
      </c>
      <c r="AA25" s="1580">
        <f t="shared" si="3"/>
        <v>1</v>
      </c>
      <c r="AB25" s="1580">
        <f t="shared" si="4"/>
        <v>1</v>
      </c>
      <c r="AC25" s="1580">
        <f t="shared" si="5"/>
        <v>1</v>
      </c>
    </row>
    <row r="26" spans="1:29" ht="20.25">
      <c r="A26" s="518"/>
      <c r="B26" s="1010"/>
      <c r="C26" s="557" t="s">
        <v>3036</v>
      </c>
      <c r="D26" s="560"/>
      <c r="E26" s="561" t="s">
        <v>3036</v>
      </c>
      <c r="F26" s="558"/>
      <c r="G26" s="559" t="s">
        <v>3036</v>
      </c>
      <c r="H26" s="558"/>
      <c r="I26" s="561" t="s">
        <v>3036</v>
      </c>
      <c r="J26" s="558"/>
      <c r="K26" s="534"/>
      <c r="L26" s="2146"/>
      <c r="M26" s="2136"/>
      <c r="N26" s="2136"/>
      <c r="O26" s="2145"/>
      <c r="P26" s="3354"/>
      <c r="Q26" s="1576"/>
      <c r="R26" s="1577"/>
      <c r="S26" s="1578"/>
      <c r="T26" s="1577"/>
      <c r="U26" s="1578"/>
      <c r="V26" s="1577"/>
      <c r="W26" s="1578"/>
      <c r="X26" s="1571"/>
      <c r="Y26" s="3354"/>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102</v>
      </c>
      <c r="G27" s="565"/>
      <c r="H27" s="562">
        <f>SUMIF(100:100,G28,101:101)-SUMIF(100:100,C28,101:101)+100</f>
        <v>102</v>
      </c>
      <c r="I27" s="567"/>
      <c r="J27" s="562">
        <f>SUMIF(100:100,I28,101:101)-SUMIF(100:100,C28,101:101)+100</f>
        <v>102</v>
      </c>
      <c r="K27" s="538">
        <v>2</v>
      </c>
      <c r="L27" s="2146"/>
      <c r="M27" s="2136"/>
      <c r="N27" s="2136"/>
      <c r="O27" s="2145"/>
      <c r="P27" s="3354"/>
      <c r="Q27" s="1576" t="str">
        <f t="shared" si="8"/>
        <v>自然及人文环境状况</v>
      </c>
      <c r="R27" s="1577" t="s">
        <v>8</v>
      </c>
      <c r="S27" s="1578">
        <f>F27</f>
        <v>102</v>
      </c>
      <c r="T27" s="1577" t="s">
        <v>8</v>
      </c>
      <c r="U27" s="1578">
        <f>H27</f>
        <v>102</v>
      </c>
      <c r="V27" s="1577" t="s">
        <v>8</v>
      </c>
      <c r="W27" s="1578">
        <f>J27</f>
        <v>102</v>
      </c>
      <c r="X27" s="1571"/>
      <c r="Y27" s="3354"/>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3035</v>
      </c>
      <c r="D28" s="560"/>
      <c r="E28" s="579" t="s">
        <v>3036</v>
      </c>
      <c r="F28" s="558"/>
      <c r="G28" s="557" t="s">
        <v>3036</v>
      </c>
      <c r="H28" s="558"/>
      <c r="I28" s="579" t="s">
        <v>3036</v>
      </c>
      <c r="J28" s="558"/>
      <c r="K28" s="534"/>
      <c r="L28" s="2146"/>
      <c r="M28" s="2136"/>
      <c r="N28" s="2136"/>
      <c r="O28" s="2145"/>
      <c r="P28" s="3354"/>
      <c r="Q28" s="1576"/>
      <c r="R28" s="1577"/>
      <c r="S28" s="1578"/>
      <c r="T28" s="1577"/>
      <c r="U28" s="1578"/>
      <c r="V28" s="1577"/>
      <c r="W28" s="1578"/>
      <c r="X28" s="1571"/>
      <c r="Y28" s="3354"/>
      <c r="Z28" s="1579"/>
      <c r="AA28" s="1580">
        <v>1</v>
      </c>
      <c r="AB28" s="1580">
        <v>1</v>
      </c>
      <c r="AC28" s="1580">
        <v>1</v>
      </c>
    </row>
    <row r="29" spans="1:29" s="1223" customFormat="1" ht="42.75">
      <c r="A29" s="580"/>
      <c r="B29" s="2619" t="s">
        <v>2554</v>
      </c>
      <c r="C29" s="576" t="str">
        <f>估价对象房地状况!C21</f>
        <v>估价对象所在区域公共配套设施齐备情况</v>
      </c>
      <c r="D29" s="566">
        <v>100</v>
      </c>
      <c r="E29" s="567"/>
      <c r="F29" s="562">
        <f>SUMIF(102:102,E30,103:103)-SUMIF(102:102,C30,103:103)+100</f>
        <v>102</v>
      </c>
      <c r="G29" s="565"/>
      <c r="H29" s="562">
        <f>SUMIF(102:102,G30,103:103)-SUMIF(102:102,C30,103:103)+100</f>
        <v>102</v>
      </c>
      <c r="I29" s="567"/>
      <c r="J29" s="562">
        <f>SUMIF(102:102,I30,103:103)-SUMIF(102:102,C30,103:103)+100</f>
        <v>102</v>
      </c>
      <c r="K29" s="538">
        <v>1</v>
      </c>
      <c r="L29" s="2139"/>
      <c r="M29" s="2136"/>
      <c r="N29" s="2136"/>
      <c r="O29" s="2141"/>
      <c r="P29" s="3354"/>
      <c r="Q29" s="1154" t="str">
        <f t="shared" si="8"/>
        <v>公共配套设施</v>
      </c>
      <c r="R29" s="1572" t="s">
        <v>8</v>
      </c>
      <c r="S29" s="1573">
        <f>F29</f>
        <v>102</v>
      </c>
      <c r="T29" s="1572" t="s">
        <v>8</v>
      </c>
      <c r="U29" s="1573">
        <f>H29</f>
        <v>102</v>
      </c>
      <c r="V29" s="1572" t="s">
        <v>8</v>
      </c>
      <c r="W29" s="1573">
        <f>J29</f>
        <v>102</v>
      </c>
      <c r="X29" s="1574"/>
      <c r="Y29" s="3354"/>
      <c r="Z29" s="1153" t="str">
        <f>Q29</f>
        <v>公共配套设施</v>
      </c>
      <c r="AA29" s="1580">
        <f>D29/F29</f>
        <v>0.98039215686274506</v>
      </c>
      <c r="AB29" s="1580">
        <f>D29/H29</f>
        <v>0.98039215686274506</v>
      </c>
      <c r="AC29" s="1580">
        <f>D29/J29</f>
        <v>0.98039215686274506</v>
      </c>
    </row>
    <row r="30" spans="1:29" s="1223" customFormat="1" ht="20.25">
      <c r="A30" s="580"/>
      <c r="B30" s="569"/>
      <c r="C30" s="582" t="s">
        <v>3105</v>
      </c>
      <c r="D30" s="560"/>
      <c r="E30" s="579" t="s">
        <v>3036</v>
      </c>
      <c r="F30" s="558"/>
      <c r="G30" s="557" t="s">
        <v>3036</v>
      </c>
      <c r="H30" s="558"/>
      <c r="I30" s="579" t="s">
        <v>3036</v>
      </c>
      <c r="J30" s="558"/>
      <c r="K30" s="534"/>
      <c r="L30" s="2139"/>
      <c r="M30" s="2136"/>
      <c r="N30" s="2136"/>
      <c r="O30" s="2141"/>
      <c r="P30" s="3354"/>
      <c r="Q30" s="1154"/>
      <c r="R30" s="1572"/>
      <c r="S30" s="1573"/>
      <c r="T30" s="1572"/>
      <c r="U30" s="1573"/>
      <c r="V30" s="1572"/>
      <c r="W30" s="1573"/>
      <c r="X30" s="1574"/>
      <c r="Y30" s="3354"/>
      <c r="Z30" s="1153"/>
      <c r="AA30" s="1580">
        <v>1</v>
      </c>
      <c r="AB30" s="1580">
        <v>1</v>
      </c>
      <c r="AC30" s="1580">
        <v>1</v>
      </c>
    </row>
    <row r="31" spans="1:29" s="1223" customFormat="1" ht="28.5">
      <c r="A31" s="580"/>
      <c r="B31" s="2619" t="s">
        <v>2555</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39"/>
      <c r="M31" s="2136"/>
      <c r="N31" s="2136"/>
      <c r="O31" s="2141"/>
      <c r="P31" s="3354"/>
      <c r="Q31" s="2606" t="str">
        <f t="shared" ref="Q31" si="9">B31</f>
        <v>基础设施水平</v>
      </c>
      <c r="R31" s="1572" t="s">
        <v>8</v>
      </c>
      <c r="S31" s="1573">
        <f>F31</f>
        <v>100</v>
      </c>
      <c r="T31" s="1572" t="s">
        <v>8</v>
      </c>
      <c r="U31" s="1573">
        <f>H31</f>
        <v>100</v>
      </c>
      <c r="V31" s="1572" t="s">
        <v>8</v>
      </c>
      <c r="W31" s="1573">
        <f>J31</f>
        <v>100</v>
      </c>
      <c r="X31" s="1574"/>
      <c r="Y31" s="3354"/>
      <c r="Z31" s="2603" t="str">
        <f>Q31</f>
        <v>基础设施水平</v>
      </c>
      <c r="AA31" s="1580">
        <f>D31/F31</f>
        <v>1</v>
      </c>
      <c r="AB31" s="1580">
        <f>D31/H31</f>
        <v>1</v>
      </c>
      <c r="AC31" s="1580">
        <f>D31/J31</f>
        <v>1</v>
      </c>
    </row>
    <row r="32" spans="1:29" s="1223" customFormat="1" ht="20.25">
      <c r="A32" s="580"/>
      <c r="B32" s="569"/>
      <c r="C32" s="582" t="s">
        <v>3041</v>
      </c>
      <c r="D32" s="560"/>
      <c r="E32" s="2620" t="s">
        <v>3041</v>
      </c>
      <c r="F32" s="558"/>
      <c r="G32" s="582" t="s">
        <v>3041</v>
      </c>
      <c r="H32" s="558"/>
      <c r="I32" s="582" t="s">
        <v>3041</v>
      </c>
      <c r="J32" s="558"/>
      <c r="K32" s="534"/>
      <c r="L32" s="2139"/>
      <c r="M32" s="2136"/>
      <c r="N32" s="2136"/>
      <c r="O32" s="2141"/>
      <c r="P32" s="3354"/>
      <c r="Q32" s="2606"/>
      <c r="R32" s="1572"/>
      <c r="S32" s="1573"/>
      <c r="T32" s="1572"/>
      <c r="U32" s="1573"/>
      <c r="V32" s="1572"/>
      <c r="W32" s="1573"/>
      <c r="X32" s="1574"/>
      <c r="Y32" s="3354"/>
      <c r="Z32" s="2603"/>
      <c r="AA32" s="1580">
        <v>1</v>
      </c>
      <c r="AB32" s="1580">
        <v>1</v>
      </c>
      <c r="AC32" s="1580">
        <v>1</v>
      </c>
    </row>
    <row r="33" spans="1:29" ht="20.25">
      <c r="A33" s="535"/>
      <c r="B33" s="569" t="s">
        <v>548</v>
      </c>
      <c r="C33" s="583" t="s">
        <v>3089</v>
      </c>
      <c r="D33" s="578">
        <v>100</v>
      </c>
      <c r="E33" s="586" t="s">
        <v>3087</v>
      </c>
      <c r="F33" s="543">
        <f>SUMIF(106:106,E33,107:107)-SUMIF(106:106,C33,107:107)+100</f>
        <v>102</v>
      </c>
      <c r="G33" s="583" t="s">
        <v>3087</v>
      </c>
      <c r="H33" s="543">
        <f>SUMIF(106:106,G33,107:107)-SUMIF(106:106,C33,107:107)+100</f>
        <v>102</v>
      </c>
      <c r="I33" s="583" t="s">
        <v>3088</v>
      </c>
      <c r="J33" s="543">
        <f>SUMIF(106:106,I33,107:107)-SUMIF(106:106,C33,107:107)+100</f>
        <v>98</v>
      </c>
      <c r="K33" s="538">
        <v>2</v>
      </c>
      <c r="L33" s="2146"/>
      <c r="M33" s="2136"/>
      <c r="N33" s="2136"/>
      <c r="O33" s="2145"/>
      <c r="P33" s="3354"/>
      <c r="Q33" s="1576" t="str">
        <f t="shared" si="8"/>
        <v>临街状况</v>
      </c>
      <c r="R33" s="1577" t="s">
        <v>8</v>
      </c>
      <c r="S33" s="1578">
        <f t="shared" ref="S33:S47" si="10">F33</f>
        <v>102</v>
      </c>
      <c r="T33" s="1577" t="s">
        <v>8</v>
      </c>
      <c r="U33" s="1578">
        <f t="shared" ref="U33:U47" si="11">H33</f>
        <v>102</v>
      </c>
      <c r="V33" s="1577" t="s">
        <v>8</v>
      </c>
      <c r="W33" s="1578">
        <f t="shared" ref="W33:W47" si="12">J33</f>
        <v>98</v>
      </c>
      <c r="X33" s="1571"/>
      <c r="Y33" s="3354"/>
      <c r="Z33" s="1579" t="str">
        <f t="shared" ref="Z33:Z47" si="13">Q33</f>
        <v>临街状况</v>
      </c>
      <c r="AA33" s="1580">
        <f t="shared" si="3"/>
        <v>0.98039215686274506</v>
      </c>
      <c r="AB33" s="1580">
        <f t="shared" si="4"/>
        <v>0.98039215686274506</v>
      </c>
      <c r="AC33" s="1580">
        <f t="shared" si="5"/>
        <v>1.0204081632653061</v>
      </c>
    </row>
    <row r="34" spans="1:29" ht="27">
      <c r="A34" s="535"/>
      <c r="B34" s="581" t="s">
        <v>549</v>
      </c>
      <c r="C34" s="3181" t="s">
        <v>3099</v>
      </c>
      <c r="D34" s="566">
        <v>100</v>
      </c>
      <c r="E34" s="3180" t="s">
        <v>3090</v>
      </c>
      <c r="F34" s="562">
        <f>SUMIF(108:108,E35,109:109)-SUMIF(108:108,C35,109:109)+100</f>
        <v>98</v>
      </c>
      <c r="G34" s="3180" t="s">
        <v>3090</v>
      </c>
      <c r="H34" s="562">
        <f>SUMIF(108:108,G35,109:109)-SUMIF(108:108,C35,109:109)+100</f>
        <v>98</v>
      </c>
      <c r="I34" s="3180" t="s">
        <v>3098</v>
      </c>
      <c r="J34" s="562">
        <f>SUMIF(108:108,I35,109:109)-SUMIF(108:108,C35,109:109)+100</f>
        <v>98</v>
      </c>
      <c r="K34" s="538">
        <v>2</v>
      </c>
      <c r="L34" s="2146"/>
      <c r="M34" s="2136"/>
      <c r="N34" s="2136"/>
      <c r="O34" s="2145"/>
      <c r="P34" s="3354"/>
      <c r="Q34" s="1576" t="str">
        <f t="shared" si="8"/>
        <v>毗邻道路的类型与等级</v>
      </c>
      <c r="R34" s="1577" t="s">
        <v>8</v>
      </c>
      <c r="S34" s="1578">
        <f t="shared" si="10"/>
        <v>98</v>
      </c>
      <c r="T34" s="1577" t="s">
        <v>8</v>
      </c>
      <c r="U34" s="1578">
        <f t="shared" si="11"/>
        <v>98</v>
      </c>
      <c r="V34" s="1577" t="s">
        <v>8</v>
      </c>
      <c r="W34" s="1578">
        <f t="shared" si="12"/>
        <v>98</v>
      </c>
      <c r="X34" s="1571"/>
      <c r="Y34" s="3354"/>
      <c r="Z34" s="1579" t="str">
        <f t="shared" si="13"/>
        <v>毗邻道路的类型与等级</v>
      </c>
      <c r="AA34" s="1580">
        <f t="shared" si="3"/>
        <v>1.0204081632653061</v>
      </c>
      <c r="AB34" s="1580">
        <f t="shared" si="4"/>
        <v>1.0204081632653061</v>
      </c>
      <c r="AC34" s="1580">
        <f t="shared" si="5"/>
        <v>1.0204081632653061</v>
      </c>
    </row>
    <row r="35" spans="1:29" ht="20.25">
      <c r="A35" s="535"/>
      <c r="B35" s="569"/>
      <c r="C35" s="557" t="s">
        <v>3092</v>
      </c>
      <c r="D35" s="560"/>
      <c r="E35" s="579" t="s">
        <v>3094</v>
      </c>
      <c r="F35" s="558"/>
      <c r="G35" s="557" t="s">
        <v>3094</v>
      </c>
      <c r="H35" s="558"/>
      <c r="I35" s="579" t="s">
        <v>3094</v>
      </c>
      <c r="J35" s="558"/>
      <c r="K35" s="584"/>
      <c r="L35" s="2146"/>
      <c r="M35" s="2136"/>
      <c r="N35" s="2136"/>
      <c r="O35" s="2145"/>
      <c r="P35" s="3354"/>
      <c r="Q35" s="1576"/>
      <c r="R35" s="1577"/>
      <c r="S35" s="1578"/>
      <c r="T35" s="1577"/>
      <c r="U35" s="1578"/>
      <c r="V35" s="1577"/>
      <c r="W35" s="1578"/>
      <c r="X35" s="1571"/>
      <c r="Y35" s="3354"/>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54"/>
      <c r="Q36" s="1576" t="str">
        <f t="shared" si="8"/>
        <v>土地级别</v>
      </c>
      <c r="R36" s="1577" t="s">
        <v>8</v>
      </c>
      <c r="S36" s="1578">
        <f t="shared" si="10"/>
        <v>100</v>
      </c>
      <c r="T36" s="1577" t="s">
        <v>8</v>
      </c>
      <c r="U36" s="1578">
        <f t="shared" si="11"/>
        <v>100</v>
      </c>
      <c r="V36" s="1577" t="s">
        <v>8</v>
      </c>
      <c r="W36" s="1578">
        <f t="shared" si="12"/>
        <v>100</v>
      </c>
      <c r="X36" s="1571"/>
      <c r="Y36" s="3354"/>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54"/>
      <c r="Q37" s="1576">
        <f t="shared" si="8"/>
        <v>111</v>
      </c>
      <c r="R37" s="1577" t="s">
        <v>8</v>
      </c>
      <c r="S37" s="1578">
        <f t="shared" si="10"/>
        <v>100</v>
      </c>
      <c r="T37" s="1577" t="s">
        <v>8</v>
      </c>
      <c r="U37" s="1578">
        <f t="shared" si="11"/>
        <v>100</v>
      </c>
      <c r="V37" s="1577" t="s">
        <v>8</v>
      </c>
      <c r="W37" s="1578">
        <f t="shared" si="12"/>
        <v>100</v>
      </c>
      <c r="X37" s="1571"/>
      <c r="Y37" s="3354"/>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55" t="s">
        <v>551</v>
      </c>
      <c r="Q38" s="1576">
        <f t="shared" si="8"/>
        <v>111</v>
      </c>
      <c r="R38" s="1577" t="s">
        <v>8</v>
      </c>
      <c r="S38" s="1578">
        <f t="shared" si="10"/>
        <v>100</v>
      </c>
      <c r="T38" s="1577" t="s">
        <v>8</v>
      </c>
      <c r="U38" s="1578">
        <f t="shared" si="11"/>
        <v>100</v>
      </c>
      <c r="V38" s="1577" t="s">
        <v>8</v>
      </c>
      <c r="W38" s="1578">
        <f t="shared" si="12"/>
        <v>100</v>
      </c>
      <c r="X38" s="1571"/>
      <c r="Y38" s="3356"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56"/>
      <c r="Q39" s="1576">
        <f t="shared" si="8"/>
        <v>111</v>
      </c>
      <c r="R39" s="1581" t="s">
        <v>8</v>
      </c>
      <c r="S39" s="1582">
        <f t="shared" si="10"/>
        <v>100</v>
      </c>
      <c r="T39" s="1581" t="s">
        <v>8</v>
      </c>
      <c r="U39" s="1582">
        <f t="shared" si="11"/>
        <v>100</v>
      </c>
      <c r="V39" s="1581" t="s">
        <v>8</v>
      </c>
      <c r="W39" s="1582">
        <f t="shared" si="12"/>
        <v>100</v>
      </c>
      <c r="X39" s="1583"/>
      <c r="Y39" s="3356"/>
      <c r="Z39" s="1584">
        <f t="shared" si="13"/>
        <v>111</v>
      </c>
      <c r="AA39" s="1580">
        <f t="shared" si="3"/>
        <v>1</v>
      </c>
      <c r="AB39" s="1580">
        <f t="shared" si="4"/>
        <v>1</v>
      </c>
      <c r="AC39" s="1580">
        <f t="shared" si="5"/>
        <v>1</v>
      </c>
    </row>
    <row r="40" spans="1:29" ht="20.25">
      <c r="A40" s="2939" t="s">
        <v>2763</v>
      </c>
      <c r="B40" s="598" t="s">
        <v>553</v>
      </c>
      <c r="C40" s="599">
        <f>'数据-基础表'!I13</f>
        <v>114058.41</v>
      </c>
      <c r="D40" s="600">
        <v>100</v>
      </c>
      <c r="E40" s="599">
        <f>土地案例!C2</f>
        <v>181474.3</v>
      </c>
      <c r="F40" s="600">
        <f>LOOKUP(E40,119:119,120:120)-LOOKUP(C40,119:119,120:120)+100</f>
        <v>102</v>
      </c>
      <c r="G40" s="599">
        <f>土地案例!C3</f>
        <v>103760.6</v>
      </c>
      <c r="H40" s="600">
        <f>LOOKUP(G40,119:119,120:120)-LOOKUP(C40,119:119,120:120)+100</f>
        <v>100</v>
      </c>
      <c r="I40" s="601">
        <f>土地案例!C4</f>
        <v>170831.5</v>
      </c>
      <c r="J40" s="600">
        <f>LOOKUP(I40,119:119,120:120)-LOOKUP(C40,119:119,120:120)+100</f>
        <v>102</v>
      </c>
      <c r="K40" s="584"/>
      <c r="L40" s="2146"/>
      <c r="M40" s="2136"/>
      <c r="N40" s="2136"/>
      <c r="O40" s="2145"/>
      <c r="P40" s="3356"/>
      <c r="Q40" s="1576" t="str">
        <f>B40</f>
        <v>宗地面积</v>
      </c>
      <c r="R40" s="1577" t="s">
        <v>8</v>
      </c>
      <c r="S40" s="1578">
        <f t="shared" si="10"/>
        <v>102</v>
      </c>
      <c r="T40" s="1577" t="s">
        <v>8</v>
      </c>
      <c r="U40" s="1578">
        <f t="shared" si="11"/>
        <v>100</v>
      </c>
      <c r="V40" s="1577" t="s">
        <v>8</v>
      </c>
      <c r="W40" s="1578">
        <f t="shared" si="12"/>
        <v>102</v>
      </c>
      <c r="X40" s="1571"/>
      <c r="Y40" s="3356"/>
      <c r="Z40" s="1579" t="str">
        <f t="shared" si="13"/>
        <v>宗地面积</v>
      </c>
      <c r="AA40" s="1580">
        <f t="shared" si="3"/>
        <v>0.98039215686274506</v>
      </c>
      <c r="AB40" s="1580">
        <f t="shared" si="4"/>
        <v>1</v>
      </c>
      <c r="AC40" s="1580">
        <f t="shared" si="5"/>
        <v>0.98039215686274506</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v>2</v>
      </c>
      <c r="L41" s="2146"/>
      <c r="M41" s="2136"/>
      <c r="N41" s="2136"/>
      <c r="O41" s="2145"/>
      <c r="P41" s="3356"/>
      <c r="Q41" s="1576" t="str">
        <f t="shared" ref="Q41:Q47" si="14">B41</f>
        <v>宗地形状</v>
      </c>
      <c r="R41" s="1577" t="s">
        <v>8</v>
      </c>
      <c r="S41" s="1578">
        <f t="shared" si="10"/>
        <v>100</v>
      </c>
      <c r="T41" s="1577" t="s">
        <v>8</v>
      </c>
      <c r="U41" s="1578">
        <f t="shared" si="11"/>
        <v>100</v>
      </c>
      <c r="V41" s="1577" t="s">
        <v>8</v>
      </c>
      <c r="W41" s="1578">
        <f t="shared" si="12"/>
        <v>100</v>
      </c>
      <c r="X41" s="1571"/>
      <c r="Y41" s="3356"/>
      <c r="Z41" s="1579" t="str">
        <f t="shared" si="13"/>
        <v>宗地形状</v>
      </c>
      <c r="AA41" s="1580">
        <f t="shared" si="3"/>
        <v>1</v>
      </c>
      <c r="AB41" s="1580">
        <f t="shared" si="4"/>
        <v>1</v>
      </c>
      <c r="AC41" s="1580">
        <f t="shared" si="5"/>
        <v>1</v>
      </c>
    </row>
    <row r="42" spans="1:29" ht="20.25">
      <c r="A42" s="597"/>
      <c r="B42" s="530" t="s">
        <v>555</v>
      </c>
      <c r="C42" s="602" t="s">
        <v>3080</v>
      </c>
      <c r="D42" s="543">
        <v>100</v>
      </c>
      <c r="E42" s="602" t="s">
        <v>3080</v>
      </c>
      <c r="F42" s="543">
        <f>SUMIF(123:123,E42,124:124)-SUMIF(123:123,C42,124:124)+100</f>
        <v>100</v>
      </c>
      <c r="G42" s="602" t="s">
        <v>3080</v>
      </c>
      <c r="H42" s="543">
        <f>SUMIF(123:123,G42,124:124)-SUMIF(123:123,C42,124:124)+100</f>
        <v>100</v>
      </c>
      <c r="I42" s="602" t="s">
        <v>3080</v>
      </c>
      <c r="J42" s="543">
        <f>SUMIF(123:123,I42,124:124)-SUMIF(123:123,C42,124:124)+100</f>
        <v>100</v>
      </c>
      <c r="K42" s="587">
        <v>2</v>
      </c>
      <c r="L42" s="2146"/>
      <c r="M42" s="2136"/>
      <c r="N42" s="2136"/>
      <c r="O42" s="2145"/>
      <c r="P42" s="3356"/>
      <c r="Q42" s="1576" t="str">
        <f t="shared" si="14"/>
        <v>临街宽度及深度</v>
      </c>
      <c r="R42" s="1577" t="s">
        <v>8</v>
      </c>
      <c r="S42" s="1578">
        <f t="shared" si="10"/>
        <v>100</v>
      </c>
      <c r="T42" s="1577" t="s">
        <v>8</v>
      </c>
      <c r="U42" s="1578">
        <f t="shared" si="11"/>
        <v>100</v>
      </c>
      <c r="V42" s="1577" t="s">
        <v>8</v>
      </c>
      <c r="W42" s="1578">
        <f t="shared" si="12"/>
        <v>100</v>
      </c>
      <c r="X42" s="1571"/>
      <c r="Y42" s="3356"/>
      <c r="Z42" s="1579" t="str">
        <f t="shared" si="13"/>
        <v>临街宽度及深度</v>
      </c>
      <c r="AA42" s="1580">
        <f t="shared" si="3"/>
        <v>1</v>
      </c>
      <c r="AB42" s="1580">
        <f t="shared" si="4"/>
        <v>1</v>
      </c>
      <c r="AC42" s="1580">
        <f t="shared" si="5"/>
        <v>1</v>
      </c>
    </row>
    <row r="43" spans="1:29" s="1223" customFormat="1" ht="20.25">
      <c r="A43" s="603"/>
      <c r="B43" s="1899" t="s">
        <v>2428</v>
      </c>
      <c r="C43" s="604" t="s">
        <v>3059</v>
      </c>
      <c r="D43" s="255">
        <v>100</v>
      </c>
      <c r="E43" s="604" t="s">
        <v>3063</v>
      </c>
      <c r="F43" s="543">
        <f>SUMIF(125:125,E43,126:126)-SUMIF(125:125,C43,126:126)+100</f>
        <v>94</v>
      </c>
      <c r="G43" s="604" t="s">
        <v>3063</v>
      </c>
      <c r="H43" s="543">
        <f>SUMIF(125:125,G43,126:126)-SUMIF(125:125,C43,126:126)+100</f>
        <v>94</v>
      </c>
      <c r="I43" s="604" t="s">
        <v>3063</v>
      </c>
      <c r="J43" s="543">
        <f>SUMIF(125:125,I43,126:126)-SUMIF(125:125,C43,126:126)+100</f>
        <v>94</v>
      </c>
      <c r="K43" s="587">
        <v>2</v>
      </c>
      <c r="L43" s="2139"/>
      <c r="M43" s="2136"/>
      <c r="N43" s="2136"/>
      <c r="O43" s="2141"/>
      <c r="P43" s="3356"/>
      <c r="Q43" s="1576" t="str">
        <f t="shared" si="14"/>
        <v>宗地开发程度</v>
      </c>
      <c r="R43" s="1572" t="s">
        <v>8</v>
      </c>
      <c r="S43" s="1573">
        <f t="shared" si="10"/>
        <v>94</v>
      </c>
      <c r="T43" s="1572" t="s">
        <v>8</v>
      </c>
      <c r="U43" s="1573">
        <f t="shared" si="11"/>
        <v>94</v>
      </c>
      <c r="V43" s="1572" t="s">
        <v>8</v>
      </c>
      <c r="W43" s="1573">
        <f t="shared" si="12"/>
        <v>94</v>
      </c>
      <c r="X43" s="1574"/>
      <c r="Y43" s="3356"/>
      <c r="Z43" s="1153" t="str">
        <f t="shared" si="13"/>
        <v>宗地开发程度</v>
      </c>
      <c r="AA43" s="1575">
        <f t="shared" si="3"/>
        <v>1.0638297872340425</v>
      </c>
      <c r="AB43" s="1575">
        <f t="shared" si="4"/>
        <v>1.0638297872340425</v>
      </c>
      <c r="AC43" s="1575">
        <f t="shared" si="5"/>
        <v>1.0638297872340425</v>
      </c>
    </row>
    <row r="44" spans="1:29" ht="20.25">
      <c r="A44" s="597"/>
      <c r="B44" s="530" t="s">
        <v>556</v>
      </c>
      <c r="C44" s="602" t="s">
        <v>3036</v>
      </c>
      <c r="D44" s="543">
        <v>100</v>
      </c>
      <c r="E44" s="602" t="s">
        <v>3036</v>
      </c>
      <c r="F44" s="543">
        <f>SUMIF(127:127,E44,128:128)-SUMIF(127:127,C44,128:128)+100</f>
        <v>100</v>
      </c>
      <c r="G44" s="602" t="s">
        <v>3036</v>
      </c>
      <c r="H44" s="543">
        <f>SUMIF(127:127,G44,128:128)-SUMIF(127:127,C44,128:128)+100</f>
        <v>100</v>
      </c>
      <c r="I44" s="602" t="s">
        <v>3036</v>
      </c>
      <c r="J44" s="543">
        <f>SUMIF(127:127,I44,128:128)-SUMIF(127:127,C44,128:128)+100</f>
        <v>100</v>
      </c>
      <c r="K44" s="587">
        <v>2</v>
      </c>
      <c r="L44" s="2146"/>
      <c r="M44" s="2136"/>
      <c r="N44" s="2136"/>
      <c r="O44" s="2145"/>
      <c r="P44" s="3356" t="s">
        <v>551</v>
      </c>
      <c r="Q44" s="1576" t="str">
        <f t="shared" si="14"/>
        <v>工程地质条件</v>
      </c>
      <c r="R44" s="1577" t="s">
        <v>8</v>
      </c>
      <c r="S44" s="1578">
        <f t="shared" si="10"/>
        <v>100</v>
      </c>
      <c r="T44" s="1577" t="s">
        <v>8</v>
      </c>
      <c r="U44" s="1578">
        <f t="shared" si="11"/>
        <v>100</v>
      </c>
      <c r="V44" s="1577" t="s">
        <v>8</v>
      </c>
      <c r="W44" s="1578">
        <f t="shared" si="12"/>
        <v>100</v>
      </c>
      <c r="X44" s="1571"/>
      <c r="Y44" s="3356"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56"/>
      <c r="Q45" s="1576">
        <f t="shared" si="14"/>
        <v>111</v>
      </c>
      <c r="R45" s="1577" t="s">
        <v>8</v>
      </c>
      <c r="S45" s="1578">
        <f t="shared" si="10"/>
        <v>100</v>
      </c>
      <c r="T45" s="1577" t="s">
        <v>8</v>
      </c>
      <c r="U45" s="1578">
        <f t="shared" si="11"/>
        <v>100</v>
      </c>
      <c r="V45" s="1577" t="s">
        <v>8</v>
      </c>
      <c r="W45" s="1578">
        <f t="shared" si="12"/>
        <v>100</v>
      </c>
      <c r="X45" s="1571"/>
      <c r="Y45" s="3356"/>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56"/>
      <c r="Q46" s="1576">
        <f t="shared" si="14"/>
        <v>111</v>
      </c>
      <c r="R46" s="1577" t="s">
        <v>8</v>
      </c>
      <c r="S46" s="1578">
        <f t="shared" si="10"/>
        <v>100</v>
      </c>
      <c r="T46" s="1577" t="s">
        <v>8</v>
      </c>
      <c r="U46" s="1578">
        <f t="shared" si="11"/>
        <v>100</v>
      </c>
      <c r="V46" s="1577" t="s">
        <v>8</v>
      </c>
      <c r="W46" s="1578">
        <f t="shared" si="12"/>
        <v>100</v>
      </c>
      <c r="X46" s="1571"/>
      <c r="Y46" s="3356"/>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56"/>
      <c r="Q47" s="1576">
        <f t="shared" si="14"/>
        <v>111</v>
      </c>
      <c r="R47" s="1581" t="s">
        <v>8</v>
      </c>
      <c r="S47" s="1582">
        <f t="shared" si="10"/>
        <v>100</v>
      </c>
      <c r="T47" s="1581" t="s">
        <v>8</v>
      </c>
      <c r="U47" s="1582">
        <f t="shared" si="11"/>
        <v>100</v>
      </c>
      <c r="V47" s="1581" t="s">
        <v>8</v>
      </c>
      <c r="W47" s="1582">
        <f t="shared" si="12"/>
        <v>100</v>
      </c>
      <c r="X47" s="1583"/>
      <c r="Y47" s="3356"/>
      <c r="Z47" s="1584">
        <f t="shared" si="13"/>
        <v>111</v>
      </c>
      <c r="AA47" s="1580">
        <f t="shared" si="3"/>
        <v>1</v>
      </c>
      <c r="AB47" s="1580">
        <f t="shared" si="4"/>
        <v>1</v>
      </c>
      <c r="AC47" s="1580">
        <f t="shared" si="5"/>
        <v>1</v>
      </c>
    </row>
    <row r="48" spans="1:29" ht="20.25">
      <c r="A48" s="610" t="s">
        <v>557</v>
      </c>
      <c r="B48" s="611" t="s">
        <v>3008</v>
      </c>
      <c r="C48" s="612" t="s">
        <v>1</v>
      </c>
      <c r="D48" s="613"/>
      <c r="E48" s="614">
        <f>ROUND(土地案例!G2,0)</f>
        <v>12294</v>
      </c>
      <c r="F48" s="615"/>
      <c r="G48" s="616">
        <f>ROUND(土地案例!G3,0)</f>
        <v>12184</v>
      </c>
      <c r="H48" s="617"/>
      <c r="I48" s="614">
        <f>ROUND(土地案例!G4,0)</f>
        <v>11065</v>
      </c>
      <c r="J48" s="617"/>
      <c r="K48" s="1343"/>
      <c r="L48" s="2148"/>
      <c r="M48" s="2136"/>
      <c r="N48" s="2136"/>
      <c r="O48" s="2149"/>
      <c r="P48" s="3351" t="str">
        <f>A48</f>
        <v>成交单价</v>
      </c>
      <c r="Q48" s="3351"/>
      <c r="R48" s="3377">
        <f>E48</f>
        <v>12294</v>
      </c>
      <c r="S48" s="3377"/>
      <c r="T48" s="3377">
        <f>G48</f>
        <v>12184</v>
      </c>
      <c r="U48" s="3377"/>
      <c r="V48" s="3377">
        <f>I48</f>
        <v>11065</v>
      </c>
      <c r="W48" s="3377"/>
      <c r="X48" s="1563"/>
      <c r="Y48" s="1585"/>
      <c r="Z48" s="1563"/>
      <c r="AA48" s="1563"/>
      <c r="AB48" s="1563"/>
      <c r="AC48" s="1563"/>
    </row>
    <row r="49" spans="1:29" ht="21" thickBot="1">
      <c r="A49" s="618" t="s">
        <v>2701</v>
      </c>
      <c r="B49" s="619"/>
      <c r="C49" s="620">
        <f>R50</f>
        <v>12522</v>
      </c>
      <c r="D49" s="621"/>
      <c r="E49" s="620">
        <f>R49</f>
        <v>12607</v>
      </c>
      <c r="F49" s="622"/>
      <c r="G49" s="623">
        <f>T49</f>
        <v>13021</v>
      </c>
      <c r="H49" s="621"/>
      <c r="I49" s="620">
        <f>V49</f>
        <v>11937</v>
      </c>
      <c r="J49" s="621"/>
      <c r="K49" s="1344"/>
      <c r="L49" s="2148"/>
      <c r="M49" s="2136"/>
      <c r="N49" s="2136"/>
      <c r="O49" s="2149"/>
      <c r="P49" s="3351" t="str">
        <f>A49</f>
        <v>比较价格（元/平方米）</v>
      </c>
      <c r="Q49" s="3351"/>
      <c r="R49" s="3396">
        <f>ROUND(PRODUCT(R48,AA9:AA47),0)</f>
        <v>12607</v>
      </c>
      <c r="S49" s="3396"/>
      <c r="T49" s="3396">
        <f>ROUND(PRODUCT(T48,AB9:AB47),0)</f>
        <v>13021</v>
      </c>
      <c r="U49" s="3396"/>
      <c r="V49" s="3396">
        <f>ROUND(PRODUCT(V48,AC9:AC47),0)</f>
        <v>11937</v>
      </c>
      <c r="W49" s="3396"/>
      <c r="X49" s="1563"/>
      <c r="Y49" s="1563"/>
      <c r="Z49" s="1563"/>
      <c r="AA49" s="1563"/>
      <c r="AB49" s="1563"/>
      <c r="AC49" s="1563"/>
    </row>
    <row r="50" spans="1:29" ht="21" thickBot="1">
      <c r="A50" s="624" t="s">
        <v>2942</v>
      </c>
      <c r="B50" s="625"/>
      <c r="C50" s="626">
        <f>R50</f>
        <v>12522</v>
      </c>
      <c r="D50" s="626"/>
      <c r="E50" s="626"/>
      <c r="F50" s="626"/>
      <c r="G50" s="626"/>
      <c r="H50" s="626"/>
      <c r="I50" s="626"/>
      <c r="J50" s="626"/>
      <c r="K50" s="1345"/>
      <c r="L50" s="2148"/>
      <c r="M50" s="2136"/>
      <c r="N50" s="2136"/>
      <c r="O50" s="2149"/>
      <c r="P50" s="3348" t="str">
        <f>A50</f>
        <v>估价对象XX用房的比较价格（楼面单价，元/平方米）</v>
      </c>
      <c r="Q50" s="3349"/>
      <c r="R50" s="3395">
        <f>ROUND(AVERAGE(R49:V49),0)</f>
        <v>12522</v>
      </c>
      <c r="S50" s="3395"/>
      <c r="T50" s="3395"/>
      <c r="U50" s="3395"/>
      <c r="V50" s="3395"/>
      <c r="W50" s="3395"/>
      <c r="X50" s="1563"/>
      <c r="Y50" s="1563"/>
      <c r="Z50" s="1563"/>
      <c r="AA50" s="1563"/>
      <c r="AB50" s="1563"/>
      <c r="AC50" s="1563"/>
    </row>
    <row r="51" spans="1:29" ht="20.25">
      <c r="A51" s="2149"/>
      <c r="B51" s="2149"/>
      <c r="C51" s="2149"/>
      <c r="D51" s="2149"/>
      <c r="E51" s="2149"/>
      <c r="F51" s="2149"/>
      <c r="G51" s="2152"/>
      <c r="H51" s="2149"/>
      <c r="I51" s="2149"/>
      <c r="J51" s="2149"/>
      <c r="K51" s="2153"/>
      <c r="L51" s="2154"/>
      <c r="M51" s="2136"/>
      <c r="N51" s="2136"/>
      <c r="O51" s="2149"/>
      <c r="P51" s="1563"/>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3"/>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2.5459573775825639E-2</v>
      </c>
      <c r="F53" s="630" t="str">
        <f>IF(OR(E53&gt;=0.3,E53&lt;=-0.3),"超过30%","")</f>
        <v/>
      </c>
      <c r="G53" s="629">
        <f>IF(G48&lt;G49,G49/G48-1,G48/G49-1)</f>
        <v>6.8696651346027648E-2</v>
      </c>
      <c r="H53" s="630" t="str">
        <f>IF(OR(G53&gt;=0.3,G53&lt;=-0.3),"超过30%","")</f>
        <v/>
      </c>
      <c r="I53" s="629">
        <f>IF(I48&lt;I49,I49/I48-1,I48/I49-1)</f>
        <v>7.8807049254405737E-2</v>
      </c>
      <c r="J53" s="630" t="str">
        <f>IF(OR(I53&gt;=0.3,I53&lt;=-0.3),"超过30%","")</f>
        <v/>
      </c>
      <c r="K53" s="2153"/>
      <c r="L53" s="2154"/>
      <c r="M53" s="2136"/>
      <c r="N53" s="2136"/>
      <c r="O53" s="2149"/>
      <c r="P53" s="1563"/>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3.2838899024351553E-2</v>
      </c>
      <c r="F54" s="630" t="str">
        <f>IF(OR(E54&gt;=0.2,E54&lt;=-0.2),"超过20%","")</f>
        <v/>
      </c>
      <c r="G54" s="629">
        <f>IF(G49&lt;I49,I49/G49-1,G49/I49-1)</f>
        <v>9.0810086286336578E-2</v>
      </c>
      <c r="H54" s="630" t="str">
        <f>IF(OR(G54&gt;=0.2,G54&lt;=-0.2),"超过20%","")</f>
        <v/>
      </c>
      <c r="I54" s="629">
        <f>IF(I49&lt;E49,E49/I49-1,I49/E49-1)</f>
        <v>5.6128005361481215E-2</v>
      </c>
      <c r="J54" s="630" t="str">
        <f>IF(OR(I54&gt;=0.2,I54&lt;=-0.2),"超过20%","")</f>
        <v/>
      </c>
      <c r="K54" s="2153"/>
      <c r="L54" s="2154"/>
      <c r="M54" s="2136"/>
      <c r="N54" s="2136"/>
      <c r="O54" s="2149"/>
      <c r="P54" s="1563"/>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9.0282337491791598E-3</v>
      </c>
      <c r="F55" s="630" t="str">
        <f>IF(OR(E55&gt;=0.3,E55&lt;=-0.3),"超过30%","")</f>
        <v/>
      </c>
      <c r="G55" s="629">
        <f>IF(G48&lt;I48,I48/G48-1,G48/I48-1)</f>
        <v>0.10112968820605506</v>
      </c>
      <c r="H55" s="630" t="str">
        <f>IF(OR(G55&gt;=0.3,G55&lt;=-0.3),"超过30%","")</f>
        <v/>
      </c>
      <c r="I55" s="629">
        <f>IF(I48&lt;E48,E48/I48-1,I48/E48-1)</f>
        <v>0.11107094441934029</v>
      </c>
      <c r="J55" s="630" t="str">
        <f>IF(OR(I55&gt;=0.3,I55&lt;=-0.3),"超过30%","")</f>
        <v/>
      </c>
      <c r="K55" s="2156"/>
      <c r="L55" s="2157"/>
      <c r="M55" s="2136"/>
      <c r="N55" s="2136"/>
      <c r="O55" s="2150"/>
      <c r="P55" s="1561"/>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1"/>
      <c r="Q56" s="2150"/>
      <c r="R56" s="2150"/>
      <c r="S56" s="2150"/>
      <c r="T56" s="2150"/>
      <c r="U56" s="2150"/>
      <c r="V56" s="2150"/>
      <c r="W56" s="2150"/>
      <c r="X56" s="2150"/>
      <c r="Y56" s="2150"/>
      <c r="Z56" s="2150"/>
      <c r="AA56" s="2150"/>
      <c r="AB56" s="2150"/>
      <c r="AC56" s="2150"/>
    </row>
    <row r="57" spans="1:29" ht="26.25" customHeight="1">
      <c r="A57" s="632" t="s">
        <v>561</v>
      </c>
      <c r="B57" s="633" t="s">
        <v>562</v>
      </c>
      <c r="C57" s="1564" t="s">
        <v>3007</v>
      </c>
      <c r="D57" s="2231" t="s">
        <v>2297</v>
      </c>
      <c r="E57" s="634" t="s">
        <v>563</v>
      </c>
      <c r="F57" s="635" t="s">
        <v>564</v>
      </c>
      <c r="G57" s="3473" t="s">
        <v>2285</v>
      </c>
      <c r="H57" s="3474"/>
      <c r="I57" s="1559" t="s">
        <v>1724</v>
      </c>
      <c r="J57" s="1559" t="str">
        <f>项目基本情况!F41</f>
        <v>郑州市</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12522</v>
      </c>
      <c r="C58" s="638">
        <v>1</v>
      </c>
      <c r="D58" s="2232">
        <v>1</v>
      </c>
      <c r="E58" s="638">
        <f>'数据-汇总表'!E8+'数据-汇总表'!E9</f>
        <v>114058.41</v>
      </c>
      <c r="F58" s="639">
        <f t="shared" ref="F58:F67" si="15">ROUND(B58*E58/10000,0)</f>
        <v>142824</v>
      </c>
      <c r="G58" s="3475"/>
      <c r="H58" s="3476"/>
      <c r="I58" s="1560">
        <v>1</v>
      </c>
      <c r="J58" s="1560">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477" t="s">
        <v>2286</v>
      </c>
      <c r="H59" s="1952">
        <f>项目基本情况!B43</f>
        <v>0</v>
      </c>
      <c r="I59" s="1560">
        <f>SUMIF(修正!$A$45:$A$56,H59,修正!B45:B56)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477"/>
      <c r="H60" s="1952">
        <f>项目基本情况!B43</f>
        <v>0</v>
      </c>
      <c r="I60" s="1560">
        <f>SUMIF(修正!$A$45:$A$56,H60,修正!C45:C56)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477"/>
      <c r="H61" s="1952">
        <f>项目基本情况!B43</f>
        <v>0</v>
      </c>
      <c r="I61" s="1560">
        <f>SUMIF(修正!$A$45:$A$56,H61,修正!D45:D56)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477"/>
      <c r="H62" s="1952">
        <f>项目基本情况!B43</f>
        <v>0</v>
      </c>
      <c r="I62" s="1560">
        <f>SUMIF(修正!$A$45:$A$56,H62,修正!E45:E56)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2331</v>
      </c>
      <c r="B63" s="641">
        <f t="shared" si="17"/>
        <v>0</v>
      </c>
      <c r="C63" s="381">
        <f t="shared" si="16"/>
        <v>0</v>
      </c>
      <c r="D63" s="2233">
        <v>0.25</v>
      </c>
      <c r="E63" s="644">
        <f>'数据-汇总表'!E11</f>
        <v>0</v>
      </c>
      <c r="F63" s="639">
        <f t="shared" si="15"/>
        <v>0</v>
      </c>
      <c r="G63" s="1949" t="s">
        <v>2287</v>
      </c>
      <c r="H63" s="1952">
        <f>项目基本情况!C43</f>
        <v>0</v>
      </c>
      <c r="I63" s="1560">
        <f>SUMIF(修正!$A$45:$A$56,H63,修正!F45:F56)</f>
        <v>0</v>
      </c>
      <c r="J63" s="1562"/>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60">
        <f>SUMIF(修正!$A$45:$A$56,H64,修正!G45:G56)</f>
        <v>0</v>
      </c>
      <c r="J64" s="1562"/>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60">
        <f>SUMIF(修正!$A$45:$A$56,H65,修正!H45:H56)</f>
        <v>0</v>
      </c>
      <c r="J65" s="1562"/>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2286</v>
      </c>
      <c r="H66" s="1952">
        <f>项目基本情况!B43</f>
        <v>0</v>
      </c>
      <c r="I66" s="1560">
        <f>SUMIF(修正!$A$45:$A$56,H66,修正!H45:H56)</f>
        <v>0</v>
      </c>
      <c r="J66" s="1562"/>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60">
        <f>SUMIF(修正!$A$45:$A$56,H67,修正!H45:H56)</f>
        <v>0</v>
      </c>
      <c r="J67" s="1562"/>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2298</v>
      </c>
      <c r="E68" s="646">
        <f>IF(B48="楼面地价",SUM(E58:E67),'数据-汇总表'!D3)</f>
        <v>114058.41</v>
      </c>
      <c r="F68" s="647">
        <f>IF(B48="楼面地价",SUM(F58:F67),ROUND(C50*E68/10000,0))</f>
        <v>142824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2017-10-1</v>
      </c>
      <c r="D70" s="2831">
        <f>EDATE(C70,-3)</f>
        <v>42917</v>
      </c>
      <c r="E70" s="2831">
        <f t="shared" ref="E70:N70" si="18">EDATE(D70,-3)</f>
        <v>42826</v>
      </c>
      <c r="F70" s="2831">
        <f t="shared" si="18"/>
        <v>42736</v>
      </c>
      <c r="G70" s="2831">
        <f t="shared" si="18"/>
        <v>42644</v>
      </c>
      <c r="H70" s="2831">
        <f t="shared" si="18"/>
        <v>42552</v>
      </c>
      <c r="I70" s="2831">
        <f t="shared" si="18"/>
        <v>42461</v>
      </c>
      <c r="J70" s="2831">
        <f t="shared" si="18"/>
        <v>42370</v>
      </c>
      <c r="K70" s="2831">
        <f t="shared" si="18"/>
        <v>42278</v>
      </c>
      <c r="L70" s="2831">
        <f t="shared" si="18"/>
        <v>42186</v>
      </c>
      <c r="M70" s="2831">
        <f t="shared" si="18"/>
        <v>42095</v>
      </c>
      <c r="N70" s="2831">
        <f t="shared" si="18"/>
        <v>42005</v>
      </c>
      <c r="O70" s="2149"/>
      <c r="P70" s="2149"/>
      <c r="Q70" s="2149"/>
      <c r="R70" s="2149"/>
      <c r="S70" s="2149"/>
      <c r="T70" s="2149"/>
      <c r="U70" s="2149"/>
      <c r="V70" s="2149"/>
      <c r="W70" s="2149"/>
      <c r="X70" s="2149"/>
      <c r="Y70" s="2149"/>
      <c r="Z70" s="2149"/>
      <c r="AA70" s="2149"/>
      <c r="AB70" s="2149"/>
      <c r="AC70" s="2149"/>
    </row>
    <row r="71" spans="1:29" ht="21.75" thickBot="1">
      <c r="A71" s="1588" t="s">
        <v>575</v>
      </c>
      <c r="B71" s="1563"/>
      <c r="C71" s="1587"/>
      <c r="D71" s="1587"/>
      <c r="E71" s="1587"/>
      <c r="F71" s="1589"/>
      <c r="G71" s="1589"/>
      <c r="H71" s="1587"/>
      <c r="I71" s="1587"/>
      <c r="J71" s="1587"/>
      <c r="K71" s="1590"/>
      <c r="L71" s="1586"/>
      <c r="M71" s="1587"/>
      <c r="N71" s="1587"/>
      <c r="O71" s="2161"/>
      <c r="P71" s="2161"/>
      <c r="Q71" s="2162"/>
      <c r="R71" s="2149"/>
      <c r="S71" s="2149"/>
      <c r="T71" s="2149"/>
      <c r="U71" s="2149"/>
      <c r="V71" s="2149"/>
      <c r="W71" s="2149"/>
      <c r="X71" s="2149"/>
      <c r="Y71" s="2149"/>
      <c r="Z71" s="2149"/>
      <c r="AA71" s="2149"/>
      <c r="AB71" s="2149"/>
      <c r="AC71" s="2149"/>
    </row>
    <row r="72" spans="1:29" s="1350" customFormat="1" ht="15">
      <c r="A72" s="2596" t="s">
        <v>2538</v>
      </c>
      <c r="B72" s="2597"/>
      <c r="C72" s="2826" t="str">
        <f>YEAR(C70)&amp;"-"&amp;ROUNDUP(MONTH(C70)/3,0)</f>
        <v>2017-4</v>
      </c>
      <c r="D72" s="2833" t="str">
        <f>YEAR(D70)&amp;"-"&amp;ROUNDUP(MONTH(D70)/3,0)</f>
        <v>2017-3</v>
      </c>
      <c r="E72" s="2833" t="str">
        <f t="shared" ref="E72:N72" si="19">YEAR(E70)&amp;"-"&amp;ROUNDUP(MONTH(E70)/3,0)</f>
        <v>2017-2</v>
      </c>
      <c r="F72" s="2833" t="str">
        <f t="shared" si="19"/>
        <v>2017-1</v>
      </c>
      <c r="G72" s="2833" t="str">
        <f t="shared" si="19"/>
        <v>2016-4</v>
      </c>
      <c r="H72" s="2833" t="str">
        <f t="shared" si="19"/>
        <v>2016-3</v>
      </c>
      <c r="I72" s="2833" t="str">
        <f t="shared" si="19"/>
        <v>2016-2</v>
      </c>
      <c r="J72" s="2833" t="str">
        <f t="shared" si="19"/>
        <v>2016-1</v>
      </c>
      <c r="K72" s="2833" t="str">
        <f t="shared" si="19"/>
        <v>2015-4</v>
      </c>
      <c r="L72" s="2833" t="str">
        <f t="shared" si="19"/>
        <v>2015-3</v>
      </c>
      <c r="M72" s="2833" t="str">
        <f t="shared" si="19"/>
        <v>2015-2</v>
      </c>
      <c r="N72" s="2833"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8" t="s">
        <v>924</v>
      </c>
      <c r="B73" s="482" t="str">
        <f>"北京市平均增长率"&amp;TEXT(SUMIF(基准地价!N21:N25,A73,基准地价!P21:P25),"0.00%")</f>
        <v>北京市平均增长率2.75%</v>
      </c>
      <c r="C73" s="897">
        <v>100</v>
      </c>
      <c r="D73" s="733">
        <v>99</v>
      </c>
      <c r="E73" s="733">
        <v>98</v>
      </c>
      <c r="F73" s="733">
        <v>97</v>
      </c>
      <c r="G73" s="733">
        <v>96</v>
      </c>
      <c r="H73" s="733">
        <v>95</v>
      </c>
      <c r="I73" s="733">
        <v>94</v>
      </c>
      <c r="J73" s="733">
        <v>93</v>
      </c>
      <c r="K73" s="733">
        <v>92</v>
      </c>
      <c r="L73" s="733">
        <v>91</v>
      </c>
      <c r="M73" s="2824">
        <v>90</v>
      </c>
      <c r="N73" s="2825"/>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8" t="s">
        <v>2655</v>
      </c>
      <c r="B74" s="2837"/>
      <c r="C74" s="2822">
        <v>1</v>
      </c>
      <c r="D74" s="2823"/>
      <c r="E74" s="2823"/>
      <c r="F74" s="2823"/>
      <c r="G74" s="2823"/>
      <c r="H74" s="2823"/>
      <c r="I74" s="2823"/>
      <c r="J74" s="2823"/>
      <c r="K74" s="2823"/>
      <c r="L74" s="2823"/>
      <c r="M74" s="2823"/>
      <c r="N74" s="2823"/>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67" t="s">
        <v>3009</v>
      </c>
      <c r="D77" s="60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c r="D78" s="674"/>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1</v>
      </c>
      <c r="E82" s="544">
        <v>2</v>
      </c>
      <c r="F82" s="544">
        <v>3</v>
      </c>
      <c r="G82" s="544">
        <v>4</v>
      </c>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9"/>
      <c r="E84" s="1380"/>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98</v>
      </c>
      <c r="E91" s="682">
        <f>D91-$K17</f>
        <v>96</v>
      </c>
      <c r="F91" s="682">
        <f>E91-$K17</f>
        <v>94</v>
      </c>
      <c r="G91" s="682">
        <f>F91-$K17</f>
        <v>92</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98</v>
      </c>
      <c r="E93" s="682">
        <f>D93-$K19</f>
        <v>96</v>
      </c>
      <c r="F93" s="682">
        <f>E93-$K19</f>
        <v>94</v>
      </c>
      <c r="G93" s="682">
        <f>F93-$K19</f>
        <v>92</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98</v>
      </c>
      <c r="E95" s="682">
        <f>D95-$K21</f>
        <v>96</v>
      </c>
      <c r="F95" s="682">
        <f>E95-$K21</f>
        <v>94</v>
      </c>
      <c r="G95" s="682">
        <f>F95-$K21</f>
        <v>92</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2556</v>
      </c>
      <c r="C104" s="2626" t="s">
        <v>2557</v>
      </c>
      <c r="D104" s="2626" t="s">
        <v>2558</v>
      </c>
      <c r="E104" s="2626" t="s">
        <v>2559</v>
      </c>
      <c r="F104" s="2626" t="s">
        <v>2560</v>
      </c>
      <c r="G104" s="2626" t="s">
        <v>2561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98</v>
      </c>
      <c r="E105" s="682">
        <f>D105-$K31</f>
        <v>96</v>
      </c>
      <c r="F105" s="682">
        <f>E105-$K31</f>
        <v>94</v>
      </c>
      <c r="G105" s="682">
        <f>F105-$K31</f>
        <v>92</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73" t="s">
        <v>3091</v>
      </c>
      <c r="D108" s="3173" t="s">
        <v>3093</v>
      </c>
      <c r="E108" s="3173" t="s">
        <v>3095</v>
      </c>
      <c r="F108" s="3173" t="s">
        <v>3096</v>
      </c>
      <c r="G108" s="3173" t="s">
        <v>3097</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25" t="str">
        <f t="shared" si="25"/>
        <v>(含)-</v>
      </c>
      <c r="K118" s="3125" t="str">
        <f t="shared" si="25"/>
        <v>(含)-</v>
      </c>
      <c r="L118" s="3126" t="str">
        <f t="shared" si="25"/>
        <v>(含)-</v>
      </c>
      <c r="M118" s="3127"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v>150000</v>
      </c>
      <c r="G119" s="733">
        <v>200000</v>
      </c>
      <c r="H119" s="733"/>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3176">
        <v>100</v>
      </c>
      <c r="D120" s="3177">
        <v>102</v>
      </c>
      <c r="E120" s="3177">
        <v>104</v>
      </c>
      <c r="F120" s="3177">
        <v>106</v>
      </c>
      <c r="G120" s="3177">
        <v>108</v>
      </c>
      <c r="H120" s="729"/>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72" t="s">
        <v>3040</v>
      </c>
      <c r="D121" s="3172" t="s">
        <v>3066</v>
      </c>
      <c r="E121" s="3172" t="s">
        <v>3067</v>
      </c>
      <c r="F121" s="3172" t="s">
        <v>3068</v>
      </c>
      <c r="G121" s="3172" t="s">
        <v>3069</v>
      </c>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3173" t="s">
        <v>3079</v>
      </c>
      <c r="D123" s="3173" t="s">
        <v>3081</v>
      </c>
      <c r="E123" s="3173" t="s">
        <v>3067</v>
      </c>
      <c r="F123" s="3172" t="s">
        <v>3082</v>
      </c>
      <c r="G123" s="3172" t="s">
        <v>3083</v>
      </c>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2429</v>
      </c>
      <c r="C125" s="1379" t="s">
        <v>3070</v>
      </c>
      <c r="D125" s="1379" t="s">
        <v>3071</v>
      </c>
      <c r="E125" s="1379" t="s">
        <v>3072</v>
      </c>
      <c r="F125" s="1379" t="s">
        <v>3073</v>
      </c>
      <c r="G125" s="1379" t="s">
        <v>3074</v>
      </c>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73" t="s">
        <v>3075</v>
      </c>
      <c r="D127" s="3173" t="s">
        <v>3076</v>
      </c>
      <c r="E127" s="3172" t="s">
        <v>3067</v>
      </c>
      <c r="F127" s="3172" t="s">
        <v>3077</v>
      </c>
      <c r="G127" s="3172" t="s">
        <v>3078</v>
      </c>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1"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1"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1"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1"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1"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1"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1"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1"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1"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1"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1"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1"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1"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1"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1"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1"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1"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1"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1"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1"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1"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1"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1"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1"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1"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1"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1"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1"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1"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1"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1"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1"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1"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1"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1"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1"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1"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1"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1"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1"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1"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1"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1"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1"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1"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1"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1"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1"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1"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1"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1"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1"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1"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1"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1"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1"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1"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1"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1"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1"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1"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1"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1"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1"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1"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1"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1"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1"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1"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1"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1"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1"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1"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1"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1"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1"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1"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1"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1"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1"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1"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1"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1"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1"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1"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1"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1"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1"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1"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1"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1"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1"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1"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1"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1"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1"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1"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1"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1"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1"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1"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1"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1"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1"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1"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1"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1"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1"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1"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1"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1"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1"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1"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1"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1"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1"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1"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1"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1"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1"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1"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dimension ref="A1:G4"/>
  <sheetViews>
    <sheetView topLeftCell="A43" workbookViewId="0">
      <selection activeCell="G37" sqref="G37"/>
    </sheetView>
  </sheetViews>
  <sheetFormatPr defaultRowHeight="13.5"/>
  <cols>
    <col min="1" max="1" width="24.625" customWidth="1"/>
    <col min="2" max="2" width="12.5" customWidth="1"/>
    <col min="3" max="3" width="16.375" customWidth="1"/>
    <col min="5" max="5" width="11.625" bestFit="1" customWidth="1"/>
  </cols>
  <sheetData>
    <row r="1" spans="1:7">
      <c r="A1" s="3168" t="s">
        <v>3010</v>
      </c>
      <c r="B1" s="3168" t="s">
        <v>3013</v>
      </c>
      <c r="C1" s="3168" t="s">
        <v>3014</v>
      </c>
      <c r="D1" s="3168" t="s">
        <v>3015</v>
      </c>
      <c r="E1" s="3168" t="s">
        <v>3016</v>
      </c>
      <c r="F1" s="3168" t="s">
        <v>3017</v>
      </c>
      <c r="G1" s="3168" t="s">
        <v>3018</v>
      </c>
    </row>
    <row r="2" spans="1:7">
      <c r="A2" s="3168" t="s">
        <v>3011</v>
      </c>
      <c r="B2">
        <v>72589.710000000006</v>
      </c>
      <c r="C2">
        <v>181474.3</v>
      </c>
      <c r="D2">
        <v>2.5</v>
      </c>
      <c r="E2" s="3169">
        <v>42461</v>
      </c>
      <c r="F2">
        <v>223100</v>
      </c>
      <c r="G2">
        <v>12293.75</v>
      </c>
    </row>
    <row r="3" spans="1:7">
      <c r="A3" s="3168" t="s">
        <v>3084</v>
      </c>
      <c r="B3">
        <v>51880.31</v>
      </c>
      <c r="C3">
        <v>103760.6</v>
      </c>
      <c r="D3">
        <v>2</v>
      </c>
      <c r="E3" s="3169">
        <v>42291</v>
      </c>
      <c r="F3">
        <v>126420</v>
      </c>
      <c r="G3">
        <v>12183.82</v>
      </c>
    </row>
    <row r="4" spans="1:7">
      <c r="A4" s="3168" t="s">
        <v>3012</v>
      </c>
      <c r="B4">
        <v>68332.58</v>
      </c>
      <c r="C4">
        <v>170831.5</v>
      </c>
      <c r="D4">
        <v>2.5</v>
      </c>
      <c r="E4" s="3170">
        <v>42376</v>
      </c>
      <c r="F4" s="3168">
        <v>189021</v>
      </c>
      <c r="G4" s="3168">
        <v>11064.76</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E4"/>
  <sheetViews>
    <sheetView workbookViewId="0">
      <selection activeCell="K27" sqref="K27"/>
    </sheetView>
  </sheetViews>
  <sheetFormatPr defaultRowHeight="13.5"/>
  <cols>
    <col min="1" max="1" width="13.25" customWidth="1"/>
    <col min="2" max="2" width="29.625" customWidth="1"/>
  </cols>
  <sheetData>
    <row r="1" spans="1:5">
      <c r="A1" s="3168" t="s">
        <v>2880</v>
      </c>
      <c r="B1" s="3168" t="s">
        <v>3023</v>
      </c>
      <c r="C1" s="3168" t="s">
        <v>3025</v>
      </c>
      <c r="D1" s="3168" t="s">
        <v>3026</v>
      </c>
      <c r="E1" s="3168" t="s">
        <v>3015</v>
      </c>
    </row>
    <row r="2" spans="1:5">
      <c r="A2" s="3168" t="s">
        <v>3029</v>
      </c>
      <c r="B2" s="3168" t="s">
        <v>3030</v>
      </c>
      <c r="C2">
        <v>32000</v>
      </c>
      <c r="D2">
        <v>270000</v>
      </c>
      <c r="E2">
        <v>2.5</v>
      </c>
    </row>
    <row r="3" spans="1:5">
      <c r="A3" s="3168" t="s">
        <v>3028</v>
      </c>
      <c r="B3" s="3168" t="s">
        <v>3031</v>
      </c>
      <c r="C3">
        <v>35000</v>
      </c>
      <c r="D3">
        <v>167197</v>
      </c>
      <c r="E3">
        <v>1.99</v>
      </c>
    </row>
    <row r="4" spans="1:5">
      <c r="A4" s="3168" t="s">
        <v>3027</v>
      </c>
      <c r="B4" s="3168" t="s">
        <v>3032</v>
      </c>
      <c r="C4">
        <v>31000</v>
      </c>
      <c r="D4">
        <v>305154</v>
      </c>
      <c r="E4">
        <v>2.4900000000000002</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P14" sqref="P14"/>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M13" sqref="M13"/>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B5" sqref="B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2042</v>
      </c>
      <c r="B1" s="3187"/>
      <c r="C1" s="3187"/>
      <c r="D1" s="3187"/>
      <c r="E1" s="3187"/>
      <c r="F1" s="3187"/>
      <c r="G1" s="3187"/>
      <c r="H1" s="3187"/>
      <c r="I1" s="3187"/>
      <c r="J1" s="3187"/>
      <c r="K1" s="3187"/>
      <c r="L1" s="3187"/>
      <c r="M1" s="3187"/>
      <c r="N1" s="3187"/>
      <c r="O1" s="3187"/>
      <c r="P1" s="3187"/>
      <c r="Q1" s="3187"/>
      <c r="R1" s="3187"/>
    </row>
    <row r="2" spans="1:18">
      <c r="A2" s="1811" t="s">
        <v>2044</v>
      </c>
      <c r="B2" s="1811"/>
      <c r="C2" s="1811"/>
      <c r="D2" s="1811"/>
      <c r="E2" s="1811"/>
      <c r="F2" s="1811"/>
      <c r="G2" s="1811"/>
      <c r="H2" s="1811"/>
      <c r="I2" s="1812"/>
      <c r="J2" s="1812"/>
      <c r="K2" s="1813" t="str">
        <f>"估价期日："&amp;TEXT(项目基本情况!D3,"yyyy年m月d日;;")</f>
        <v>估价期日：2017年10月13日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8" t="s">
        <v>2033</v>
      </c>
      <c r="B3" s="3188" t="s">
        <v>2739</v>
      </c>
      <c r="C3" s="3189" t="s">
        <v>2034</v>
      </c>
      <c r="D3" s="3188" t="s">
        <v>2743</v>
      </c>
      <c r="E3" s="3191" t="s">
        <v>2035</v>
      </c>
      <c r="F3" s="3191"/>
      <c r="G3" s="3191"/>
      <c r="H3" s="3191" t="s">
        <v>2036</v>
      </c>
      <c r="I3" s="3191"/>
      <c r="J3" s="3191"/>
      <c r="K3" s="3189" t="s">
        <v>2037</v>
      </c>
      <c r="L3" s="3189" t="s">
        <v>2038</v>
      </c>
      <c r="M3" s="3188" t="s">
        <v>2740</v>
      </c>
      <c r="N3" s="3190" t="str">
        <f>"（分摊）"&amp;项目基本情况!B16&amp;"国有建设用地使用权面积/㎡"</f>
        <v>（分摊）出让国有建设用地使用权面积/㎡</v>
      </c>
      <c r="O3" s="3188" t="s">
        <v>2067</v>
      </c>
      <c r="P3" s="3189" t="s">
        <v>2047</v>
      </c>
      <c r="Q3" s="3189" t="s">
        <v>2068</v>
      </c>
      <c r="R3" s="3189" t="s">
        <v>2039</v>
      </c>
    </row>
    <row r="4" spans="1:18" ht="36.75" customHeight="1">
      <c r="A4" s="3188"/>
      <c r="B4" s="3188"/>
      <c r="C4" s="3189"/>
      <c r="D4" s="3188"/>
      <c r="E4" s="2678" t="s">
        <v>2046</v>
      </c>
      <c r="F4" s="2678" t="s">
        <v>2752</v>
      </c>
      <c r="G4" s="2678" t="s">
        <v>2040</v>
      </c>
      <c r="H4" s="2678" t="s">
        <v>2041</v>
      </c>
      <c r="I4" s="2678" t="s">
        <v>2753</v>
      </c>
      <c r="J4" s="2678" t="s">
        <v>2040</v>
      </c>
      <c r="K4" s="3189"/>
      <c r="L4" s="3189"/>
      <c r="M4" s="3188"/>
      <c r="N4" s="3190"/>
      <c r="O4" s="3188"/>
      <c r="P4" s="3189"/>
      <c r="Q4" s="3189"/>
      <c r="R4" s="3189"/>
    </row>
    <row r="5" spans="1:18" ht="135" customHeight="1">
      <c r="A5" s="1947" t="s">
        <v>2663</v>
      </c>
      <c r="B5" s="2899" t="s">
        <v>2661</v>
      </c>
      <c r="C5" s="2677">
        <v>22</v>
      </c>
      <c r="D5" s="2676" t="s">
        <v>2662</v>
      </c>
      <c r="E5" s="1814" t="str">
        <f>项目基本情况!B12</f>
        <v>城镇住宅用地</v>
      </c>
      <c r="F5" s="2676">
        <v>258</v>
      </c>
      <c r="G5" s="1814" t="str">
        <f>项目基本情况!B13</f>
        <v>城镇住宅用地</v>
      </c>
      <c r="H5" s="2676">
        <v>1.5</v>
      </c>
      <c r="I5" s="2676">
        <v>1.5</v>
      </c>
      <c r="J5" s="2676">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v>
      </c>
      <c r="N5" s="1814">
        <f>项目基本情况!C22</f>
        <v>54313.53</v>
      </c>
      <c r="O5" s="1814">
        <f>项目基本情况!C21</f>
        <v>114058.41</v>
      </c>
      <c r="P5" s="1814">
        <f ca="1">结果表!E42</f>
        <v>31009</v>
      </c>
      <c r="Q5" s="1814">
        <f ca="1">结果表!D42</f>
        <v>14766</v>
      </c>
      <c r="R5" s="1815">
        <f ca="1">结果表!C42</f>
        <v>168423</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6">
        <f ca="1">结果表!O39</f>
        <v>168423</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6" t="str">
        <f>结果表!O40</f>
        <v>——</v>
      </c>
    </row>
    <row r="8" spans="1:18">
      <c r="A8" s="3184" t="str">
        <f>IF(项目基本情况!B9="市场价格","——",项目基本情况!E9)</f>
        <v>抵押净值</v>
      </c>
      <c r="B8" s="3185"/>
      <c r="C8" s="3185"/>
      <c r="D8" s="3185"/>
      <c r="E8" s="3185"/>
      <c r="F8" s="3185"/>
      <c r="G8" s="3185"/>
      <c r="H8" s="3185"/>
      <c r="I8" s="3185"/>
      <c r="J8" s="3185"/>
      <c r="K8" s="3185"/>
      <c r="L8" s="3185"/>
      <c r="M8" s="3185"/>
      <c r="N8" s="3185"/>
      <c r="O8" s="3185"/>
      <c r="P8" s="3185"/>
      <c r="Q8" s="3186"/>
      <c r="R8" s="1816">
        <f ca="1">结果表!O41</f>
        <v>107440</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3" t="s">
        <v>2069</v>
      </c>
      <c r="B1" s="3193"/>
      <c r="C1" s="3193"/>
      <c r="D1" s="3193"/>
    </row>
    <row r="2" spans="1:4" ht="47.25" customHeight="1">
      <c r="A2" s="3194" t="str">
        <f>"1.权利限制："&amp;项目基本情况!L24&amp;"未设定租赁等其他他项权利。"</f>
        <v>1.权利限制：根据估价对象《不动产权证书》原件、《国有土地使用权》——，截至估价期日，估价对象抵押权未见登记。未设定租赁等其他他项权利。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2070</v>
      </c>
      <c r="B5" s="3192"/>
      <c r="C5" s="3192"/>
      <c r="D5" s="3192"/>
    </row>
    <row r="6" spans="1:4">
      <c r="A6" s="3193" t="s">
        <v>2048</v>
      </c>
      <c r="B6" s="3193"/>
      <c r="C6" s="3193"/>
      <c r="D6" s="3193"/>
    </row>
    <row r="7" spans="1:4" ht="33" customHeight="1">
      <c r="A7" s="3193" t="s">
        <v>2581</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（1）根据估价对象《不动产权证书》原件、《国有土地使用权》——，截至估价期日，估价对象抵押权未见登记。</v>
      </c>
      <c r="B11" s="3195"/>
      <c r="C11" s="3195"/>
      <c r="D11" s="3195"/>
    </row>
    <row r="12" spans="1:4" ht="168" customHeight="1">
      <c r="A12" s="3192" t="s">
        <v>2072</v>
      </c>
      <c r="B12" s="3192"/>
      <c r="C12" s="3192"/>
      <c r="D12" s="3192"/>
    </row>
    <row r="13" spans="1:4">
      <c r="A13" s="3196" t="s">
        <v>2754</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2710</v>
      </c>
      <c r="B17" s="3193"/>
      <c r="C17" s="3193"/>
      <c r="D17" s="3193"/>
    </row>
    <row r="18" spans="1:4">
      <c r="A18" s="3193" t="s">
        <v>2702</v>
      </c>
      <c r="B18" s="3193"/>
      <c r="C18" s="3193"/>
      <c r="D18" s="3193"/>
    </row>
    <row r="19" spans="1:4">
      <c r="A19" s="2900" t="s">
        <v>2703</v>
      </c>
      <c r="B19" s="2900" t="s">
        <v>2704</v>
      </c>
      <c r="C19" s="2900" t="s">
        <v>2705</v>
      </c>
      <c r="D19" s="2900" t="s">
        <v>2706</v>
      </c>
    </row>
    <row r="20" spans="1:4">
      <c r="A20" s="2900" t="str">
        <f>项目基本情况!B4</f>
        <v>吴薇</v>
      </c>
      <c r="B20" s="2900">
        <f ca="1">项目基本情况!C4</f>
        <v>2002110125</v>
      </c>
      <c r="C20" s="2902"/>
      <c r="D20" s="1804" t="s">
        <v>2711</v>
      </c>
    </row>
    <row r="21" spans="1:4">
      <c r="A21" s="2900" t="str">
        <f>项目基本情况!D4</f>
        <v>刘梅</v>
      </c>
      <c r="B21" s="2900">
        <f ca="1">项目基本情况!E4</f>
        <v>2008110059</v>
      </c>
      <c r="C21" s="2902"/>
      <c r="D21" s="1804" t="s">
        <v>2712</v>
      </c>
    </row>
    <row r="23" spans="1:4">
      <c r="A23" s="3193" t="s">
        <v>2707</v>
      </c>
      <c r="B23" s="3193"/>
      <c r="C23" s="3193"/>
      <c r="D23" s="3193"/>
    </row>
    <row r="24" spans="1:4">
      <c r="A24" s="2900" t="s">
        <v>2703</v>
      </c>
      <c r="B24" s="2900" t="s">
        <v>2708</v>
      </c>
      <c r="C24" s="2900" t="s">
        <v>2705</v>
      </c>
      <c r="D24" s="2900" t="s">
        <v>2706</v>
      </c>
    </row>
    <row r="25" spans="1:4">
      <c r="A25" s="2903" t="s">
        <v>2709</v>
      </c>
      <c r="B25" s="2900" t="s">
        <v>953</v>
      </c>
      <c r="C25" s="2902"/>
      <c r="D25" s="1804" t="s">
        <v>2712</v>
      </c>
    </row>
    <row r="29" spans="1:4">
      <c r="D29" s="2901" t="s">
        <v>2043</v>
      </c>
    </row>
    <row r="30" spans="1:4">
      <c r="D30" s="290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4"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4" t="s">
        <v>53</v>
      </c>
      <c r="B15" s="3205" t="s">
        <v>847</v>
      </c>
      <c r="C15" s="3201"/>
    </row>
    <row r="16" spans="1:7" ht="14.25">
      <c r="A16" s="3204"/>
      <c r="B16" s="3202" t="s">
        <v>54</v>
      </c>
      <c r="C16" s="1175" t="s">
        <v>53</v>
      </c>
    </row>
    <row r="17" spans="1:3" ht="14.25">
      <c r="A17" s="3204"/>
      <c r="B17" s="3202"/>
      <c r="C17" s="1175" t="s">
        <v>55</v>
      </c>
    </row>
    <row r="18" spans="1:3" ht="14.25">
      <c r="A18" s="3204"/>
      <c r="B18" s="3202"/>
      <c r="C18" s="1175" t="s">
        <v>56</v>
      </c>
    </row>
    <row r="19" spans="1:3" ht="14.25">
      <c r="A19" s="3204"/>
      <c r="B19" s="3200" t="s">
        <v>57</v>
      </c>
      <c r="C19" s="3201"/>
    </row>
    <row r="20" spans="1:3" ht="14.25">
      <c r="A20" s="1176" t="s">
        <v>58</v>
      </c>
      <c r="B20" s="1177"/>
      <c r="C20" s="1178"/>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9" t="s">
        <v>838</v>
      </c>
    </row>
    <row r="25" spans="1:3" ht="14.25">
      <c r="A25" s="3203"/>
      <c r="B25" s="3207"/>
      <c r="C25" s="1179" t="s">
        <v>839</v>
      </c>
    </row>
    <row r="26" spans="1:3" ht="14.25">
      <c r="A26" s="3203"/>
      <c r="B26" s="3207"/>
      <c r="C26" s="1179" t="s">
        <v>840</v>
      </c>
    </row>
    <row r="27" spans="1:3" ht="14.25">
      <c r="A27" s="3203"/>
      <c r="B27" s="3207"/>
      <c r="C27" s="1179" t="s">
        <v>841</v>
      </c>
    </row>
    <row r="28" spans="1:3" ht="14.25">
      <c r="A28" s="3203"/>
      <c r="B28" s="3207"/>
      <c r="C28" s="1179" t="s">
        <v>842</v>
      </c>
    </row>
    <row r="29" spans="1:3" ht="14.25">
      <c r="A29" s="3203"/>
      <c r="B29" s="3207"/>
      <c r="C29" s="1179" t="s">
        <v>843</v>
      </c>
    </row>
    <row r="30" spans="1:3" ht="14.25">
      <c r="A30" s="3203"/>
      <c r="B30" s="3207"/>
      <c r="C30" s="1179" t="s">
        <v>844</v>
      </c>
    </row>
    <row r="31" spans="1:3" ht="14.25">
      <c r="A31" s="3203"/>
      <c r="B31" s="3207"/>
      <c r="C31" s="1179" t="s">
        <v>845</v>
      </c>
    </row>
    <row r="32" spans="1:3" ht="14.25">
      <c r="A32" s="3203"/>
      <c r="B32" s="3207"/>
      <c r="C32" s="1179" t="s">
        <v>1648</v>
      </c>
    </row>
    <row r="33" spans="1:3" ht="14.25">
      <c r="A33" s="3203"/>
      <c r="B33" s="3197" t="s">
        <v>1654</v>
      </c>
      <c r="C33" s="1179" t="s">
        <v>1649</v>
      </c>
    </row>
    <row r="34" spans="1:3" ht="14.25">
      <c r="A34" s="3203"/>
      <c r="B34" s="3198"/>
      <c r="C34" s="1184" t="s">
        <v>1650</v>
      </c>
    </row>
    <row r="35" spans="1:3" ht="14.25">
      <c r="A35" s="3203"/>
      <c r="B35" s="3198"/>
      <c r="C35" s="1185" t="s">
        <v>1651</v>
      </c>
    </row>
    <row r="36" spans="1:3" ht="14.25">
      <c r="A36" s="3203"/>
      <c r="B36" s="3198"/>
      <c r="C36" s="1185" t="s">
        <v>1652</v>
      </c>
    </row>
    <row r="37" spans="1:3" ht="14.25">
      <c r="A37" s="3203"/>
      <c r="B37" s="3199"/>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9" sqref="C9 B2"/>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1">
        <f ca="1">TODAY()</f>
        <v>43026</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8">
        <v>43849</v>
      </c>
      <c r="D4" s="2347" t="s">
        <v>1916</v>
      </c>
      <c r="E4" s="2347">
        <f ca="1">IF(F4&lt;B2,"已过期",96010014)</f>
        <v>96010014</v>
      </c>
      <c r="F4" s="3039">
        <v>47118</v>
      </c>
    </row>
    <row r="5" spans="1:6" ht="20.25" customHeight="1">
      <c r="A5" s="2347" t="s">
        <v>1917</v>
      </c>
      <c r="B5" s="2347">
        <f ca="1">IF(C5&lt;B2,"已过期",1119970074)</f>
        <v>1119970074</v>
      </c>
      <c r="C5" s="3038">
        <v>43849</v>
      </c>
      <c r="D5" s="2347" t="s">
        <v>1917</v>
      </c>
      <c r="E5" s="2347">
        <f ca="1">IF(F5&lt;B2,"已过期",2002110027)</f>
        <v>2002110027</v>
      </c>
      <c r="F5" s="3039">
        <v>46752</v>
      </c>
    </row>
    <row r="6" spans="1:6" ht="20.25" customHeight="1">
      <c r="A6" s="2347" t="s">
        <v>1918</v>
      </c>
      <c r="B6" s="2347">
        <f ca="1">IF(C6&lt;B2,"已过期",1119970111)</f>
        <v>1119970111</v>
      </c>
      <c r="C6" s="3038">
        <v>43849</v>
      </c>
      <c r="D6" s="2347" t="s">
        <v>1918</v>
      </c>
      <c r="E6" s="2347">
        <f ca="1">IF(F6&lt;B2,"已过期",94010078)</f>
        <v>94010078</v>
      </c>
      <c r="F6" s="3039">
        <v>46387</v>
      </c>
    </row>
    <row r="7" spans="1:6" ht="20.25" customHeight="1">
      <c r="A7" s="2347" t="s">
        <v>1919</v>
      </c>
      <c r="B7" s="2347">
        <f ca="1">IF(C7&lt;B2,"已过期",1120050019)</f>
        <v>1120050019</v>
      </c>
      <c r="C7" s="3038">
        <v>43359</v>
      </c>
      <c r="D7" s="2347" t="s">
        <v>1919</v>
      </c>
      <c r="E7" s="2347">
        <f ca="1">IF(F7&lt;B2,"已过期",2002110030)</f>
        <v>2002110030</v>
      </c>
      <c r="F7" s="3039">
        <v>46387</v>
      </c>
    </row>
    <row r="8" spans="1:6" ht="20.25" customHeight="1">
      <c r="A8" s="2347" t="s">
        <v>1920</v>
      </c>
      <c r="B8" s="2347">
        <f ca="1">IF(C8&lt;B2,"已过期",1120000080)</f>
        <v>1120000080</v>
      </c>
      <c r="C8" s="3038">
        <v>43849</v>
      </c>
      <c r="D8" s="2347" t="s">
        <v>1920</v>
      </c>
      <c r="E8" s="2347">
        <f ca="1">IF(F8&lt;B2,"已过期",2000110082)</f>
        <v>2000110082</v>
      </c>
      <c r="F8" s="3039">
        <v>46387</v>
      </c>
    </row>
    <row r="9" spans="1:6" ht="20.25" customHeight="1">
      <c r="A9" s="2347" t="s">
        <v>1921</v>
      </c>
      <c r="B9" s="2347">
        <f ca="1">IF(C9&lt;B2,"已过期",1419970001)</f>
        <v>1419970001</v>
      </c>
      <c r="C9" s="3038">
        <v>43867</v>
      </c>
      <c r="D9" s="2347" t="s">
        <v>1921</v>
      </c>
      <c r="E9" s="2347">
        <f ca="1">IF(F9&lt;B2,"已过期",2002110125)</f>
        <v>2002110125</v>
      </c>
      <c r="F9" s="3039">
        <v>47118</v>
      </c>
    </row>
    <row r="10" spans="1:6" ht="20.25" customHeight="1">
      <c r="A10" s="2347" t="s">
        <v>1922</v>
      </c>
      <c r="B10" s="2347">
        <f ca="1">IF(C10&lt;B2,"已过期",1120060040)</f>
        <v>1120060040</v>
      </c>
      <c r="C10" s="3038">
        <v>43483</v>
      </c>
      <c r="D10" s="2347" t="s">
        <v>1922</v>
      </c>
      <c r="E10" s="2347">
        <f ca="1">IF(F10&lt;B2,"已过期",2004110096)</f>
        <v>2004110096</v>
      </c>
      <c r="F10" s="3039">
        <v>47118</v>
      </c>
    </row>
    <row r="11" spans="1:6" ht="20.25" customHeight="1">
      <c r="A11" s="2347" t="s">
        <v>1923</v>
      </c>
      <c r="B11" s="2347">
        <f ca="1">IF(C11&lt;B2,"已过期",1120100036)</f>
        <v>1120100036</v>
      </c>
      <c r="C11" s="3038">
        <v>43622</v>
      </c>
      <c r="D11" s="2347" t="s">
        <v>1923</v>
      </c>
      <c r="E11" s="2347">
        <f ca="1">IF(F11&lt;B2,"已过期",2010110070)</f>
        <v>2010110070</v>
      </c>
      <c r="F11" s="3039">
        <v>47907</v>
      </c>
    </row>
    <row r="12" spans="1:6" ht="20.25" customHeight="1">
      <c r="A12" s="2347"/>
      <c r="B12" s="2347"/>
      <c r="C12" s="3038"/>
      <c r="D12" s="2347"/>
      <c r="E12" s="2347"/>
      <c r="F12" s="2347"/>
    </row>
    <row r="13" spans="1:6" ht="20.25" customHeight="1">
      <c r="A13" s="2347" t="s">
        <v>1924</v>
      </c>
      <c r="B13" s="2347">
        <f ca="1">IF(C13&lt;B2,"已过期",1120070131)</f>
        <v>1120070131</v>
      </c>
      <c r="C13" s="3038">
        <v>43814</v>
      </c>
      <c r="D13" s="2347" t="s">
        <v>1924</v>
      </c>
      <c r="E13" s="2347">
        <v>2014110011</v>
      </c>
      <c r="F13" s="3039">
        <v>49302</v>
      </c>
    </row>
    <row r="14" spans="1:6" ht="20.25" customHeight="1">
      <c r="A14" s="2347" t="s">
        <v>1925</v>
      </c>
      <c r="B14" s="2347">
        <f ca="1">IF(C14&lt;B2,"已过期",1120130020)</f>
        <v>1120130020</v>
      </c>
      <c r="C14" s="3038">
        <v>43622</v>
      </c>
      <c r="D14" s="2347"/>
      <c r="E14" s="2347"/>
      <c r="F14" s="2347"/>
    </row>
    <row r="15" spans="1:6" ht="20.25" customHeight="1">
      <c r="A15" s="2347" t="s">
        <v>2580</v>
      </c>
      <c r="B15" s="2347">
        <v>1120070085</v>
      </c>
      <c r="C15" s="3038">
        <v>43814</v>
      </c>
      <c r="D15" s="2347" t="s">
        <v>2580</v>
      </c>
      <c r="E15" s="2347">
        <v>2004110128</v>
      </c>
      <c r="F15" s="3039">
        <v>47118</v>
      </c>
    </row>
    <row r="16" spans="1:6" ht="20.25" customHeight="1">
      <c r="A16" s="2347" t="s">
        <v>1926</v>
      </c>
      <c r="B16" s="2347">
        <f ca="1">IF(C16&lt;B2,"已过期",1120140022)</f>
        <v>1120140022</v>
      </c>
      <c r="C16" s="3038">
        <v>44029</v>
      </c>
      <c r="D16" s="2347" t="s">
        <v>1926</v>
      </c>
      <c r="E16" s="2347">
        <f ca="1">IF(F16&lt;B2,"已过期",2008110059)</f>
        <v>2008110059</v>
      </c>
      <c r="F16" s="3039">
        <v>47177</v>
      </c>
    </row>
    <row r="17" spans="1:7" ht="20.25" customHeight="1">
      <c r="A17" s="2347"/>
      <c r="B17" s="2347"/>
      <c r="C17" s="3038"/>
      <c r="D17" s="2347"/>
      <c r="E17" s="2347"/>
      <c r="F17" s="3039"/>
    </row>
    <row r="18" spans="1:7" ht="20.25" customHeight="1">
      <c r="A18" s="2347"/>
      <c r="B18" s="2347"/>
      <c r="C18" s="3038"/>
      <c r="D18" s="2347"/>
      <c r="E18" s="2347"/>
      <c r="F18" s="3039"/>
    </row>
    <row r="19" spans="1:7" ht="20.25" customHeight="1">
      <c r="A19" s="2347"/>
      <c r="B19" s="2347"/>
      <c r="C19" s="3038"/>
      <c r="D19" s="2347"/>
      <c r="E19" s="2347"/>
      <c r="F19" s="2347"/>
    </row>
    <row r="20" spans="1:7" ht="20.25" customHeight="1">
      <c r="A20" s="2347"/>
      <c r="B20" s="2347"/>
      <c r="C20" s="3038"/>
      <c r="D20" s="2347"/>
      <c r="E20" s="2347"/>
      <c r="F20" s="2347"/>
    </row>
    <row r="21" spans="1:7" ht="20.25" customHeight="1">
      <c r="A21" s="2347"/>
      <c r="B21" s="2347"/>
      <c r="C21" s="3038"/>
      <c r="D21" s="2347" t="s">
        <v>1927</v>
      </c>
      <c r="E21" s="2347">
        <f ca="1">IF(F21&lt;B2,"已过期",2011110090)</f>
        <v>2011110090</v>
      </c>
      <c r="F21" s="3039">
        <v>48302</v>
      </c>
    </row>
    <row r="22" spans="1:7" ht="20.25" customHeight="1">
      <c r="A22" s="2347" t="s">
        <v>1928</v>
      </c>
      <c r="B22" s="2347">
        <f ca="1">IF(C22&lt;B2,"已过期",1120020033)</f>
        <v>1120020033</v>
      </c>
      <c r="C22" s="3038">
        <v>43304</v>
      </c>
      <c r="D22" s="2347" t="s">
        <v>1928</v>
      </c>
      <c r="E22" s="2347">
        <f ca="1">IF(F22&lt;B2,"已过期",2000110137)</f>
        <v>2000110137</v>
      </c>
      <c r="F22" s="3039">
        <v>46387</v>
      </c>
    </row>
    <row r="23" spans="1:7" ht="20.25" customHeight="1">
      <c r="A23" s="2347" t="s">
        <v>1929</v>
      </c>
      <c r="B23" s="2347">
        <f ca="1">IF(C23&lt;B2,"已过期",1120130048)</f>
        <v>1120130048</v>
      </c>
      <c r="C23" s="3038">
        <v>43686</v>
      </c>
      <c r="D23" s="2347"/>
      <c r="E23" s="2347"/>
      <c r="F23" s="2347"/>
    </row>
    <row r="24" spans="1:7" s="2351" customFormat="1" ht="20.25" customHeight="1">
      <c r="A24" s="2349" t="s">
        <v>2057</v>
      </c>
      <c r="B24" s="2349" t="s">
        <v>2057</v>
      </c>
      <c r="C24" s="3038"/>
      <c r="D24" s="3040" t="s">
        <v>2057</v>
      </c>
      <c r="E24" s="2349" t="s">
        <v>2057</v>
      </c>
      <c r="F24" s="2350"/>
    </row>
    <row r="25" spans="1:7" ht="20.25" customHeight="1">
      <c r="A25" s="3208" t="s">
        <v>1930</v>
      </c>
      <c r="B25" s="3208"/>
      <c r="C25" s="3208"/>
      <c r="D25" s="3208"/>
      <c r="E25" s="3208"/>
      <c r="F25" s="3208"/>
      <c r="G25" s="3208"/>
    </row>
    <row r="26" spans="1:7" ht="20.25" customHeight="1">
      <c r="A26" s="3209" t="s">
        <v>1931</v>
      </c>
      <c r="B26" s="3209"/>
      <c r="C26" s="3209"/>
      <c r="D26" s="3209" t="s">
        <v>1932</v>
      </c>
      <c r="E26" s="3209"/>
      <c r="F26" s="3209"/>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2551</v>
      </c>
      <c r="R1" s="2610" t="s">
        <v>2545</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2546</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2547</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2548</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2549</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2550</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9" t="s">
        <v>2965</v>
      </c>
      <c r="C18" s="1558"/>
    </row>
    <row r="19" spans="1:3">
      <c r="A19" s="8" t="s">
        <v>120</v>
      </c>
      <c r="B19" s="3149" t="s">
        <v>2973</v>
      </c>
      <c r="C19" s="1558"/>
    </row>
    <row r="20" spans="1:3">
      <c r="A20" s="8" t="s">
        <v>121</v>
      </c>
      <c r="B20" s="8" t="s">
        <v>1643</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泰禾置业集团有限公司拟使用郑州市鸿宝南路南、姚店堤西路东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10"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13日，在规划利用条件下、设定土地开发程度为红线外“六通”、宗地内场地平整，设定用途为城镇住宅用地，剩余土地使用年限为住宅70年的出让国有建设用地使用权价格。</v>
      </c>
      <c r="D53" s="1771"/>
      <c r="E53" s="1771"/>
    </row>
    <row r="54" spans="1:5">
      <c r="A54" s="3210"/>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0"/>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0"/>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0"/>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vt:lpstr>
      <vt:lpstr>土地案例</vt:lpstr>
      <vt:lpstr>楼盘案例</vt:lpstr>
      <vt:lpstr>土地级别</vt:lpstr>
      <vt:lpstr>土地纳税</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2017-10-18T06:46:48Z</dcterms:modified>
</cp:coreProperties>
</file>