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8" i="9" l="1"/>
  <c r="N18" i="1" l="1"/>
  <c r="O20" i="1" s="1"/>
  <c r="G7" i="80" l="1"/>
  <c r="G5" i="34"/>
  <c r="C34" i="34" l="1"/>
  <c r="E92" i="37" l="1"/>
  <c r="F92" i="37"/>
  <c r="D92" i="37"/>
  <c r="D41" i="43"/>
  <c r="G19" i="6"/>
  <c r="F19" i="6" l="1"/>
  <c r="D33" i="43" s="1"/>
  <c r="J52" i="15" l="1"/>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C76" i="15"/>
  <c r="B10" i="76"/>
  <c r="F36" i="15"/>
  <c r="D6" i="73"/>
  <c r="M26" i="67"/>
  <c r="F13" i="67"/>
  <c r="M23" i="15"/>
  <c r="F9" i="15"/>
  <c r="F42" i="67"/>
  <c r="F42" i="15"/>
  <c r="B13" i="76"/>
  <c r="F5" i="73"/>
  <c r="L47" i="15"/>
  <c r="F3" i="73"/>
  <c r="F4" i="73"/>
  <c r="M26" i="15"/>
  <c r="E11" i="76"/>
  <c r="E7" i="76"/>
  <c r="J15" i="67"/>
  <c r="L48" i="67"/>
  <c r="F7" i="73"/>
  <c r="B7" i="76"/>
  <c r="M22" i="67"/>
  <c r="F36" i="67"/>
  <c r="F37" i="15"/>
  <c r="B12" i="76"/>
  <c r="E2" i="68"/>
  <c r="B8" i="76"/>
  <c r="M23" i="67"/>
  <c r="M22" i="15"/>
  <c r="F6" i="15"/>
  <c r="F9" i="67"/>
  <c r="F8" i="15"/>
  <c r="L47" i="67"/>
  <c r="F26" i="67"/>
  <c r="B9" i="76"/>
  <c r="E13" i="76"/>
  <c r="AO13" i="1"/>
  <c r="E9" i="76"/>
  <c r="F26" i="15"/>
  <c r="M24" i="15"/>
  <c r="M8" i="15"/>
  <c r="E8" i="76"/>
  <c r="F20" i="31"/>
  <c r="E2" i="69"/>
  <c r="M6" i="15"/>
  <c r="E12" i="76"/>
  <c r="F6" i="67"/>
  <c r="F40" i="67"/>
  <c r="M9" i="67"/>
  <c r="F6" i="73"/>
  <c r="F40" i="15"/>
  <c r="M9" i="15"/>
  <c r="F16" i="15"/>
  <c r="M8" i="67"/>
  <c r="M24" i="67"/>
  <c r="F37" i="67"/>
  <c r="M28" i="15"/>
  <c r="J15" i="15"/>
  <c r="M28" i="67"/>
  <c r="F8" i="67"/>
  <c r="F13" i="15"/>
  <c r="F38" i="15"/>
  <c r="E10" i="76"/>
  <c r="C76" i="67"/>
  <c r="M6" i="67"/>
  <c r="F38" i="67"/>
  <c r="B11" i="76"/>
  <c r="L48" i="15"/>
  <c r="S37" i="34" l="1"/>
  <c r="U25" i="34"/>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4" i="73"/>
  <c r="D7" i="73"/>
  <c r="D3" i="73"/>
  <c r="D5" i="73"/>
  <c r="M29" i="67"/>
  <c r="F43" i="67"/>
  <c r="F7" i="15"/>
  <c r="F43" i="15"/>
  <c r="M29" i="15"/>
  <c r="F7" i="67"/>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C16" i="15"/>
  <c r="C16" i="67"/>
  <c r="AE6" i="1"/>
  <c r="G1" i="73"/>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67"/>
  <c r="F41" i="15"/>
  <c r="F41" i="67"/>
  <c r="M27" i="15"/>
  <c r="E6" i="3" l="1"/>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7" i="67"/>
  <c r="C14" i="67"/>
  <c r="C17" i="15"/>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F35" i="15"/>
  <c r="M21" i="15"/>
  <c r="F35"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2" i="33"/>
  <c r="D34"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9" i="1"/>
  <c r="AO10" i="1"/>
  <c r="AO7" i="1"/>
  <c r="AO8" i="1"/>
  <c r="AO12" i="1"/>
  <c r="AO11"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D107" i="9" s="1"/>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l="1"/>
  <c r="D58" i="9" s="1"/>
  <c r="D56" i="9" s="1"/>
  <c r="M54" i="9" s="1"/>
  <c r="N57" i="9" s="1"/>
  <c r="N59" i="9" s="1"/>
  <c r="M69" i="9"/>
  <c r="N69" i="9" s="1"/>
  <c r="D6" i="74"/>
  <c r="C6" i="74"/>
  <c r="D5" i="74"/>
  <c r="C5" i="74"/>
  <c r="C80" i="9"/>
  <c r="E80" i="9" s="1"/>
  <c r="E81" i="9" s="1"/>
  <c r="P57" i="9" l="1"/>
  <c r="N58"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<sst xmlns="http://schemas.openxmlformats.org/spreadsheetml/2006/main" count="7972" uniqueCount="3475">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</sst>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shrinkToFit="1"/>
      <protection locked="0"/>
    </xf>
    <xf numFmtId="0" fontId="53" fillId="18"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12</xdr:col>
      <xdr:colOff>571500</xdr:colOff>
      <xdr:row>0</xdr:row>
      <xdr:rowOff>0</xdr:rowOff>
    </xdr:from>
    <xdr:to>
      <xdr:col>18</xdr:col>
      <xdr:colOff>85271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8011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2024年10月23日（评估专业人员实地查勘之日）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2600</v>
      </c>
    </row>
    <row r="21" spans="1:2" s="1202" customFormat="1">
      <c r="A21" s="1200" t="s">
        <v>537</v>
      </c>
      <c r="B21" s="1201">
        <f ca="1">'预评函-2'!D7</f>
        <v>32720</v>
      </c>
    </row>
    <row r="22" spans="1:2" s="1202" customFormat="1">
      <c r="A22" s="1200" t="s">
        <v>538</v>
      </c>
      <c r="B22" s="1201" t="str">
        <f ca="1">'预评函-2'!D6</f>
        <v>贰仟陆佰万元整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2600</v>
      </c>
    </row>
    <row r="31" spans="1:2" s="1202" customFormat="1">
      <c r="A31" s="1200" t="s">
        <v>576</v>
      </c>
      <c r="B31" s="1201">
        <f ca="1">'预评函-2'!D15</f>
        <v>32720</v>
      </c>
    </row>
    <row r="32" spans="1:2" s="1202" customFormat="1">
      <c r="A32" s="1200" t="s">
        <v>543</v>
      </c>
      <c r="B32" s="1201" t="str">
        <f ca="1">'预评函-2'!D14</f>
        <v>贰仟陆佰万元整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4" t="s">
        <v>2582</v>
      </c>
      <c r="J2" s="3504"/>
      <c r="K2" s="3504"/>
      <c r="L2" s="3504"/>
      <c r="M2" s="3504"/>
      <c r="N2" s="3504"/>
      <c r="O2" s="3504"/>
      <c r="P2" s="3504"/>
      <c r="Q2" s="3504"/>
      <c r="R2" s="3504"/>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45588</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08"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09"/>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3461">
        <v>55081</v>
      </c>
      <c r="F13" s="855"/>
      <c r="G13" s="855"/>
      <c r="H13" s="3458">
        <v>50701</v>
      </c>
      <c r="I13" s="855"/>
      <c r="J13" s="3061"/>
      <c r="K13" s="2612"/>
      <c r="L13" s="2612"/>
      <c r="M13" s="2438"/>
      <c r="N13" s="2449"/>
      <c r="O13" s="2438"/>
      <c r="P13" s="2438"/>
      <c r="Q13" s="2438"/>
      <c r="AD13" s="1744"/>
    </row>
    <row r="14" spans="1:30">
      <c r="A14" s="1080"/>
      <c r="B14" s="2406" t="s">
        <v>2191</v>
      </c>
      <c r="C14" s="2407"/>
      <c r="D14" s="2407"/>
      <c r="E14" s="2407">
        <v>50</v>
      </c>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26</v>
      </c>
      <c r="F15" s="2409" t="str">
        <f>IF(A13="出让",IF(F13="","",ROUNDDOWN(MIN((F13-$D$3)/365,F14),2)),F14)</f>
        <v/>
      </c>
      <c r="G15" s="2409" t="str">
        <f>IF(A13="出让",IF(G13="","",ROUNDDOWN(MIN((G13-$D$3)/365,G14),2)),G14)</f>
        <v/>
      </c>
      <c r="H15" s="2409">
        <f>IF(A13="出让",IF(H13="","",ROUNDDOWN(MIN((H13-$D$3)/365,H14),2)),H14)</f>
        <v>14</v>
      </c>
      <c r="I15" s="2409" t="str">
        <f>IF(A13="出让",IF(I13="","",ROUNDDOWN(MIN((I13-$D$3)/365,I14),2)),I14)</f>
        <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2" t="s">
        <v>2195</v>
      </c>
      <c r="B17" s="301" t="s">
        <v>2196</v>
      </c>
      <c r="C17" s="8">
        <f>'数据-汇总表'!E3</f>
        <v>794.57</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1"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794.57</v>
      </c>
      <c r="H5" s="13">
        <f t="shared" ref="H5:AT5" si="0">SUM(H13:H656)</f>
        <v>794.57</v>
      </c>
      <c r="I5" s="13">
        <f t="shared" si="0"/>
        <v>794.57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794.57</v>
      </c>
      <c r="BA5" s="15">
        <f t="shared" si="1"/>
        <v>794.57</v>
      </c>
      <c r="BB5" s="15">
        <f t="shared" si="1"/>
        <v>794.57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794.57</v>
      </c>
      <c r="H13" s="17">
        <f>SUMIF(I$12:AB$12,"总值",I13:AB13)</f>
        <v>794.57</v>
      </c>
      <c r="I13" s="3459">
        <v>794.57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794.57</v>
      </c>
      <c r="BA13" s="13">
        <f>SUM(BB13:BK13)</f>
        <v>794.57</v>
      </c>
      <c r="BB13" s="13">
        <f>IF($D13="是",I13-J13,0)</f>
        <v>794.57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794.57</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794.57</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794.57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794.57</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794.57</v>
      </c>
      <c r="F19" s="2794">
        <f>'数据-基础表'!I13</f>
        <v>794.57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794.57</v>
      </c>
      <c r="F27" s="1139">
        <f>IF(SUM(F19:F26)=E8,SUM(F19:F26),"地上面积有误")</f>
        <v>794.57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794.57</v>
      </c>
      <c r="F31" s="676">
        <f>F27+F30</f>
        <v>794.57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21</v>
      </c>
      <c r="D6" s="857">
        <f>SUMIF(项目基本情况!C$12:I$12,C6,项目基本情况!C$14:I$14)</f>
        <v>50</v>
      </c>
      <c r="E6" s="856">
        <f>IF(B6="","",SUMIF(项目基本情况!C$12:I$12,C6,项目基本情况!C$13:I$13))</f>
        <v>55081</v>
      </c>
      <c r="F6" s="64">
        <f>SUMIF(项目基本情况!C$12:I$12,C6,项目基本情况!C$15:I$15)</f>
        <v>26</v>
      </c>
      <c r="G6" s="65">
        <f>IF(ISERROR(ROUND(POWER(1+H6,D6-F6)*(POWER(1+H6,F6)-1)/(POWER(1+H6,D6)-1),3)),0,ROUND(POWER(1+H6,D6-F6)*(POWER(1+H6,F6)-1)/(POWER(1+H6,D6)-1),3))</f>
        <v>0.78700000000000003</v>
      </c>
      <c r="H6" s="731">
        <v>0.05</v>
      </c>
      <c r="I6" s="731">
        <v>5.5E-2</v>
      </c>
      <c r="J6" s="66">
        <v>7.0000000000000007E-2</v>
      </c>
      <c r="K6" s="1029">
        <f>SUMIF('数据-汇总表'!C$19:C$33,A6,'数据-汇总表'!E$19:E$33)</f>
        <v>794.57</v>
      </c>
      <c r="L6" s="732">
        <v>4500</v>
      </c>
      <c r="M6" s="67">
        <f t="shared" ref="M6:M14" si="0">ROUND(K6*L6/10000,0)</f>
        <v>358</v>
      </c>
      <c r="N6" s="3460">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0.8</v>
      </c>
      <c r="Z6" s="72"/>
      <c r="AA6" s="66"/>
      <c r="AB6" s="66"/>
      <c r="AC6" s="1039"/>
      <c r="AD6" s="73"/>
      <c r="AE6" s="1040">
        <f ca="1">IF(AN6="",0,SUMIF(INDIRECT("'"&amp;AN6&amp;"'"&amp;"!E:E"),$AE$5,INDIRECT("'"&amp;AN6&amp;"'"&amp;"!F:F")))</f>
        <v>26</v>
      </c>
      <c r="AF6" s="1347"/>
      <c r="AG6" s="137">
        <f>IF(AF6="",0,AE6-AF6)</f>
        <v>0</v>
      </c>
      <c r="AH6" s="74"/>
      <c r="AI6" s="76">
        <v>365</v>
      </c>
      <c r="AJ6" s="77"/>
      <c r="AK6" s="78">
        <v>5.0000000000000001E-3</v>
      </c>
      <c r="AL6" s="79">
        <v>1E-3</v>
      </c>
      <c r="AM6" s="80">
        <v>5.0000000000000001E-3</v>
      </c>
      <c r="AN6" s="1714" t="s">
        <v>3426</v>
      </c>
      <c r="AO6" s="52">
        <f ca="1">SUMIF(INDIRECT("'"&amp;AN6&amp;"'"&amp;"!A:A"),"总价",INDIRECT("'"&amp;AN6&amp;"'"&amp;"!B:B"))</f>
        <v>1425.4042999999999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0.78700000000000003</v>
      </c>
      <c r="H16" s="90">
        <f>ROUND(SUMPRODUCT(H6:H13,K6:K13)/SUMPRODUCT((H6:H13&gt;0)*(K6:K13)),3)</f>
        <v>0.05</v>
      </c>
      <c r="I16" s="91"/>
      <c r="J16" s="91"/>
      <c r="K16" s="92">
        <f>SUM(K6:K15)</f>
        <v>794.57</v>
      </c>
      <c r="L16" s="93">
        <f>ROUND(M16*10000/SUM(K6:K14),0)</f>
        <v>4506</v>
      </c>
      <c r="M16" s="93">
        <f>SUM(M6:M14)</f>
        <v>358</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0.53</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794.57</v>
      </c>
      <c r="L20" s="2671"/>
      <c r="M20" s="2670">
        <f>ROUND(1-(2024-2014)/50,2)</f>
        <v>0.8</v>
      </c>
      <c r="N20" s="2670">
        <f>(N18+N19)/2</f>
        <v>0.66500000000000004</v>
      </c>
      <c r="O20" s="2670">
        <f>N18*O18+N19*O19</f>
        <v>0.73250000000000015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794.57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2600</v>
      </c>
      <c r="C5" s="2511">
        <f ca="1">IF(B5=D14,结果表!H102,ROUND(B5*10000/$B$1,0))</f>
        <v>32720</v>
      </c>
      <c r="D5" s="2511" t="e">
        <f ca="1">ROUND(B5*10000/$B$2,0)</f>
        <v>#DIV/0!</v>
      </c>
      <c r="E5" s="2685"/>
      <c r="F5" s="2686"/>
      <c r="G5" s="2686"/>
      <c r="H5" s="2687"/>
      <c r="I5" s="2687"/>
      <c r="J5" s="2687"/>
      <c r="K5" s="2687"/>
    </row>
    <row r="6" spans="1:11" ht="16.5">
      <c r="A6" s="2511" t="s">
        <v>656</v>
      </c>
      <c r="B6" s="2511">
        <f ca="1">SUM(G14:G23)</f>
        <v>2600</v>
      </c>
      <c r="C6" s="2511">
        <f ca="1">IF(B6=G14,结果表!H108,ROUND(B6*10000/$B$1,0))</f>
        <v>32720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794.57</v>
      </c>
      <c r="C14" s="2517"/>
      <c r="D14" s="2517">
        <f ca="1">结果表!H107</f>
        <v>2600</v>
      </c>
      <c r="E14" s="2517">
        <f ca="1">ROUND(D14*10000/B14,0)</f>
        <v>32722</v>
      </c>
      <c r="F14" s="2517" t="e">
        <f ca="1">ROUND(D14*10000/C14,0)</f>
        <v>#DIV/0!</v>
      </c>
      <c r="G14" s="2517">
        <f ca="1">D14</f>
        <v>2600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08" sqref="D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3474</v>
      </c>
      <c r="D4" s="1755" t="s">
        <v>3426</v>
      </c>
      <c r="E4" s="3628" t="s">
        <v>1267</v>
      </c>
      <c r="F4" s="3629"/>
      <c r="G4" s="3629"/>
      <c r="H4" s="3629"/>
      <c r="I4" s="363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0" t="s">
        <v>1269</v>
      </c>
      <c r="F5" s="1756"/>
      <c r="G5" s="1756"/>
      <c r="H5" s="1756"/>
      <c r="I5" s="1372"/>
    </row>
    <row r="6" spans="1:12" ht="12.75">
      <c r="A6" s="3567"/>
      <c r="B6" s="3622"/>
      <c r="C6" s="3627"/>
      <c r="D6" s="3613"/>
      <c r="E6" s="130" t="s">
        <v>1270</v>
      </c>
      <c r="F6" s="1756"/>
      <c r="G6" s="1756"/>
      <c r="H6" s="1756"/>
      <c r="I6" s="1372"/>
    </row>
    <row r="7" spans="1:12" ht="12.75">
      <c r="A7" s="3567"/>
      <c r="B7" s="3622"/>
      <c r="C7" s="3626"/>
      <c r="D7" s="3613"/>
      <c r="E7" s="130" t="s">
        <v>1271</v>
      </c>
      <c r="F7" s="1756"/>
      <c r="G7" s="1756"/>
      <c r="H7" s="1756"/>
      <c r="I7" s="1372"/>
    </row>
    <row r="8" spans="1:12" ht="12.75">
      <c r="A8" s="3567" t="s">
        <v>1272</v>
      </c>
      <c r="B8" s="3622">
        <v>15</v>
      </c>
      <c r="C8" s="3625"/>
      <c r="D8" s="3613"/>
      <c r="E8" s="130" t="s">
        <v>1273</v>
      </c>
      <c r="F8" s="1756"/>
      <c r="G8" s="1756"/>
      <c r="H8" s="1756"/>
      <c r="I8" s="1372"/>
    </row>
    <row r="9" spans="1:12" ht="12.75">
      <c r="A9" s="3567"/>
      <c r="B9" s="3622"/>
      <c r="C9" s="3626"/>
      <c r="D9" s="3613"/>
      <c r="E9" s="130" t="s">
        <v>1274</v>
      </c>
      <c r="F9" s="1756"/>
      <c r="G9" s="1756"/>
      <c r="H9" s="1756"/>
      <c r="I9" s="1372"/>
    </row>
    <row r="10" spans="1:12" ht="12.75">
      <c r="A10" s="3567" t="s">
        <v>1275</v>
      </c>
      <c r="B10" s="3622">
        <v>15</v>
      </c>
      <c r="C10" s="3625"/>
      <c r="D10" s="3613"/>
      <c r="E10" s="130" t="s">
        <v>1276</v>
      </c>
      <c r="F10" s="1756"/>
      <c r="G10" s="1756"/>
      <c r="H10" s="1756"/>
      <c r="I10" s="1372"/>
    </row>
    <row r="11" spans="1:12" ht="12.75">
      <c r="A11" s="3567"/>
      <c r="B11" s="3622"/>
      <c r="C11" s="3626"/>
      <c r="D11" s="3613"/>
      <c r="E11" s="130" t="s">
        <v>1277</v>
      </c>
      <c r="F11" s="1756"/>
      <c r="G11" s="1756"/>
      <c r="H11" s="1756"/>
      <c r="I11" s="1372"/>
    </row>
    <row r="12" spans="1:12" ht="12.75">
      <c r="A12" s="3567" t="s">
        <v>1278</v>
      </c>
      <c r="B12" s="3622">
        <v>15</v>
      </c>
      <c r="C12" s="3625"/>
      <c r="D12" s="3613"/>
      <c r="E12" s="130" t="s">
        <v>1279</v>
      </c>
      <c r="F12" s="1756"/>
      <c r="G12" s="1756"/>
      <c r="H12" s="1756"/>
      <c r="I12" s="1372"/>
    </row>
    <row r="13" spans="1:12" ht="12.75">
      <c r="A13" s="3567"/>
      <c r="B13" s="3622"/>
      <c r="C13" s="3626"/>
      <c r="D13" s="3613"/>
      <c r="E13" s="130" t="s">
        <v>1280</v>
      </c>
      <c r="F13" s="1756"/>
      <c r="G13" s="1756"/>
      <c r="H13" s="1756"/>
      <c r="I13" s="1372"/>
    </row>
    <row r="14" spans="1:12" ht="12.75">
      <c r="A14" s="3567" t="s">
        <v>1281</v>
      </c>
      <c r="B14" s="3622">
        <v>30</v>
      </c>
      <c r="C14" s="3625">
        <v>7</v>
      </c>
      <c r="D14" s="3613">
        <v>3</v>
      </c>
      <c r="E14" s="130" t="s">
        <v>1282</v>
      </c>
      <c r="F14" s="1756"/>
      <c r="G14" s="1756"/>
      <c r="H14" s="1756"/>
      <c r="I14" s="1372"/>
    </row>
    <row r="15" spans="1:12" ht="12.75">
      <c r="A15" s="3567"/>
      <c r="B15" s="3622"/>
      <c r="C15" s="3627"/>
      <c r="D15" s="3613"/>
      <c r="E15" s="130" t="s">
        <v>1283</v>
      </c>
      <c r="F15" s="1756"/>
      <c r="G15" s="1756"/>
      <c r="H15" s="1756"/>
      <c r="I15" s="1372"/>
    </row>
    <row r="16" spans="1:12" ht="12.75">
      <c r="A16" s="3567"/>
      <c r="B16" s="3622"/>
      <c r="C16" s="3626"/>
      <c r="D16" s="3613"/>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644" t="s">
        <v>2131</v>
      </c>
      <c r="F18" s="3645"/>
      <c r="G18" s="3645"/>
      <c r="H18" s="3645"/>
      <c r="I18" s="3645"/>
      <c r="K18" s="301" t="s">
        <v>1289</v>
      </c>
      <c r="L18" s="301">
        <f>IF(C1="",'数据-汇总表'!E3,SUMIF(项目类型,C1,'数据-汇总表'!E17:E26)+SUMIF(项目类型,C1,'数据-汇总表'!I17:I26))</f>
        <v>794.57</v>
      </c>
      <c r="M18" s="301">
        <f>IF(C1="",'数据-汇总表'!E3,SUMIF(项目类型,C1,'数据-汇总表'!E17:E26))</f>
        <v>794.57</v>
      </c>
    </row>
    <row r="19" spans="1:36" ht="15">
      <c r="A19" s="1760" t="s">
        <v>1290</v>
      </c>
      <c r="B19" s="1761" t="s">
        <v>1291</v>
      </c>
      <c r="C19" s="133">
        <f ca="1">SUMIF(INDIRECT("'"&amp;C4&amp;"'"&amp;"!A:A"),结果表!B19,INDIRECT("'"&amp;C4&amp;"'"&amp;"!B:B"))</f>
        <v>3103.1136999999999</v>
      </c>
      <c r="D19" s="134">
        <f ca="1">SUMIF(INDIRECT("'"&amp;D4&amp;"'"&amp;"!A:A"),结果表!B19,INDIRECT("'"&amp;D4&amp;"'"&amp;"!B:B"))</f>
        <v>1425.4042999999999</v>
      </c>
      <c r="E19" s="1760" t="s">
        <v>1292</v>
      </c>
      <c r="F19" s="1761" t="s">
        <v>1291</v>
      </c>
      <c r="G19" s="135">
        <f ca="1">ROUND(C19*$C$18+D19*$D$18,0)</f>
        <v>2600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39054</v>
      </c>
      <c r="D20" s="137">
        <f ca="1">SUMIF(INDIRECT("'"&amp;D4&amp;"'"&amp;"!A:A"),结果表!B20,INDIRECT("'"&amp;D4&amp;"'"&amp;"!B:B"))</f>
        <v>17939</v>
      </c>
      <c r="E20" s="1763"/>
      <c r="F20" s="1025" t="s">
        <v>1295</v>
      </c>
      <c r="G20" s="138">
        <f ca="1">ROUND(C20*$C$18+D20*$D$18,0)</f>
        <v>32720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1.1770059905109029</v>
      </c>
      <c r="E22" s="128"/>
      <c r="F22" s="128"/>
      <c r="G22" s="128"/>
      <c r="H22" s="128"/>
      <c r="I22" s="128"/>
    </row>
    <row r="23" spans="1:36" ht="13.5" thickBot="1">
      <c r="A23" s="1746"/>
      <c r="B23" s="1746"/>
      <c r="C23" s="1746"/>
      <c r="D23" s="1746"/>
      <c r="E23" s="128"/>
      <c r="F23" s="128"/>
      <c r="G23" s="128"/>
      <c r="H23" s="128"/>
      <c r="I23" s="128"/>
    </row>
    <row r="24" spans="1:36" ht="14.25">
      <c r="A24" s="3637" t="s">
        <v>1299</v>
      </c>
      <c r="B24" s="1761" t="s">
        <v>1291</v>
      </c>
      <c r="C24" s="135">
        <f>IF(B30=0,0,D30)</f>
        <v>0</v>
      </c>
      <c r="D24" s="1768"/>
      <c r="E24" s="128"/>
      <c r="F24" s="128"/>
      <c r="G24" s="128"/>
      <c r="H24" s="128"/>
      <c r="I24" s="128"/>
    </row>
    <row r="25" spans="1:36" ht="14.25">
      <c r="A25" s="363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32720</v>
      </c>
      <c r="D32" s="1774" t="s">
        <v>3473</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4" t="s">
        <v>1312</v>
      </c>
      <c r="B36" s="1786" t="s">
        <v>1313</v>
      </c>
      <c r="C36" s="144"/>
      <c r="D36" s="1787"/>
      <c r="E36" s="1788"/>
      <c r="F36" s="1789"/>
      <c r="G36" s="128"/>
      <c r="H36" s="128"/>
      <c r="I36" s="128"/>
    </row>
    <row r="37" spans="1:15" ht="15.75" thickBot="1">
      <c r="A37" s="3615"/>
      <c r="B37" s="1673" t="s">
        <v>1314</v>
      </c>
      <c r="C37" s="146"/>
      <c r="D37" s="1138"/>
      <c r="E37" s="1138"/>
      <c r="F37" s="1789"/>
      <c r="G37" s="128"/>
      <c r="H37" s="128"/>
      <c r="I37" s="128"/>
    </row>
    <row r="38" spans="1:15" ht="15.75" thickBot="1">
      <c r="A38" s="361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4">
        <f ca="1">ROUND(H101*F45,0)</f>
        <v>2600</v>
      </c>
      <c r="E45" s="155" t="s">
        <v>1327</v>
      </c>
      <c r="F45" s="156">
        <v>1</v>
      </c>
      <c r="G45" s="157" t="s">
        <v>1328</v>
      </c>
      <c r="H45" s="128"/>
      <c r="I45" s="128"/>
      <c r="J45" s="3554" t="s">
        <v>1329</v>
      </c>
      <c r="K45" s="3554"/>
      <c r="L45" s="3554"/>
      <c r="M45" s="3554"/>
      <c r="N45" s="3554"/>
      <c r="O45" s="3554"/>
    </row>
    <row r="46" spans="1:15" ht="14.25" customHeight="1">
      <c r="A46" s="3631" t="s">
        <v>1330</v>
      </c>
      <c r="B46" s="3632"/>
      <c r="C46" s="3632"/>
      <c r="D46" s="3632"/>
      <c r="E46" s="3632"/>
      <c r="F46" s="3632"/>
      <c r="G46" s="3633"/>
      <c r="H46" s="1805"/>
      <c r="I46" s="158"/>
      <c r="J46" s="2522">
        <v>1</v>
      </c>
      <c r="K46" s="3555" t="s">
        <v>1331</v>
      </c>
      <c r="L46" s="3555"/>
      <c r="M46" s="3556"/>
      <c r="N46" s="3556"/>
      <c r="O46" s="3556"/>
    </row>
    <row r="47" spans="1:15" ht="12" customHeight="1">
      <c r="A47" s="159" t="s">
        <v>1332</v>
      </c>
      <c r="B47" s="160"/>
      <c r="C47" s="161"/>
      <c r="D47" s="1086" t="s">
        <v>1333</v>
      </c>
      <c r="E47" s="301" t="s">
        <v>1334</v>
      </c>
      <c r="F47" s="162" t="s">
        <v>1335</v>
      </c>
      <c r="G47" s="2545" t="s">
        <v>1336</v>
      </c>
      <c r="H47" s="2546"/>
      <c r="I47" s="158"/>
      <c r="J47" s="2522">
        <v>2</v>
      </c>
      <c r="K47" s="3555" t="s">
        <v>1337</v>
      </c>
      <c r="L47" s="3555"/>
      <c r="M47" s="3557">
        <f>'数据-取费表'!B2</f>
        <v>45588</v>
      </c>
      <c r="N47" s="3557"/>
      <c r="O47" s="3557"/>
    </row>
    <row r="48" spans="1:15" ht="25.5">
      <c r="A48" s="3617" t="s">
        <v>1338</v>
      </c>
      <c r="B48" s="3618"/>
      <c r="C48" s="3618"/>
      <c r="D48" s="2323">
        <f ca="1">IF(H48="情况1",0,IF(H48="情况2",D52,IF(H48="情况3",D53,IF(H48="情况4",D54))))</f>
        <v>139</v>
      </c>
      <c r="E48" s="2333" t="str">
        <f>IF(H48="情况4","(销售额-原购置价)×税（费）率","销售额×税（费）率")</f>
        <v>销售额×税（费）率</v>
      </c>
      <c r="F48" s="2547">
        <f>IF(H48="情况1","免征",'数据-取费表'!B41)</f>
        <v>5.6000000000000001E-2</v>
      </c>
      <c r="G48" s="2548" t="s">
        <v>1339</v>
      </c>
      <c r="H48" s="2549" t="s">
        <v>3415</v>
      </c>
      <c r="I48" s="1805"/>
      <c r="J48" s="2522">
        <v>3</v>
      </c>
      <c r="K48" s="3555" t="s">
        <v>1340</v>
      </c>
      <c r="L48" s="3555"/>
      <c r="M48" s="3558">
        <f ca="1">H101</f>
        <v>2600</v>
      </c>
      <c r="N48" s="3558"/>
      <c r="O48" s="3558"/>
    </row>
    <row r="49" spans="1:35" ht="25.5" customHeight="1">
      <c r="A49" s="2332" t="s">
        <v>1341</v>
      </c>
      <c r="B49" s="3603" t="s">
        <v>1342</v>
      </c>
      <c r="C49" s="3603"/>
      <c r="D49" s="1589">
        <v>0</v>
      </c>
      <c r="E49" s="323"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2600</v>
      </c>
      <c r="N49" s="3558"/>
      <c r="O49" s="3558"/>
    </row>
    <row r="50" spans="1:35" ht="25.5" customHeight="1">
      <c r="A50" s="2550"/>
      <c r="B50" s="3603" t="s">
        <v>1344</v>
      </c>
      <c r="C50" s="3603"/>
      <c r="D50" s="2551"/>
      <c r="E50" s="331"/>
      <c r="F50" s="2423"/>
      <c r="G50" s="3587"/>
      <c r="H50" s="2311" t="s">
        <v>2135</v>
      </c>
      <c r="I50" s="2310"/>
      <c r="J50" s="3554" t="s">
        <v>1345</v>
      </c>
      <c r="K50" s="3554"/>
      <c r="L50" s="3554"/>
      <c r="M50" s="3554"/>
      <c r="N50" s="3554"/>
      <c r="O50" s="3554"/>
    </row>
    <row r="51" spans="1:35" ht="20.45" customHeight="1">
      <c r="A51" s="2552"/>
      <c r="B51" s="3603" t="s">
        <v>1346</v>
      </c>
      <c r="C51" s="3603"/>
      <c r="D51" s="1086"/>
      <c r="E51" s="326"/>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139</v>
      </c>
      <c r="E52" s="2333" t="s">
        <v>1354</v>
      </c>
      <c r="F52" s="2553">
        <f>'数据-取费表'!B41</f>
        <v>5.6000000000000001E-2</v>
      </c>
      <c r="G52" s="2554"/>
      <c r="H52" s="2543"/>
      <c r="I52" s="1806"/>
      <c r="J52" s="2522">
        <v>1</v>
      </c>
      <c r="K52" s="3580" t="s">
        <v>1355</v>
      </c>
      <c r="L52" s="3580"/>
      <c r="M52" s="2524">
        <f ca="1">D48</f>
        <v>139</v>
      </c>
      <c r="N52" s="2522" t="str">
        <f>E48</f>
        <v>销售额×税（费）率</v>
      </c>
      <c r="O52" s="2525">
        <f>F48</f>
        <v>5.6000000000000001E-2</v>
      </c>
    </row>
    <row r="53" spans="1:35" ht="12" customHeight="1">
      <c r="A53" s="2334" t="s">
        <v>1356</v>
      </c>
      <c r="B53" s="3604" t="s">
        <v>2291</v>
      </c>
      <c r="C53" s="3605"/>
      <c r="D53" s="1086">
        <f ca="1">ROUND(D45*'数据-取费表'!B41/(1+'数据-取费表'!C42),0)</f>
        <v>139</v>
      </c>
      <c r="E53" s="2333" t="s">
        <v>1354</v>
      </c>
      <c r="F53" s="2553">
        <f>'数据-取费表'!B41</f>
        <v>5.6000000000000001E-2</v>
      </c>
      <c r="G53" s="2554"/>
      <c r="H53" s="2543"/>
      <c r="I53" s="1806"/>
      <c r="J53" s="2522">
        <v>2</v>
      </c>
      <c r="K53" s="3580" t="s">
        <v>1357</v>
      </c>
      <c r="L53" s="3580"/>
      <c r="M53" s="2524">
        <f t="shared" ref="M53:O54" ca="1" si="0">D55</f>
        <v>1</v>
      </c>
      <c r="N53" s="2522" t="str">
        <f t="shared" si="0"/>
        <v>销售额×税（费）率</v>
      </c>
      <c r="O53" s="2525">
        <f t="shared" si="0"/>
        <v>5.0000000000000001E-4</v>
      </c>
    </row>
    <row r="54" spans="1:35" ht="12" customHeight="1">
      <c r="A54" s="2334" t="s">
        <v>1358</v>
      </c>
      <c r="B54" s="3604" t="s">
        <v>2292</v>
      </c>
      <c r="C54" s="3605"/>
      <c r="D54" s="1086">
        <f ca="1">C68</f>
        <v>139</v>
      </c>
      <c r="E54" s="326" t="s">
        <v>1359</v>
      </c>
      <c r="F54" s="2553">
        <f>'数据-取费表'!B41</f>
        <v>5.6000000000000001E-2</v>
      </c>
      <c r="G54" s="2554"/>
      <c r="H54" s="2555"/>
      <c r="I54" s="1806"/>
      <c r="J54" s="2522">
        <v>3</v>
      </c>
      <c r="K54" s="3580" t="s">
        <v>1360</v>
      </c>
      <c r="L54" s="3580"/>
      <c r="M54" s="2524">
        <f t="shared" ca="1" si="0"/>
        <v>0</v>
      </c>
      <c r="N54" s="2522" t="str">
        <f t="shared" si="0"/>
        <v>增值额×税（费）率</v>
      </c>
      <c r="O54" s="2526" t="str">
        <f t="shared" si="0"/>
        <v>——</v>
      </c>
    </row>
    <row r="55" spans="1:35" ht="24" customHeight="1">
      <c r="A55" s="3640" t="s">
        <v>1361</v>
      </c>
      <c r="B55" s="3618"/>
      <c r="C55" s="3618"/>
      <c r="D55" s="2323">
        <f ca="1">IF(H55="个人住宅",0,ROUND(D45*I55,0))</f>
        <v>1</v>
      </c>
      <c r="E55" s="2333" t="s">
        <v>1362</v>
      </c>
      <c r="F55" s="2553">
        <f>IF(H55="正常",I55,"免征")</f>
        <v>5.0000000000000001E-4</v>
      </c>
      <c r="G55" s="2554"/>
      <c r="H55" s="2549" t="s">
        <v>3416</v>
      </c>
      <c r="I55" s="164">
        <f>'数据-取费表'!B49</f>
        <v>5.0000000000000001E-4</v>
      </c>
      <c r="J55" s="2522" t="str">
        <f>IF(H59="非个人房产","",4)</f>
        <v/>
      </c>
      <c r="K55" s="3580" t="str">
        <f>IF(H59="非个人房产","——","个人所得税")</f>
        <v>——</v>
      </c>
      <c r="L55" s="3580"/>
      <c r="M55" s="2527" t="str">
        <f>D59</f>
        <v>——</v>
      </c>
      <c r="N55" s="2039" t="str">
        <f>E59</f>
        <v>——</v>
      </c>
      <c r="O55" s="2528" t="str">
        <f>F59</f>
        <v>——</v>
      </c>
    </row>
    <row r="56" spans="1:35" ht="24.75">
      <c r="A56" s="3640" t="s">
        <v>1363</v>
      </c>
      <c r="B56" s="3618"/>
      <c r="C56" s="3618"/>
      <c r="D56" s="2323">
        <f ca="1">IF(H56="个人住宅",D57,D58)</f>
        <v>0</v>
      </c>
      <c r="E56" s="2333" t="s">
        <v>1364</v>
      </c>
      <c r="F56" s="2553" t="str">
        <f>IF(H56="正常",F58,"免征")</f>
        <v>——</v>
      </c>
      <c r="G56" s="2556" t="s">
        <v>1365</v>
      </c>
      <c r="H56" s="2557" t="s">
        <v>3416</v>
      </c>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3" t="s">
        <v>1343</v>
      </c>
      <c r="F57" s="301"/>
      <c r="G57" s="2554"/>
      <c r="H57" s="2558"/>
      <c r="I57" s="1807"/>
      <c r="J57" s="3580">
        <f>IF(AND(J55="",J56=""),4,IF(项目基本情况!K6="上海银行",结果表!J56+1,结果表!J55+1))</f>
        <v>4</v>
      </c>
      <c r="K57" s="3580" t="s">
        <v>1367</v>
      </c>
      <c r="L57" s="2529" t="s">
        <v>1368</v>
      </c>
      <c r="M57" s="2530"/>
      <c r="N57" s="2531">
        <f ca="1">SUMIF(M52:M56,"&lt;9e307")</f>
        <v>140</v>
      </c>
      <c r="O57" s="2532"/>
      <c r="P57" s="2689">
        <f ca="1">N57/M49</f>
        <v>5.3846153846153849E-2</v>
      </c>
    </row>
    <row r="58" spans="1:35" ht="24.75">
      <c r="A58" s="2334" t="s">
        <v>1352</v>
      </c>
      <c r="B58" s="3604" t="s">
        <v>1369</v>
      </c>
      <c r="C58" s="3603"/>
      <c r="D58" s="2323">
        <f ca="1">IF(H58="转让取得",C81,C97)</f>
        <v>0</v>
      </c>
      <c r="E58" s="2333" t="s">
        <v>1364</v>
      </c>
      <c r="F58" s="301" t="s">
        <v>28</v>
      </c>
      <c r="G58" s="2554"/>
      <c r="H58" s="2557" t="s">
        <v>3417</v>
      </c>
      <c r="I58" s="1807"/>
      <c r="J58" s="3580"/>
      <c r="K58" s="3580"/>
      <c r="L58" s="2529" t="s">
        <v>1370</v>
      </c>
      <c r="M58" s="2533"/>
      <c r="N58" s="2534" t="str">
        <f ca="1">NUMBERSTRING(INT(N57*10000),2)&amp;"元整"</f>
        <v>壹佰肆拾万元整</v>
      </c>
      <c r="O58" s="2535"/>
    </row>
    <row r="59" spans="1:35" ht="24.75" thickBot="1">
      <c r="A59" s="3584" t="s">
        <v>1371</v>
      </c>
      <c r="B59" s="3585"/>
      <c r="C59" s="358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3418</v>
      </c>
      <c r="I59" s="2312" t="s">
        <v>2137</v>
      </c>
      <c r="J59" s="3582">
        <f>J57+1</f>
        <v>5</v>
      </c>
      <c r="K59" s="3580" t="s">
        <v>1372</v>
      </c>
      <c r="L59" s="2522" t="s">
        <v>1368</v>
      </c>
      <c r="M59" s="2536"/>
      <c r="N59" s="2537">
        <f ca="1">M49-N57</f>
        <v>2460</v>
      </c>
      <c r="O59" s="2538"/>
    </row>
    <row r="60" spans="1:35" ht="12" customHeight="1">
      <c r="A60" s="1808"/>
      <c r="B60" s="1746"/>
      <c r="C60" s="1746"/>
      <c r="D60" s="1746"/>
      <c r="E60" s="1577"/>
      <c r="F60" s="1807"/>
      <c r="G60" s="1807"/>
      <c r="H60" s="1809"/>
      <c r="I60" s="128"/>
      <c r="J60" s="3583"/>
      <c r="K60" s="3580"/>
      <c r="L60" s="2529" t="s">
        <v>1370</v>
      </c>
      <c r="M60" s="2533"/>
      <c r="N60" s="2534" t="str">
        <f ca="1">NUMBERSTRING(INT(N59*10000),2)&amp;"元整"</f>
        <v>贰仟肆佰陆拾万元整</v>
      </c>
      <c r="O60" s="2535"/>
    </row>
    <row r="61" spans="1:35" ht="13.5" thickBot="1">
      <c r="A61" s="3639" t="s">
        <v>1373</v>
      </c>
      <c r="B61" s="3639"/>
      <c r="C61" s="3639"/>
      <c r="D61" s="3639"/>
      <c r="E61" s="3639"/>
      <c r="F61" s="1807"/>
      <c r="G61" s="1807"/>
      <c r="H61" s="1809"/>
      <c r="I61" s="128"/>
      <c r="J61" s="2522">
        <f>J59+1</f>
        <v>6</v>
      </c>
      <c r="K61" s="3580" t="s">
        <v>1374</v>
      </c>
      <c r="L61" s="3580"/>
      <c r="M61" s="2539"/>
      <c r="N61" s="2540">
        <f ca="1">ROUND(N59*10000/'数据-汇总表'!E3,0)</f>
        <v>30960</v>
      </c>
      <c r="O61" s="2541"/>
    </row>
    <row r="62" spans="1:35" ht="12.75">
      <c r="A62" s="3599" t="s">
        <v>1375</v>
      </c>
      <c r="B62" s="3600"/>
      <c r="C62" s="2020"/>
      <c r="D62" s="2020" t="s">
        <v>1376</v>
      </c>
      <c r="E62" s="165" t="s">
        <v>1377</v>
      </c>
      <c r="F62" s="1807"/>
      <c r="G62" s="1807"/>
      <c r="H62" s="1809"/>
      <c r="I62" s="128"/>
    </row>
    <row r="63" spans="1:35" ht="12.75">
      <c r="A63" s="172" t="s">
        <v>330</v>
      </c>
      <c r="B63" s="166" t="s">
        <v>1378</v>
      </c>
      <c r="C63" s="2563">
        <f ca="1">ROUND((C64+C65)/(1+'数据-取费表'!C42),0)</f>
        <v>2476</v>
      </c>
      <c r="D63" s="166"/>
      <c r="E63" s="167"/>
      <c r="F63" s="1807"/>
      <c r="G63" s="1807"/>
      <c r="H63" s="1809"/>
      <c r="I63" s="128"/>
      <c r="J63" s="3563" t="s">
        <v>1379</v>
      </c>
      <c r="K63" s="1331" t="s">
        <v>1380</v>
      </c>
      <c r="L63" s="1331">
        <f ca="1">IF(M49&gt;10000,M49*0.5%,IF(AND(M49&gt;1000,M49&lt;=10000),M49*1%,IF(AND(M49&gt;100,M49&lt;=1000),M49*3%,IF(AND(M49&gt;10,M49&lt;=100),M49*5%,M49*8%))))</f>
        <v>26</v>
      </c>
      <c r="M63" s="301">
        <f ca="1">ROUND(L63,1)</f>
        <v>26</v>
      </c>
      <c r="N63" s="2542"/>
      <c r="Z63" s="1751"/>
      <c r="AI63" s="1752"/>
    </row>
    <row r="64" spans="1:35" ht="14.25" customHeight="1">
      <c r="A64" s="168" t="s">
        <v>325</v>
      </c>
      <c r="B64" s="169" t="s">
        <v>1381</v>
      </c>
      <c r="C64" s="2564">
        <f ca="1">D45</f>
        <v>2600</v>
      </c>
      <c r="D64" s="169" t="s">
        <v>26</v>
      </c>
      <c r="E64" s="171"/>
      <c r="F64" s="1807"/>
      <c r="G64" s="1807"/>
      <c r="H64" s="1809"/>
      <c r="I64" s="128"/>
      <c r="J64" s="3563"/>
      <c r="K64" s="1331" t="s">
        <v>1382</v>
      </c>
      <c r="L64" s="1331">
        <f ca="1">IF(M49&gt;2000,M49*0.5%,IF(AND(M49&gt;1000,M49&lt;=2000),M49*0.6%,IF(AND(M49&gt;500,M49&lt;=1000),M49*0.7%,IF(AND(M49&gt;200,M49&lt;=500),M49*0.8%,IF(AND(M49&gt;100,M49&lt;=200),M49*0.9%,IF(AND(M49&gt;50,M49&lt;=100),M49*1%,IF(AND(M49&gt;20,M49&lt;=50),M49*1.5%,IF(AND(M49&gt;10,M49&lt;=20),M49*2%,IF(AND(M49&gt;1,M49&lt;=10),M49*2.5%)))))))))</f>
        <v>13</v>
      </c>
      <c r="M64" s="301">
        <f t="shared" ref="M64:M65" ca="1" si="1">ROUND(L64,1)</f>
        <v>13</v>
      </c>
      <c r="N64" s="2543" t="s">
        <v>1383</v>
      </c>
      <c r="Z64" s="1751"/>
      <c r="AI64" s="1752"/>
    </row>
    <row r="65" spans="1:35" ht="14.25" customHeight="1">
      <c r="A65" s="168" t="s">
        <v>326</v>
      </c>
      <c r="B65" s="169" t="s">
        <v>1384</v>
      </c>
      <c r="C65" s="2565"/>
      <c r="D65" s="169"/>
      <c r="E65" s="171"/>
      <c r="F65" s="1807"/>
      <c r="G65" s="1807"/>
      <c r="H65" s="1809"/>
      <c r="I65" s="128"/>
      <c r="J65" s="3563"/>
      <c r="K65" s="1331" t="s">
        <v>1385</v>
      </c>
      <c r="L65" s="1331">
        <f ca="1">IF(M49&gt;1000,M49*0.1%,IF(AND(M49&gt;500,M49&lt;=1000),M49*0.5%,IF(AND(M49&gt;50,M49&lt;=500),M49*1%,IF(AND(M49&gt;1,M49&lt;=50),M49*1.5%))))</f>
        <v>2.6</v>
      </c>
      <c r="M65" s="301">
        <f t="shared" ca="1" si="1"/>
        <v>2.6</v>
      </c>
      <c r="N65" s="2543" t="s">
        <v>1383</v>
      </c>
      <c r="Z65" s="1751"/>
      <c r="AI65" s="1752"/>
    </row>
    <row r="66" spans="1:35" ht="14.25" customHeight="1">
      <c r="A66" s="172" t="s">
        <v>327</v>
      </c>
      <c r="B66" s="173" t="s">
        <v>1386</v>
      </c>
      <c r="C66" s="2566"/>
      <c r="D66" s="173" t="s">
        <v>26</v>
      </c>
      <c r="E66" s="1337" t="s">
        <v>671</v>
      </c>
      <c r="F66" s="1807"/>
      <c r="G66" s="1807"/>
      <c r="H66" s="1809"/>
      <c r="I66" s="128"/>
      <c r="J66" s="3563"/>
      <c r="K66" s="1331" t="s">
        <v>1387</v>
      </c>
      <c r="L66" s="1331">
        <f ca="1">M49*0.5%</f>
        <v>13</v>
      </c>
      <c r="M66" s="301">
        <f ca="1">IF(L66&gt;0.5,0.5,ROUND(L66,0))</f>
        <v>0.5</v>
      </c>
      <c r="N66" s="2543" t="s">
        <v>1388</v>
      </c>
      <c r="Z66" s="1751"/>
      <c r="AI66" s="1752"/>
    </row>
    <row r="67" spans="1:35" ht="14.25" customHeight="1">
      <c r="A67" s="172" t="s">
        <v>328</v>
      </c>
      <c r="B67" s="173" t="s">
        <v>1389</v>
      </c>
      <c r="C67" s="2567">
        <f ca="1">C63-C66</f>
        <v>2476</v>
      </c>
      <c r="D67" s="169" t="s">
        <v>26</v>
      </c>
      <c r="E67" s="171"/>
      <c r="F67" s="1807"/>
      <c r="G67" s="1807"/>
      <c r="H67" s="1809"/>
      <c r="I67" s="128"/>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139</v>
      </c>
      <c r="D68" s="2569">
        <f>'数据-取费表'!B41</f>
        <v>5.6000000000000001E-2</v>
      </c>
      <c r="E68" s="177"/>
      <c r="F68" s="1807"/>
      <c r="G68" s="1807"/>
      <c r="H68" s="1809"/>
      <c r="I68" s="128"/>
      <c r="J68" s="3563"/>
      <c r="K68" s="1331" t="s">
        <v>1392</v>
      </c>
      <c r="L68" s="1331">
        <f ca="1">IF(M49&gt;10000,M49*0.5%,IF(AND(M49&gt;5000,M49&lt;=10000),M49*1%,IF(AND(M49&gt;1000,M49&lt;=5000),M49*2%,IF(AND(M49&gt;200,M49&lt;=1000),M49*3%,M49*5%))))</f>
        <v>52</v>
      </c>
      <c r="M68" s="301">
        <f ca="1">ROUND(L68,1)</f>
        <v>52</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1">
        <f ca="1">ROUND(SUM(M63:M68),0)</f>
        <v>97</v>
      </c>
      <c r="N69" s="2544">
        <f ca="1">M69/M49</f>
        <v>3.7307692307692306E-2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2476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15</v>
      </c>
      <c r="D78" s="2576">
        <f>'数据-取费表'!B43</f>
        <v>6.000000000000001E-3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2461</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164.06666666666666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1471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2476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3204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392</v>
      </c>
      <c r="D91" s="2576"/>
      <c r="E91" s="3596" t="s">
        <v>1419</v>
      </c>
      <c r="F91" s="3597"/>
      <c r="G91" s="3597"/>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245</v>
      </c>
      <c r="D92" s="2582">
        <v>0.1</v>
      </c>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15</v>
      </c>
      <c r="D93" s="2576">
        <f>'数据-取费表'!B43</f>
        <v>6.000000000000001E-3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491</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-728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6" t="s">
        <v>1428</v>
      </c>
      <c r="B100" s="3547"/>
      <c r="C100" s="3547"/>
      <c r="D100" s="3581"/>
      <c r="E100" s="3547" t="s">
        <v>1429</v>
      </c>
      <c r="F100" s="3547"/>
      <c r="G100" s="3547"/>
      <c r="H100" s="3581"/>
      <c r="I100" s="128"/>
    </row>
    <row r="101" spans="1:35" ht="18.75" customHeight="1">
      <c r="A101" s="3589" t="s">
        <v>1430</v>
      </c>
      <c r="B101" s="3590"/>
      <c r="C101" s="2584" t="str">
        <f>C4</f>
        <v>比较法-办公</v>
      </c>
      <c r="D101" s="2585" t="str">
        <f>D4</f>
        <v>收益法 (元)</v>
      </c>
      <c r="E101" s="3559" t="s">
        <v>1431</v>
      </c>
      <c r="F101" s="3560"/>
      <c r="G101" s="1826" t="s">
        <v>1432</v>
      </c>
      <c r="H101" s="2594">
        <f ca="1">H118</f>
        <v>2600</v>
      </c>
      <c r="I101" s="128"/>
    </row>
    <row r="102" spans="1:35" ht="18.75" customHeight="1">
      <c r="A102" s="3591" t="s">
        <v>1433</v>
      </c>
      <c r="B102" s="2583" t="s">
        <v>1432</v>
      </c>
      <c r="C102" s="2584">
        <f ca="1">IF(D32="楼面单价",ROUND(C19,0),C19)</f>
        <v>3103</v>
      </c>
      <c r="D102" s="2585">
        <f ca="1">IF(D32="楼面单价",ROUND(D19,0),D19)</f>
        <v>1425</v>
      </c>
      <c r="E102" s="3559"/>
      <c r="F102" s="3560"/>
      <c r="G102" s="1826" t="s">
        <v>1434</v>
      </c>
      <c r="H102" s="2554">
        <f ca="1">I118</f>
        <v>32720</v>
      </c>
      <c r="I102" s="128"/>
    </row>
    <row r="103" spans="1:35" ht="42.75" customHeight="1">
      <c r="A103" s="3591"/>
      <c r="B103" s="2583" t="s">
        <v>1434</v>
      </c>
      <c r="C103" s="2586">
        <f ca="1">C20</f>
        <v>39054</v>
      </c>
      <c r="D103" s="2587">
        <f ca="1">D20</f>
        <v>17939</v>
      </c>
      <c r="E103" s="3552" t="s">
        <v>1435</v>
      </c>
      <c r="F103" s="3553"/>
      <c r="G103" s="1827" t="s">
        <v>1436</v>
      </c>
      <c r="H103" s="2594">
        <f>IF(D36="正常操作",H104+H105+H106,H105+H106)</f>
        <v>0</v>
      </c>
      <c r="I103" s="128"/>
    </row>
    <row r="104" spans="1:35" ht="18.75" customHeight="1">
      <c r="A104" s="3591" t="s">
        <v>1437</v>
      </c>
      <c r="B104" s="2588" t="s">
        <v>1432</v>
      </c>
      <c r="C104" s="2589">
        <f ca="1">H118</f>
        <v>2600</v>
      </c>
      <c r="D104" s="2590"/>
      <c r="E104" s="1673" t="s">
        <v>1438</v>
      </c>
      <c r="F104" s="1665"/>
      <c r="G104" s="1827" t="s">
        <v>1436</v>
      </c>
      <c r="H104" s="2595">
        <f>IF(D36="同一抵押权人同一抵押物续贷",C36&amp;"（续贷，未扣减，详见特别提示）",C36)</f>
        <v>0</v>
      </c>
      <c r="I104" s="128"/>
    </row>
    <row r="105" spans="1:35" ht="18.75" customHeight="1" thickBot="1">
      <c r="A105" s="3601"/>
      <c r="B105" s="2591" t="s">
        <v>1434</v>
      </c>
      <c r="C105" s="2592">
        <f ca="1">I118</f>
        <v>32720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f ca="1">C105*B118</f>
        <v>25998330.400000002</v>
      </c>
      <c r="E107" s="3592" t="str">
        <f>IF(项目基本情况!E8="已注销","——","3.房地产抵押价值")</f>
        <v>3.房地产抵押价值</v>
      </c>
      <c r="F107" s="3560"/>
      <c r="G107" s="1826" t="s">
        <v>1432</v>
      </c>
      <c r="H107" s="2594">
        <f ca="1">IF(E107="——","——",H101-H103)</f>
        <v>2600</v>
      </c>
      <c r="I107" s="128"/>
    </row>
    <row r="108" spans="1:35" ht="18.75" customHeight="1">
      <c r="A108" s="128"/>
      <c r="B108" s="128"/>
      <c r="C108" s="128"/>
      <c r="D108" s="128">
        <f>C106*B119</f>
        <v>0</v>
      </c>
      <c r="E108" s="3592"/>
      <c r="F108" s="3560"/>
      <c r="G108" s="1826" t="s">
        <v>1434</v>
      </c>
      <c r="H108" s="2554">
        <f ca="1">IF(H107=H101,H102,ROUND(H107*10000/'数据-汇总表'!E3,0))</f>
        <v>32720</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8"/>
    </row>
    <row r="110" spans="1:35" ht="18.75" customHeight="1">
      <c r="A110" s="128"/>
      <c r="B110" s="128"/>
      <c r="C110" s="128"/>
      <c r="D110" s="128"/>
      <c r="E110" s="3592"/>
      <c r="F110" s="3560"/>
      <c r="G110" s="1826" t="s">
        <v>1434</v>
      </c>
      <c r="H110" s="2554" t="str">
        <f>IF(H109="——","——",ROUND(H109*10000/'数据-汇总表'!E3,0))</f>
        <v>——</v>
      </c>
      <c r="I110" s="128"/>
    </row>
    <row r="111" spans="1:35" ht="18.75" customHeight="1">
      <c r="A111" s="128"/>
      <c r="B111" s="128"/>
      <c r="C111" s="128"/>
      <c r="D111" s="128"/>
      <c r="E111" s="3593" t="str">
        <f>IF(项目基本情况!E9="抵押净值",IF(OR(项目基本情况!E8="已注销",项目基本情况!E8="房地产抵押价值"),"4.抵押净值","5.抵押净值"),"——")</f>
        <v>——</v>
      </c>
      <c r="F111" s="3579"/>
      <c r="G111" s="1826" t="s">
        <v>1432</v>
      </c>
      <c r="H111" s="2594" t="str">
        <f>IF(E111="——","——",N59)</f>
        <v>——</v>
      </c>
      <c r="I111" s="128"/>
    </row>
    <row r="112" spans="1:35" ht="18.75" customHeight="1" thickBot="1">
      <c r="A112" s="128"/>
      <c r="B112" s="128"/>
      <c r="C112" s="128"/>
      <c r="D112" s="128"/>
      <c r="E112" s="3594"/>
      <c r="F112" s="3595"/>
      <c r="G112" s="1829" t="s">
        <v>1434</v>
      </c>
      <c r="H112" s="2598" t="str">
        <f>IF(E111="——","——",N61)</f>
        <v>——</v>
      </c>
      <c r="I112" s="128"/>
    </row>
    <row r="113" spans="1:27" ht="18.75" customHeight="1">
      <c r="A113" s="128"/>
      <c r="B113" s="128"/>
      <c r="C113" s="128"/>
      <c r="D113" s="128"/>
      <c r="E113" s="3602" t="s">
        <v>1440</v>
      </c>
      <c r="F113" s="3602"/>
      <c r="G113" s="3602"/>
      <c r="H113" s="3602"/>
      <c r="I113" s="128"/>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2600</v>
      </c>
      <c r="I118" s="2328">
        <f ca="1">ROUND(IF(D32="楼面单价",C32,H118*10000/B118),0)</f>
        <v>32720</v>
      </c>
    </row>
    <row r="119" spans="1:27" ht="18.75" customHeight="1">
      <c r="A119" s="3567" t="s">
        <v>1452</v>
      </c>
      <c r="B119" s="3567"/>
      <c r="C119" s="3567"/>
      <c r="D119" s="3573" t="e">
        <f ca="1">NUMBERSTRING(INT(D118*10000),2)&amp;"元整"</f>
        <v>#REF!</v>
      </c>
      <c r="E119" s="3574"/>
      <c r="F119" s="3573" t="e">
        <f ca="1">NUMBERSTRING(INT(F118*10000),2)&amp;"元整"</f>
        <v>#REF!</v>
      </c>
      <c r="G119" s="3574"/>
      <c r="H119" s="3573" t="str">
        <f ca="1">NUMBERSTRING(INT(H118*10000),2)&amp;"元整"</f>
        <v>贰仟陆佰万元整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2600</v>
      </c>
      <c r="E122" s="3569"/>
      <c r="F122" s="3569"/>
      <c r="G122" s="3569"/>
      <c r="H122" s="3569"/>
      <c r="I122" s="3570"/>
      <c r="AA122" s="724"/>
    </row>
    <row r="123" spans="1:27" ht="18.75" customHeight="1">
      <c r="A123" s="3567" t="s">
        <v>1452</v>
      </c>
      <c r="B123" s="3567"/>
      <c r="C123" s="3567"/>
      <c r="D123" s="3573" t="str">
        <f ca="1">NUMBERSTRING(INT(D122*10000),2)&amp;"元整"</f>
        <v>贰仟陆佰万元整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
      </c>
      <c r="B126" s="3579"/>
      <c r="C126" s="3579"/>
      <c r="D126" s="3568" t="str">
        <f>H111</f>
        <v>——</v>
      </c>
      <c r="E126" s="3569"/>
      <c r="F126" s="3569"/>
      <c r="G126" s="3569"/>
      <c r="H126" s="3569"/>
      <c r="I126" s="3570"/>
      <c r="AA126" s="724"/>
    </row>
    <row r="127" spans="1:27" ht="18.75" customHeight="1">
      <c r="A127" s="3567" t="s">
        <v>1452</v>
      </c>
      <c r="B127" s="3567"/>
      <c r="C127" s="3567"/>
      <c r="D127" s="3573" t="e">
        <f>NUMBERSTRING(INT(D126*10000),2)&amp;"元整"</f>
        <v>#VALUE!</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16</v>
      </c>
      <c r="D10" s="844">
        <f ca="1">IF(B1="",'数据-汇总表'!E6,IF(INDIRECT("'数据-取费表'!c"&amp;$G$1)="住宅",INDIRECT("'数据-取费表'!s"&amp;$G$1),INDIRECT("'数据-取费表'!k"&amp;$G$1)+INDIRECT("'数据-取费表'!s"&amp;$G$1)))</f>
        <v>794.57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794.57</v>
      </c>
      <c r="E19" s="210">
        <f>'数据-取费表'!B31</f>
        <v>200</v>
      </c>
      <c r="F19" s="230"/>
      <c r="G19" s="1855" t="s">
        <v>3410</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358</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16</v>
      </c>
      <c r="D37" s="216">
        <f ca="1">D19</f>
        <v>794.57</v>
      </c>
      <c r="E37" s="248">
        <f>'数据-取费表'!B35</f>
        <v>200</v>
      </c>
      <c r="F37" s="258"/>
      <c r="G37" s="260" t="s">
        <v>1532</v>
      </c>
    </row>
    <row r="38" spans="1:7" ht="13.5" customHeight="1">
      <c r="A38" s="779"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12</v>
      </c>
      <c r="D42" s="237"/>
      <c r="E42" s="237"/>
      <c r="F42" s="238"/>
      <c r="G42" s="3646" t="s">
        <v>1544</v>
      </c>
    </row>
    <row r="43" spans="1:7" ht="13.5" customHeight="1">
      <c r="A43" s="779" t="s">
        <v>347</v>
      </c>
      <c r="B43" s="214" t="s">
        <v>1545</v>
      </c>
      <c r="C43" s="237">
        <f ca="1">ROUND(IF('数据-取费表'!B22&lt;=1,C39*F22*'数据-取费表'!B21/2,C39*(POWER((1+F22),'数据-取费表'!B21/2)-1)),0)</f>
        <v>0</v>
      </c>
      <c r="D43" s="237"/>
      <c r="E43" s="237"/>
      <c r="F43" s="238"/>
      <c r="G43" s="3647"/>
    </row>
    <row r="44" spans="1:7" ht="13.5" customHeight="1">
      <c r="A44" s="779" t="s">
        <v>348</v>
      </c>
      <c r="B44" s="214" t="s">
        <v>1546</v>
      </c>
      <c r="C44" s="237">
        <f ca="1">ROUND(IF('数据-取费表'!B22&lt;=1,C40*F22*'数据-取费表'!B21/2,C40*(POWER((1+F22),'数据-取费表'!B21/2)-1)),4)</f>
        <v>5.9999999999999995E-4</v>
      </c>
      <c r="D44" s="237"/>
      <c r="E44" s="237"/>
      <c r="F44" s="238"/>
      <c r="G44" s="3648"/>
    </row>
    <row r="45" spans="1:7" s="213" customFormat="1" ht="13.5" customHeight="1">
      <c r="A45" s="254" t="s">
        <v>1547</v>
      </c>
      <c r="B45" s="243" t="s">
        <v>1513</v>
      </c>
      <c r="C45" s="244">
        <f ca="1">C46</f>
        <v>60</v>
      </c>
      <c r="D45" s="234">
        <f ca="1">C47</f>
        <v>3.0000000000000001E-3</v>
      </c>
      <c r="E45" s="235" t="s">
        <v>1539</v>
      </c>
      <c r="F45" s="245">
        <f ca="1">F27</f>
        <v>0.15</v>
      </c>
      <c r="G45" s="246" t="s">
        <v>1548</v>
      </c>
    </row>
    <row r="46" spans="1:7" s="213" customFormat="1" ht="13.5" customHeight="1">
      <c r="A46" s="779" t="s">
        <v>346</v>
      </c>
      <c r="B46" s="247" t="s">
        <v>1549</v>
      </c>
      <c r="C46" s="248">
        <f ca="1">ROUND((C33+C39)*F27,0)</f>
        <v>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409</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158914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158914</v>
      </c>
      <c r="D10" s="844">
        <f ca="1">IF(B1="",'数据-汇总表'!E6,IF(INDIRECT("'数据-取费表'!c"&amp;$G$1)="住宅",INDIRECT("'数据-取费表'!s"&amp;$G$1),INDIRECT("'数据-取费表'!k"&amp;$G$1)+INDIRECT("'数据-取费表'!s"&amp;$G$1)))</f>
        <v>794.57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794.57</v>
      </c>
      <c r="E19" s="210">
        <f>'数据-取费表'!B31</f>
        <v>200</v>
      </c>
      <c r="F19" s="230"/>
      <c r="G19" s="1855" t="s">
        <v>3410</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3913257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3575565</v>
      </c>
      <c r="D34" s="216"/>
      <c r="E34" s="219"/>
      <c r="F34" s="256"/>
      <c r="G34" s="218"/>
    </row>
    <row r="35" spans="1:7" ht="13.5" customHeight="1">
      <c r="A35" s="779" t="s">
        <v>351</v>
      </c>
      <c r="B35" s="214" t="s">
        <v>1527</v>
      </c>
      <c r="C35" s="219">
        <f ca="1">ROUND(C34*F35,0)</f>
        <v>107267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158914</v>
      </c>
      <c r="D37" s="216">
        <f ca="1">D19</f>
        <v>794.57</v>
      </c>
      <c r="E37" s="248">
        <f>'数据-取费表'!B35</f>
        <v>200</v>
      </c>
      <c r="F37" s="258"/>
      <c r="G37" s="260"/>
    </row>
    <row r="38" spans="1:7" ht="13.5" customHeight="1">
      <c r="A38" s="779" t="s">
        <v>354</v>
      </c>
      <c r="B38" s="214" t="s">
        <v>1533</v>
      </c>
      <c r="C38" s="219">
        <f ca="1">ROUND(C34*F38,0)</f>
        <v>71511</v>
      </c>
      <c r="D38" s="219"/>
      <c r="E38" s="219"/>
      <c r="F38" s="258">
        <f>'数据-取费表'!B36</f>
        <v>0.02</v>
      </c>
      <c r="G38" s="218" t="s">
        <v>1528</v>
      </c>
    </row>
    <row r="39" spans="1:7" s="213" customFormat="1" ht="13.5" customHeight="1">
      <c r="A39" s="254" t="s">
        <v>1534</v>
      </c>
      <c r="B39" s="209" t="s">
        <v>1535</v>
      </c>
      <c r="C39" s="231">
        <f ca="1">ROUND(C33*F20,0)</f>
        <v>78265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123737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121311</v>
      </c>
      <c r="D42" s="237"/>
      <c r="E42" s="237"/>
      <c r="F42" s="238"/>
      <c r="G42" s="3646" t="s">
        <v>1591</v>
      </c>
    </row>
    <row r="43" spans="1:7" ht="13.5" customHeight="1">
      <c r="A43" s="779" t="s">
        <v>347</v>
      </c>
      <c r="B43" s="214" t="s">
        <v>1545</v>
      </c>
      <c r="C43" s="237">
        <f ca="1">ROUND(IF('数据-取费表'!B22&lt;=1,C39*F22*'数据-取费表'!B20/2,C39*(POWER((1+F22),'数据-取费表'!B20/2)-1)),0)</f>
        <v>2426</v>
      </c>
      <c r="D43" s="237"/>
      <c r="E43" s="237"/>
      <c r="F43" s="238"/>
      <c r="G43" s="3647"/>
    </row>
    <row r="44" spans="1:7" ht="13.5" customHeight="1">
      <c r="A44" s="779" t="s">
        <v>348</v>
      </c>
      <c r="B44" s="214" t="s">
        <v>1546</v>
      </c>
      <c r="C44" s="237">
        <f ca="1">ROUND(IF('数据-取费表'!B22&lt;=1,C40*F22*'数据-取费表'!B20/2,C40*(POWER((1+F22),'数据-取费表'!B20/2)-1)),4)</f>
        <v>5.9999999999999995E-4</v>
      </c>
      <c r="D44" s="237"/>
      <c r="E44" s="237"/>
      <c r="F44" s="238"/>
      <c r="G44" s="3648"/>
    </row>
    <row r="45" spans="1:7" s="213" customFormat="1" ht="13.5" customHeight="1">
      <c r="A45" s="254" t="s">
        <v>1547</v>
      </c>
      <c r="B45" s="243" t="s">
        <v>1513</v>
      </c>
      <c r="C45" s="244">
        <f ca="1">C46</f>
        <v>598728</v>
      </c>
      <c r="D45" s="234">
        <f ca="1">C47</f>
        <v>3.0000000000000001E-3</v>
      </c>
      <c r="E45" s="235" t="s">
        <v>1539</v>
      </c>
      <c r="F45" s="245">
        <f ca="1">F27</f>
        <v>0.15</v>
      </c>
      <c r="G45" s="246" t="s">
        <v>1548</v>
      </c>
    </row>
    <row r="46" spans="1:7" s="213" customFormat="1" ht="13.5" customHeight="1">
      <c r="A46" s="779" t="s">
        <v>346</v>
      </c>
      <c r="B46" s="247" t="s">
        <v>1549</v>
      </c>
      <c r="C46" s="248">
        <f ca="1">ROUND((C33+C39)*F27,0)</f>
        <v>598728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5106692</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4085354</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794.57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794.57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16</v>
      </c>
      <c r="D20" s="845">
        <f ca="1">IF(C1="",'数据-汇总表'!E6,IF(INDIRECT("'数据-取费表'!c"&amp;$K$1)="住宅",INDIRECT("'数据-取费表'!s"&amp;$K$1),INDIRECT("'数据-取费表'!k"&amp;$K$1)+INDIRECT("'数据-取费表'!s"&amp;$K$1)))</f>
        <v>794.57</v>
      </c>
      <c r="E20" s="21">
        <f>'数据-取费表'!B28</f>
        <v>200</v>
      </c>
      <c r="F20" s="803"/>
      <c r="G20" s="12"/>
      <c r="H20" s="808"/>
      <c r="I20" s="808"/>
      <c r="J20" s="808"/>
      <c r="K20" s="809"/>
    </row>
    <row r="21" spans="1:33" s="802" customFormat="1" ht="13.5" customHeight="1">
      <c r="A21" s="789" t="s">
        <v>357</v>
      </c>
      <c r="B21" s="812" t="s">
        <v>1628</v>
      </c>
      <c r="C21" s="813">
        <f ca="1">C16+C17+C18</f>
        <v>16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22</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104</v>
      </c>
      <c r="D5" s="1363" t="s">
        <v>693</v>
      </c>
      <c r="E5" s="1070"/>
      <c r="F5" s="1071"/>
      <c r="G5" s="1383"/>
      <c r="H5" s="298">
        <v>1</v>
      </c>
      <c r="I5" s="299" t="s">
        <v>692</v>
      </c>
      <c r="J5" s="1069">
        <f ca="1">J6+J10+J12</f>
        <v>0</v>
      </c>
      <c r="K5" s="1363" t="s">
        <v>693</v>
      </c>
      <c r="L5" s="1070"/>
      <c r="M5" s="1071"/>
    </row>
    <row r="6" spans="1:37" ht="18" customHeight="1">
      <c r="A6" s="1068" t="s">
        <v>398</v>
      </c>
      <c r="B6" s="3651" t="s">
        <v>694</v>
      </c>
      <c r="C6" s="1073">
        <f ca="1">ROUND(F6*F8*F7*(1-F9)/10000,0)</f>
        <v>104</v>
      </c>
      <c r="D6" s="154" t="s">
        <v>2109</v>
      </c>
      <c r="E6" s="301" t="s">
        <v>696</v>
      </c>
      <c r="F6" s="302">
        <f ca="1">INDIRECT("'数据-取费表'!u"&amp;$G$1)</f>
        <v>4</v>
      </c>
      <c r="G6" s="1383"/>
      <c r="H6" s="1068" t="s">
        <v>398</v>
      </c>
      <c r="I6" s="3651" t="s">
        <v>694</v>
      </c>
      <c r="J6" s="300">
        <f ca="1">ROUND(M6*M8*M7*(1-M9)/10000,0)</f>
        <v>0</v>
      </c>
      <c r="K6" s="154" t="s">
        <v>2108</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794.57</v>
      </c>
      <c r="G7" s="1383"/>
      <c r="H7" s="303"/>
      <c r="I7" s="3652"/>
      <c r="J7" s="305"/>
      <c r="K7" s="306"/>
      <c r="L7" s="301" t="s">
        <v>697</v>
      </c>
      <c r="M7" s="302">
        <f ca="1">F7</f>
        <v>794.57</v>
      </c>
    </row>
    <row r="8" spans="1:37" ht="18" customHeight="1">
      <c r="A8" s="303"/>
      <c r="B8" s="3652"/>
      <c r="C8" s="305"/>
      <c r="D8" s="306"/>
      <c r="E8" s="301" t="s">
        <v>698</v>
      </c>
      <c r="F8" s="302">
        <f ca="1">INDIRECT("'数据-取费表'!ai"&amp;$G$1)</f>
        <v>365</v>
      </c>
      <c r="G8" s="1383"/>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409</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358</v>
      </c>
      <c r="D14" s="1344" t="s">
        <v>708</v>
      </c>
      <c r="E14" s="1341"/>
      <c r="F14" s="318"/>
      <c r="G14" s="1383"/>
      <c r="H14" s="981" t="s">
        <v>398</v>
      </c>
      <c r="I14" s="301" t="s">
        <v>709</v>
      </c>
      <c r="J14" s="21">
        <f ca="1">C29</f>
        <v>511</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16</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392</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60</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511</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17.440000000000001</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5.55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11.89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2.56</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0.41</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1385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17431</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-1426</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1385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26</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1996</v>
      </c>
      <c r="K49" s="1422" t="s">
        <v>824</v>
      </c>
      <c r="L49" s="1426"/>
      <c r="O49" s="1427" t="s">
        <v>405</v>
      </c>
      <c r="P49" s="1418" t="s">
        <v>825</v>
      </c>
      <c r="Q49" s="1419">
        <f ca="1">C29</f>
        <v>511</v>
      </c>
      <c r="R49" s="1419" t="s">
        <v>818</v>
      </c>
    </row>
    <row r="50" spans="1:18" s="1383" customFormat="1" ht="13.5" thickBot="1">
      <c r="A50" s="975"/>
      <c r="B50" s="978"/>
      <c r="C50" s="1117"/>
      <c r="D50" s="952"/>
      <c r="E50" s="1055" t="s">
        <v>697</v>
      </c>
      <c r="F50" s="1056">
        <f ca="1">F7</f>
        <v>794.57</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22</v>
      </c>
      <c r="K51" s="1433" t="s">
        <v>830</v>
      </c>
      <c r="L51" s="1434">
        <f ca="1">ROUND(-PV(INDIRECT("'数据-取费表'!h"&amp;$G$1),J51,(C39-C13*C76),0),0)</f>
        <v>716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22</v>
      </c>
      <c r="K53" s="3649" t="s">
        <v>837</v>
      </c>
      <c r="L53" s="3650"/>
      <c r="O53" s="1417" t="s">
        <v>409</v>
      </c>
      <c r="P53" s="1418" t="s">
        <v>838</v>
      </c>
      <c r="Q53" s="1419">
        <f ca="1">Q47+Q48</f>
        <v>1385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409</v>
      </c>
      <c r="D56" s="1446"/>
      <c r="E56" s="1447"/>
      <c r="F56" s="1439"/>
      <c r="I56" s="1448" t="s">
        <v>842</v>
      </c>
      <c r="J56" s="1449" t="s">
        <v>3396</v>
      </c>
      <c r="K56" s="1420" t="s">
        <v>843</v>
      </c>
      <c r="L56" s="1423">
        <f ca="1">IF(L48&lt;J51,"——",L48-J53)</f>
        <v>4</v>
      </c>
      <c r="O56" s="1417" t="s">
        <v>403</v>
      </c>
      <c r="P56" s="1418" t="s">
        <v>817</v>
      </c>
      <c r="Q56" s="1419">
        <f ca="1">C40+J29</f>
        <v>1385</v>
      </c>
      <c r="R56" s="1419" t="s">
        <v>818</v>
      </c>
    </row>
    <row r="57" spans="1:18" s="1383" customFormat="1" ht="24.75" thickBot="1">
      <c r="A57" s="1450"/>
      <c r="B57" s="949" t="s">
        <v>767</v>
      </c>
      <c r="C57" s="237">
        <f ca="1">C29</f>
        <v>511</v>
      </c>
      <c r="D57" s="1451"/>
      <c r="E57" s="1452"/>
      <c r="F57" s="1453"/>
      <c r="I57" s="1454" t="s">
        <v>844</v>
      </c>
      <c r="J57" s="1455" t="str">
        <f ca="1">IF(OR(M47="住宅",J51&lt;L48,J56="是"),"——",J51-L48)</f>
        <v>——</v>
      </c>
      <c r="K57" s="1420" t="s">
        <v>845</v>
      </c>
      <c r="L57" s="1423">
        <f ca="1">IF(L48&lt;J51,"——",IF(L55="比较法",L49,IF(L55="基准地价",L50,L51)))</f>
        <v>716</v>
      </c>
      <c r="O57" s="1417" t="s">
        <v>404</v>
      </c>
      <c r="P57" s="1418" t="s">
        <v>846</v>
      </c>
      <c r="Q57" s="1419" t="e">
        <f ca="1">L60</f>
        <v>#DIV/0!</v>
      </c>
      <c r="R57" s="1419" t="s">
        <v>847</v>
      </c>
    </row>
    <row r="58" spans="1:18" s="1383" customFormat="1" ht="24.75" thickBot="1">
      <c r="A58" s="314" t="s">
        <v>393</v>
      </c>
      <c r="B58" s="957" t="s">
        <v>714</v>
      </c>
      <c r="C58" s="315">
        <f ca="1">ROUND(C59+C64+C65+C66,0)</f>
        <v>3</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0.41</v>
      </c>
      <c r="D65" s="963" t="s">
        <v>743</v>
      </c>
      <c r="E65" s="949" t="s">
        <v>744</v>
      </c>
      <c r="F65" s="329">
        <f t="shared" ca="1" si="0"/>
        <v>1E-3</v>
      </c>
      <c r="I65" s="1461" t="s">
        <v>867</v>
      </c>
      <c r="J65" s="1462">
        <v>40</v>
      </c>
      <c r="K65" s="1462">
        <v>30</v>
      </c>
      <c r="L65" s="1462">
        <v>50</v>
      </c>
      <c r="M65" s="1464">
        <v>0.02</v>
      </c>
      <c r="O65" s="1417" t="s">
        <v>403</v>
      </c>
      <c r="P65" s="1418" t="s">
        <v>868</v>
      </c>
      <c r="Q65" s="1419">
        <f ca="1">C40+J29</f>
        <v>1385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t="e">
        <f ca="1">L60</f>
        <v>#DIV/0!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716</v>
      </c>
      <c r="R67" s="1419" t="s">
        <v>870</v>
      </c>
    </row>
    <row r="68" spans="1:18" s="1383" customFormat="1" ht="16.5" thickBot="1">
      <c r="A68" s="946" t="s">
        <v>395</v>
      </c>
      <c r="B68" s="947" t="s">
        <v>774</v>
      </c>
      <c r="C68" s="300">
        <f ca="1">ROUND(C67*(1-((1+F70)/(1+F68))^F69)/(F68-F70),0)</f>
        <v>-41</v>
      </c>
      <c r="D68" s="964" t="s">
        <v>758</v>
      </c>
      <c r="E68" s="949" t="s">
        <v>759</v>
      </c>
      <c r="F68" s="311">
        <f ca="1">F40</f>
        <v>5.5E-2</v>
      </c>
      <c r="O68" s="1427" t="s">
        <v>406</v>
      </c>
      <c r="P68" s="1466" t="s">
        <v>871</v>
      </c>
      <c r="Q68" s="1419">
        <f ca="1">ROUND(Q69-Q70*Q71,0)</f>
        <v>54</v>
      </c>
      <c r="R68" s="1419" t="s">
        <v>414</v>
      </c>
    </row>
    <row r="69" spans="1:18" s="1383" customFormat="1" ht="13.5" thickBot="1">
      <c r="A69" s="950"/>
      <c r="B69" s="951"/>
      <c r="C69" s="305"/>
      <c r="D69" s="969" t="s">
        <v>762</v>
      </c>
      <c r="E69" s="949" t="s">
        <v>763</v>
      </c>
      <c r="F69" s="332">
        <f ca="1">F41</f>
        <v>26</v>
      </c>
      <c r="O69" s="1427" t="s">
        <v>411</v>
      </c>
      <c r="P69" s="1466" t="s">
        <v>872</v>
      </c>
      <c r="Q69" s="1419">
        <f ca="1">C39</f>
        <v>83</v>
      </c>
      <c r="R69" s="1419" t="s">
        <v>818</v>
      </c>
    </row>
    <row r="70" spans="1:18" s="1383" customFormat="1" ht="13.5" thickBot="1">
      <c r="A70" s="953"/>
      <c r="B70" s="954"/>
      <c r="C70" s="309"/>
      <c r="D70" s="965"/>
      <c r="E70" s="949" t="s">
        <v>766</v>
      </c>
      <c r="F70" s="1053"/>
      <c r="O70" s="1427" t="s">
        <v>412</v>
      </c>
      <c r="P70" s="1466" t="s">
        <v>873</v>
      </c>
      <c r="Q70" s="1419">
        <f ca="1">C13</f>
        <v>409</v>
      </c>
      <c r="R70" s="1419" t="s">
        <v>818</v>
      </c>
    </row>
    <row r="71" spans="1:18" s="1383" customFormat="1" ht="13.5" thickBot="1">
      <c r="A71" s="970" t="s">
        <v>396</v>
      </c>
      <c r="B71" s="971" t="s">
        <v>776</v>
      </c>
      <c r="C71" s="335">
        <f ca="1">ROUND(C68*10000/F71,0)</f>
        <v>-516</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29</v>
      </c>
      <c r="D75" s="1383"/>
      <c r="E75" s="1383"/>
      <c r="F75" s="1383"/>
      <c r="K75" s="1401"/>
      <c r="L75" s="1383"/>
      <c r="O75" s="1417" t="s">
        <v>409</v>
      </c>
      <c r="P75" s="1418" t="s">
        <v>838</v>
      </c>
      <c r="Q75" s="1419" t="e">
        <f ca="1">Q65+Q66</f>
        <v>#DIV/0!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0.65100000000000002</v>
      </c>
    </row>
    <row r="80" spans="1:18">
      <c r="B80" s="339" t="s">
        <v>800</v>
      </c>
      <c r="C80" s="273">
        <f ca="1">ROUND(C75/C39,3)</f>
        <v>0.34899999999999998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topLeftCell="A40" workbookViewId="0">
      <selection activeCell="S61" sqref="S61"/>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1302.3001999999999</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912"/>
      <c r="M4" s="913"/>
      <c r="N4" s="913"/>
      <c r="O4" s="913"/>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663" t="s">
        <v>3453</v>
      </c>
      <c r="F5" s="3664"/>
      <c r="G5" s="3669" t="s">
        <v>3452</v>
      </c>
      <c r="H5" s="3666"/>
      <c r="I5" s="3669" t="s">
        <v>3451</v>
      </c>
      <c r="J5" s="3666"/>
      <c r="K5" s="558"/>
      <c r="L5" s="912"/>
      <c r="M5" s="913"/>
      <c r="N5" s="913"/>
      <c r="O5" s="913"/>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912"/>
      <c r="M6" s="913"/>
      <c r="N6" s="913"/>
      <c r="O6" s="913"/>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57" t="s">
        <v>1680</v>
      </c>
      <c r="Q7" s="3686"/>
      <c r="R7" s="700" t="s">
        <v>14</v>
      </c>
      <c r="S7" s="701">
        <f t="shared" ref="S7:S15" si="0">F7</f>
        <v>100</v>
      </c>
      <c r="T7" s="700" t="s">
        <v>14</v>
      </c>
      <c r="U7" s="701">
        <f t="shared" ref="U7:U15" si="1">H7</f>
        <v>100</v>
      </c>
      <c r="V7" s="700" t="s">
        <v>14</v>
      </c>
      <c r="W7" s="701">
        <f t="shared" ref="W7:W15" si="2">J7</f>
        <v>100</v>
      </c>
      <c r="X7" s="702"/>
      <c r="Y7" s="3657" t="s">
        <v>1680</v>
      </c>
      <c r="Z7" s="3658"/>
      <c r="AA7" s="703">
        <f>D7/F7</f>
        <v>1</v>
      </c>
      <c r="AB7" s="703">
        <f>D7/H7</f>
        <v>1</v>
      </c>
      <c r="AC7" s="703">
        <f>D7/J7</f>
        <v>1</v>
      </c>
    </row>
    <row r="8" spans="1:29" s="108" customFormat="1" ht="15.75" thickBot="1">
      <c r="A8" s="361" t="s">
        <v>1681</v>
      </c>
      <c r="B8" s="362"/>
      <c r="C8" s="367" t="s">
        <v>3416</v>
      </c>
      <c r="D8" s="364">
        <v>100</v>
      </c>
      <c r="E8" s="367" t="s">
        <v>3446</v>
      </c>
      <c r="F8" s="366">
        <f>SUMIF(55:55,E8,56:56)-SUMIF(55:55,C8,56:56)+100</f>
        <v>103</v>
      </c>
      <c r="G8" s="367" t="s">
        <v>3446</v>
      </c>
      <c r="H8" s="364">
        <f>SUMIF(55:55,G8,56:56)-SUMIF(55:55,C8,56:56)+100</f>
        <v>103</v>
      </c>
      <c r="I8" s="367" t="s">
        <v>3446</v>
      </c>
      <c r="J8" s="364">
        <f>SUMIF(55:55,I8,56:56)-SUMIF(55:55,C8,56:56)+100</f>
        <v>103</v>
      </c>
      <c r="K8" s="559"/>
      <c r="L8" s="914"/>
      <c r="M8" s="915"/>
      <c r="N8" s="915"/>
      <c r="O8" s="915"/>
      <c r="P8" s="3657" t="s">
        <v>1683</v>
      </c>
      <c r="Q8" s="3658"/>
      <c r="R8" s="700" t="s">
        <v>14</v>
      </c>
      <c r="S8" s="701">
        <f t="shared" si="0"/>
        <v>103</v>
      </c>
      <c r="T8" s="700" t="s">
        <v>14</v>
      </c>
      <c r="U8" s="701">
        <f t="shared" si="1"/>
        <v>103</v>
      </c>
      <c r="V8" s="700" t="s">
        <v>14</v>
      </c>
      <c r="W8" s="701">
        <f t="shared" si="2"/>
        <v>103</v>
      </c>
      <c r="X8" s="702"/>
      <c r="Y8" s="3657" t="s">
        <v>1683</v>
      </c>
      <c r="Z8" s="3658"/>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3431</v>
      </c>
      <c r="D9" s="125">
        <v>100</v>
      </c>
      <c r="E9" s="372" t="s">
        <v>3430</v>
      </c>
      <c r="F9" s="125">
        <f>SUMIF(57:57,E9,58:58)-SUMIF(57:57,C9,58:58)+100</f>
        <v>100</v>
      </c>
      <c r="G9" s="372" t="s">
        <v>3430</v>
      </c>
      <c r="H9" s="125">
        <f>SUMIF(57:57,G9,58:58)-SUMIF(57:57,C9,58:58)+100</f>
        <v>100</v>
      </c>
      <c r="I9" s="372" t="s">
        <v>3430</v>
      </c>
      <c r="J9" s="125">
        <f>SUMIF(57:57,I9,58:58)-SUMIF(57:57,C9,58:58)+100</f>
        <v>100</v>
      </c>
      <c r="K9" s="559"/>
      <c r="L9" s="914"/>
      <c r="M9" s="915"/>
      <c r="N9" s="915"/>
      <c r="O9" s="916"/>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88"/>
      <c r="Q16" s="1351"/>
      <c r="R16" s="704"/>
      <c r="S16" s="705"/>
      <c r="T16" s="704"/>
      <c r="U16" s="705"/>
      <c r="V16" s="704"/>
      <c r="W16" s="705"/>
      <c r="X16" s="1354"/>
      <c r="Y16" s="3688"/>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88"/>
      <c r="Q18" s="1351"/>
      <c r="R18" s="704"/>
      <c r="S18" s="705"/>
      <c r="T18" s="704"/>
      <c r="U18" s="705"/>
      <c r="V18" s="704"/>
      <c r="W18" s="705"/>
      <c r="X18" s="1354"/>
      <c r="Y18" s="3688"/>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88"/>
      <c r="Q20" s="1351"/>
      <c r="R20" s="704"/>
      <c r="S20" s="705"/>
      <c r="T20" s="704"/>
      <c r="U20" s="705"/>
      <c r="V20" s="704"/>
      <c r="W20" s="705"/>
      <c r="X20" s="1354"/>
      <c r="Y20" s="3688"/>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t="s">
        <v>3433</v>
      </c>
      <c r="D22" s="398"/>
      <c r="E22" s="397" t="s">
        <v>3433</v>
      </c>
      <c r="F22" s="399"/>
      <c r="G22" s="397" t="s">
        <v>3433</v>
      </c>
      <c r="H22" s="398"/>
      <c r="I22" s="397" t="s">
        <v>3433</v>
      </c>
      <c r="J22" s="398"/>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8"/>
      <c r="Q27" s="1342">
        <f t="shared" si="11"/>
        <v>111</v>
      </c>
      <c r="R27" s="700" t="s">
        <v>14</v>
      </c>
      <c r="S27" s="701">
        <f>F27</f>
        <v>100</v>
      </c>
      <c r="T27" s="700" t="s">
        <v>14</v>
      </c>
      <c r="U27" s="701">
        <f>H27</f>
        <v>100</v>
      </c>
      <c r="V27" s="700" t="s">
        <v>14</v>
      </c>
      <c r="W27" s="701">
        <f>J27</f>
        <v>100</v>
      </c>
      <c r="X27" s="702"/>
      <c r="Y27" s="368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6" t="s">
        <v>1694</v>
      </c>
      <c r="B29" s="63" t="s">
        <v>1817</v>
      </c>
      <c r="C29" s="1966" t="s">
        <v>3434</v>
      </c>
      <c r="D29" s="417">
        <v>100</v>
      </c>
      <c r="E29" s="1966" t="s">
        <v>3434</v>
      </c>
      <c r="F29" s="411">
        <f>SUMIF(88:88,E29,89:89)-SUMIF(88:88,C29,89:89)+100</f>
        <v>100</v>
      </c>
      <c r="G29" s="1966" t="s">
        <v>3434</v>
      </c>
      <c r="H29" s="385">
        <f>SUMIF(88:88,G29,89:89)-SUMIF(88:88,C29,89:89)+100</f>
        <v>100</v>
      </c>
      <c r="I29" s="1966" t="s">
        <v>3434</v>
      </c>
      <c r="J29" s="417">
        <f>SUMIF(88:88,I29,89:89)-SUMIF(88:88,C29,89:89)+100</f>
        <v>100</v>
      </c>
      <c r="K29" s="560"/>
      <c r="L29" s="922"/>
      <c r="M29" s="913"/>
      <c r="N29" s="913"/>
      <c r="O29" s="921"/>
      <c r="P29" s="3689" t="s">
        <v>1696</v>
      </c>
      <c r="Q29" s="1351" t="str">
        <f t="shared" si="11"/>
        <v>建筑类型</v>
      </c>
      <c r="R29" s="704" t="s">
        <v>14</v>
      </c>
      <c r="S29" s="705">
        <f t="shared" si="12"/>
        <v>100</v>
      </c>
      <c r="T29" s="704" t="s">
        <v>14</v>
      </c>
      <c r="U29" s="705">
        <f t="shared" si="13"/>
        <v>100</v>
      </c>
      <c r="V29" s="704" t="s">
        <v>14</v>
      </c>
      <c r="W29" s="705">
        <f t="shared" si="14"/>
        <v>100</v>
      </c>
      <c r="X29" s="1354"/>
      <c r="Y29" s="3690"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794.57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90"/>
      <c r="Q30" s="706" t="str">
        <f t="shared" si="11"/>
        <v>项目建筑规模</v>
      </c>
      <c r="R30" s="707" t="s">
        <v>14</v>
      </c>
      <c r="S30" s="708">
        <f t="shared" si="12"/>
        <v>99</v>
      </c>
      <c r="T30" s="707" t="s">
        <v>14</v>
      </c>
      <c r="U30" s="708">
        <f t="shared" si="13"/>
        <v>98</v>
      </c>
      <c r="V30" s="707" t="s">
        <v>14</v>
      </c>
      <c r="W30" s="708">
        <f t="shared" si="14"/>
        <v>97</v>
      </c>
      <c r="X30" s="709"/>
      <c r="Y30" s="3690"/>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90"/>
      <c r="Q31" s="1351" t="str">
        <f t="shared" si="11"/>
        <v>建筑结构</v>
      </c>
      <c r="R31" s="704" t="s">
        <v>14</v>
      </c>
      <c r="S31" s="705">
        <f t="shared" si="12"/>
        <v>100</v>
      </c>
      <c r="T31" s="704" t="s">
        <v>14</v>
      </c>
      <c r="U31" s="705">
        <f t="shared" si="13"/>
        <v>100</v>
      </c>
      <c r="V31" s="704" t="s">
        <v>14</v>
      </c>
      <c r="W31" s="705">
        <f t="shared" si="14"/>
        <v>100</v>
      </c>
      <c r="X31" s="1354"/>
      <c r="Y31" s="369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0"/>
      <c r="Q32" s="1351" t="str">
        <f t="shared" si="11"/>
        <v>公共部分装修</v>
      </c>
      <c r="R32" s="704" t="s">
        <v>14</v>
      </c>
      <c r="S32" s="705">
        <f t="shared" si="12"/>
        <v>100</v>
      </c>
      <c r="T32" s="704" t="s">
        <v>14</v>
      </c>
      <c r="U32" s="705">
        <f t="shared" si="13"/>
        <v>100</v>
      </c>
      <c r="V32" s="704" t="s">
        <v>14</v>
      </c>
      <c r="W32" s="705">
        <f t="shared" si="14"/>
        <v>100</v>
      </c>
      <c r="X32" s="1354"/>
      <c r="Y32" s="3690"/>
      <c r="Z32" s="1355" t="str">
        <f t="shared" si="15"/>
        <v>公共部分装修</v>
      </c>
      <c r="AA32" s="1352">
        <f t="shared" si="3"/>
        <v>1</v>
      </c>
      <c r="AB32" s="1352">
        <f t="shared" si="4"/>
        <v>1</v>
      </c>
      <c r="AC32" s="1352">
        <f t="shared" si="5"/>
        <v>1</v>
      </c>
    </row>
    <row r="33" spans="1:29" ht="15">
      <c r="A33" s="422"/>
      <c r="B33" s="374" t="s">
        <v>1786</v>
      </c>
      <c r="C33" s="3451">
        <f>'数据-取费表'!N6</f>
        <v>0.8</v>
      </c>
      <c r="D33" s="385">
        <v>100</v>
      </c>
      <c r="E33" s="3451">
        <f>C33</f>
        <v>0.8</v>
      </c>
      <c r="F33" s="411">
        <f>LOOKUP(E33,98:98,99:99)-LOOKUP(C33,98:98,99:99)+100</f>
        <v>100</v>
      </c>
      <c r="G33" s="3451">
        <f>C33</f>
        <v>0.8</v>
      </c>
      <c r="H33" s="411">
        <f>LOOKUP(G33,98:98,99:99)-LOOKUP(C33,98:98,99:99)+100</f>
        <v>100</v>
      </c>
      <c r="I33" s="3451">
        <f>C33</f>
        <v>0.8</v>
      </c>
      <c r="J33" s="385">
        <f>LOOKUP(I33,98:98,99:99)-LOOKUP(C33,98:98,99:99)+100</f>
        <v>100</v>
      </c>
      <c r="K33" s="560">
        <v>1</v>
      </c>
      <c r="L33" s="922"/>
      <c r="M33" s="913"/>
      <c r="N33" s="913"/>
      <c r="O33" s="921"/>
      <c r="P33" s="3690"/>
      <c r="Q33" s="1351" t="str">
        <f t="shared" si="11"/>
        <v>成新度</v>
      </c>
      <c r="R33" s="704" t="s">
        <v>14</v>
      </c>
      <c r="S33" s="705">
        <f t="shared" si="12"/>
        <v>100</v>
      </c>
      <c r="T33" s="704" t="s">
        <v>14</v>
      </c>
      <c r="U33" s="705">
        <f t="shared" si="13"/>
        <v>100</v>
      </c>
      <c r="V33" s="704" t="s">
        <v>14</v>
      </c>
      <c r="W33" s="705">
        <f t="shared" si="14"/>
        <v>100</v>
      </c>
      <c r="X33" s="1354"/>
      <c r="Y33" s="3690"/>
      <c r="Z33" s="1355" t="str">
        <f t="shared" si="15"/>
        <v>成新度</v>
      </c>
      <c r="AA33" s="1352">
        <f t="shared" si="3"/>
        <v>1</v>
      </c>
      <c r="AB33" s="1352">
        <f t="shared" si="4"/>
        <v>1</v>
      </c>
      <c r="AC33" s="1352">
        <f t="shared" si="5"/>
        <v>1</v>
      </c>
    </row>
    <row r="34" spans="1:29" s="108" customFormat="1" ht="15">
      <c r="A34" s="423"/>
      <c r="B34" s="374" t="s">
        <v>1819</v>
      </c>
      <c r="C34" s="410" t="s">
        <v>3437</v>
      </c>
      <c r="D34" s="126">
        <v>100</v>
      </c>
      <c r="E34" s="410" t="s">
        <v>3437</v>
      </c>
      <c r="F34" s="411">
        <f>SUMIF(100:100,E34,101:101)-SUMIF(100:100,C34,101:101)+100</f>
        <v>100</v>
      </c>
      <c r="G34" s="410" t="s">
        <v>3437</v>
      </c>
      <c r="H34" s="385">
        <f>SUMIF(100:100,G34,101:101)-SUMIF(100:100,C34,101:101)+100</f>
        <v>100</v>
      </c>
      <c r="I34" s="410" t="s">
        <v>3437</v>
      </c>
      <c r="J34" s="385">
        <f>SUMIF(100:100,I34,101:101)-SUMIF(100:100,C34,101:101)+100</f>
        <v>100</v>
      </c>
      <c r="K34" s="560">
        <v>1</v>
      </c>
      <c r="L34" s="914"/>
      <c r="M34" s="915"/>
      <c r="N34" s="915"/>
      <c r="O34" s="916"/>
      <c r="P34" s="3690"/>
      <c r="Q34" s="1342" t="str">
        <f t="shared" si="11"/>
        <v>物业管理</v>
      </c>
      <c r="R34" s="700" t="s">
        <v>14</v>
      </c>
      <c r="S34" s="701">
        <f t="shared" si="12"/>
        <v>100</v>
      </c>
      <c r="T34" s="700" t="s">
        <v>14</v>
      </c>
      <c r="U34" s="701">
        <f t="shared" si="13"/>
        <v>100</v>
      </c>
      <c r="V34" s="700" t="s">
        <v>14</v>
      </c>
      <c r="W34" s="701">
        <f t="shared" si="14"/>
        <v>100</v>
      </c>
      <c r="X34" s="702"/>
      <c r="Y34" s="3690"/>
      <c r="Z34" s="52" t="str">
        <f t="shared" si="15"/>
        <v>物业管理</v>
      </c>
      <c r="AA34" s="703">
        <f t="shared" si="3"/>
        <v>1</v>
      </c>
      <c r="AB34" s="703">
        <f t="shared" si="4"/>
        <v>1</v>
      </c>
      <c r="AC34" s="703">
        <f t="shared" si="5"/>
        <v>1</v>
      </c>
    </row>
    <row r="35" spans="1:29" ht="15">
      <c r="A35" s="422"/>
      <c r="B35" s="374" t="s">
        <v>1787</v>
      </c>
      <c r="C35" s="410" t="s">
        <v>3432</v>
      </c>
      <c r="D35" s="385">
        <v>100</v>
      </c>
      <c r="E35" s="410" t="s">
        <v>3432</v>
      </c>
      <c r="F35" s="411">
        <f>SUMIF(102:102,E35,103:103)-SUMIF(102:102,C35,103:103)+100</f>
        <v>100</v>
      </c>
      <c r="G35" s="410" t="s">
        <v>3432</v>
      </c>
      <c r="H35" s="385">
        <f>SUMIF(102:102,G35,103:103)-SUMIF(102:102,C35,103:103)+100</f>
        <v>100</v>
      </c>
      <c r="I35" s="410" t="s">
        <v>3432</v>
      </c>
      <c r="J35" s="385">
        <f>SUMIF(102:102,I35,103:103)-SUMIF(102:102,C35,103:103)+100</f>
        <v>100</v>
      </c>
      <c r="K35" s="560">
        <v>1</v>
      </c>
      <c r="L35" s="922"/>
      <c r="M35" s="913"/>
      <c r="N35" s="913"/>
      <c r="O35" s="921"/>
      <c r="P35" s="3690" t="s">
        <v>1696</v>
      </c>
      <c r="Q35" s="1351" t="str">
        <f t="shared" si="11"/>
        <v>市政基础设施</v>
      </c>
      <c r="R35" s="704" t="s">
        <v>14</v>
      </c>
      <c r="S35" s="705">
        <f t="shared" si="12"/>
        <v>100</v>
      </c>
      <c r="T35" s="704" t="s">
        <v>14</v>
      </c>
      <c r="U35" s="705">
        <f t="shared" si="13"/>
        <v>100</v>
      </c>
      <c r="V35" s="704" t="s">
        <v>14</v>
      </c>
      <c r="W35" s="705">
        <f t="shared" si="14"/>
        <v>100</v>
      </c>
      <c r="X35" s="1354"/>
      <c r="Y35" s="3690" t="s">
        <v>1696</v>
      </c>
      <c r="Z35" s="1355" t="str">
        <f t="shared" si="15"/>
        <v>市政基础设施</v>
      </c>
      <c r="AA35" s="1352">
        <f t="shared" si="3"/>
        <v>1</v>
      </c>
      <c r="AB35" s="1352">
        <f t="shared" si="4"/>
        <v>1</v>
      </c>
      <c r="AC35" s="1352">
        <f t="shared" si="5"/>
        <v>1</v>
      </c>
    </row>
    <row r="36" spans="1:29" ht="15">
      <c r="A36" s="422"/>
      <c r="B36" s="374" t="s">
        <v>1792</v>
      </c>
      <c r="C36" s="410" t="s">
        <v>3443</v>
      </c>
      <c r="D36" s="385">
        <v>100</v>
      </c>
      <c r="E36" s="410" t="s">
        <v>3443</v>
      </c>
      <c r="F36" s="411">
        <f>SUMIF(104:104,E36,105:105)-SUMIF(104:104,C36,105:105)+100</f>
        <v>100</v>
      </c>
      <c r="G36" s="410" t="s">
        <v>3454</v>
      </c>
      <c r="H36" s="385">
        <f>SUMIF(104:104,G36,105:105)-SUMIF(104:104,C36,105:105)+100</f>
        <v>102</v>
      </c>
      <c r="I36" s="410" t="s">
        <v>3454</v>
      </c>
      <c r="J36" s="385">
        <f>SUMIF(104:104,I36,105:105)-SUMIF(104:104,C36,105:105)+100</f>
        <v>102</v>
      </c>
      <c r="K36" s="560">
        <v>2</v>
      </c>
      <c r="L36" s="922"/>
      <c r="M36" s="913"/>
      <c r="N36" s="913"/>
      <c r="O36" s="921"/>
      <c r="P36" s="3690"/>
      <c r="Q36" s="1351" t="str">
        <f t="shared" si="11"/>
        <v>内部装修</v>
      </c>
      <c r="R36" s="704" t="s">
        <v>14</v>
      </c>
      <c r="S36" s="705">
        <f t="shared" si="12"/>
        <v>100</v>
      </c>
      <c r="T36" s="704" t="s">
        <v>14</v>
      </c>
      <c r="U36" s="705">
        <f t="shared" si="13"/>
        <v>102</v>
      </c>
      <c r="V36" s="704" t="s">
        <v>14</v>
      </c>
      <c r="W36" s="705">
        <f t="shared" si="14"/>
        <v>102</v>
      </c>
      <c r="X36" s="1354"/>
      <c r="Y36" s="3690"/>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90"/>
      <c r="Q37" s="1351" t="str">
        <f t="shared" si="11"/>
        <v>内部装修状况</v>
      </c>
      <c r="R37" s="704" t="s">
        <v>14</v>
      </c>
      <c r="S37" s="705">
        <f t="shared" si="12"/>
        <v>100</v>
      </c>
      <c r="T37" s="704" t="s">
        <v>14</v>
      </c>
      <c r="U37" s="705">
        <f t="shared" si="13"/>
        <v>100</v>
      </c>
      <c r="V37" s="704" t="s">
        <v>14</v>
      </c>
      <c r="W37" s="705">
        <f t="shared" si="14"/>
        <v>100</v>
      </c>
      <c r="X37" s="1354"/>
      <c r="Y37" s="3690"/>
      <c r="Z37" s="1355" t="str">
        <f t="shared" si="15"/>
        <v>内部装修状况</v>
      </c>
      <c r="AA37" s="1352">
        <f t="shared" si="3"/>
        <v>1</v>
      </c>
      <c r="AB37" s="1352">
        <f t="shared" si="4"/>
        <v>1</v>
      </c>
      <c r="AC37" s="1352">
        <f t="shared" si="5"/>
        <v>1</v>
      </c>
    </row>
    <row r="38" spans="1:29" s="421" customFormat="1" ht="15">
      <c r="A38" s="418"/>
      <c r="B38" s="3453" t="s">
        <v>3448</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90"/>
      <c r="Q38" s="706" t="str">
        <f t="shared" si="11"/>
        <v>是否有地下</v>
      </c>
      <c r="R38" s="707" t="s">
        <v>14</v>
      </c>
      <c r="S38" s="708">
        <f t="shared" si="12"/>
        <v>100</v>
      </c>
      <c r="T38" s="707" t="s">
        <v>14</v>
      </c>
      <c r="U38" s="708">
        <f t="shared" si="13"/>
        <v>100</v>
      </c>
      <c r="V38" s="707" t="s">
        <v>14</v>
      </c>
      <c r="W38" s="708">
        <f t="shared" si="14"/>
        <v>100</v>
      </c>
      <c r="X38" s="709"/>
      <c r="Y38" s="3690"/>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0"/>
      <c r="Q39" s="1351">
        <f t="shared" si="11"/>
        <v>111</v>
      </c>
      <c r="R39" s="704" t="s">
        <v>14</v>
      </c>
      <c r="S39" s="705">
        <f t="shared" si="12"/>
        <v>100</v>
      </c>
      <c r="T39" s="704" t="s">
        <v>14</v>
      </c>
      <c r="U39" s="705">
        <f t="shared" si="13"/>
        <v>100</v>
      </c>
      <c r="V39" s="704" t="s">
        <v>14</v>
      </c>
      <c r="W39" s="705">
        <f t="shared" si="14"/>
        <v>100</v>
      </c>
      <c r="X39" s="1354"/>
      <c r="Y39" s="369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1"/>
      <c r="Q40" s="1351">
        <f t="shared" si="11"/>
        <v>111</v>
      </c>
      <c r="R40" s="704" t="s">
        <v>14</v>
      </c>
      <c r="S40" s="705">
        <f t="shared" si="12"/>
        <v>100</v>
      </c>
      <c r="T40" s="704" t="s">
        <v>14</v>
      </c>
      <c r="U40" s="705">
        <f t="shared" si="13"/>
        <v>100</v>
      </c>
      <c r="V40" s="704" t="s">
        <v>14</v>
      </c>
      <c r="W40" s="705">
        <f t="shared" si="14"/>
        <v>100</v>
      </c>
      <c r="X40" s="1354"/>
      <c r="Y40" s="3691"/>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72" t="str">
        <f>A41</f>
        <v>成交单价（元/平方米）</v>
      </c>
      <c r="Q41" s="3672"/>
      <c r="R41" s="3692">
        <f>E41</f>
        <v>15000</v>
      </c>
      <c r="S41" s="3692"/>
      <c r="T41" s="3692">
        <f>G41</f>
        <v>18000</v>
      </c>
      <c r="U41" s="3692"/>
      <c r="V41" s="3692">
        <f>I41</f>
        <v>17300</v>
      </c>
      <c r="W41" s="3692"/>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72" t="str">
        <f>A42</f>
        <v>比较价值（元/平方米）</v>
      </c>
      <c r="Q42" s="3672"/>
      <c r="R42" s="3692">
        <f>IF(F1="售价",ROUND(PRODUCT(R41,AA7:AA40),0),ROUND(PRODUCT(R41,AA7:AA40),1))</f>
        <v>14710</v>
      </c>
      <c r="S42" s="3692"/>
      <c r="T42" s="3692">
        <f>IF(F1="售价",ROUND(PRODUCT(T41,AB7:AB40),0),ROUND(PRODUCT(T41,AB7:AB40),1))</f>
        <v>17483</v>
      </c>
      <c r="U42" s="3692"/>
      <c r="V42" s="3692">
        <f>IF(F1="售价",ROUND(PRODUCT(V41,AC7:AC40),0),ROUND(PRODUCT(V41,AC7:AC40),1))</f>
        <v>16976</v>
      </c>
      <c r="W42" s="3692"/>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93" t="str">
        <f>A43</f>
        <v>估价对象XX用房的比较价值（楼面单价，元/平方米）</v>
      </c>
      <c r="Q43" s="3694"/>
      <c r="R43" s="3695">
        <f>IF(F1="售价",ROUND(IF(D42="简单平均",AVERAGE(R42:V42),R42*F42+T42*H42+V42*J42),0),ROUND(IF(D42="简单平均",AVERAGE(R42:V42),R42*F42+T42*H42+V42*J42),1))</f>
        <v>16390</v>
      </c>
      <c r="S43" s="3695"/>
      <c r="T43" s="3695"/>
      <c r="U43" s="3695"/>
      <c r="V43" s="3695"/>
      <c r="W43" s="369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3447</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3435</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3436</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3438</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3433</v>
      </c>
      <c r="D102" s="502" t="s">
        <v>3439</v>
      </c>
      <c r="E102" s="502" t="s">
        <v>3432</v>
      </c>
      <c r="F102" s="502" t="s">
        <v>3440</v>
      </c>
      <c r="G102" s="502" t="s">
        <v>3441</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3442</v>
      </c>
      <c r="D104" s="3450" t="s">
        <v>3444</v>
      </c>
      <c r="E104" s="3450" t="s">
        <v>3445</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3449</v>
      </c>
      <c r="D108" s="3450" t="s">
        <v>3450</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H64" sqref="H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3103.1136999999999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39054</v>
      </c>
      <c r="C3" s="353" t="s">
        <v>1768</v>
      </c>
      <c r="D3" s="352">
        <f>IF(D1="",'数据-汇总表'!E3,SUMIF('数据-汇总表'!$C19:$C33,D1,'数据-汇总表'!$E19:$E33))</f>
        <v>794.57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703" t="s">
        <v>1775</v>
      </c>
      <c r="Q4" s="3704"/>
      <c r="R4" s="3697" t="s">
        <v>1771</v>
      </c>
      <c r="S4" s="3698"/>
      <c r="T4" s="3697" t="s">
        <v>1772</v>
      </c>
      <c r="U4" s="3698"/>
      <c r="V4" s="3707" t="s">
        <v>1773</v>
      </c>
      <c r="W4" s="3707"/>
      <c r="X4" s="1957"/>
      <c r="Y4" s="3697" t="s">
        <v>1775</v>
      </c>
      <c r="Z4" s="3698"/>
      <c r="AA4" s="3696" t="s">
        <v>1771</v>
      </c>
      <c r="AB4" s="3696" t="s">
        <v>1772</v>
      </c>
      <c r="AC4" s="3700" t="s">
        <v>1773</v>
      </c>
    </row>
    <row r="5" spans="1:29" ht="15">
      <c r="A5" s="357"/>
      <c r="B5" s="358"/>
      <c r="C5" s="3665" t="s">
        <v>1673</v>
      </c>
      <c r="D5" s="3666"/>
      <c r="E5" s="3663" t="s">
        <v>3471</v>
      </c>
      <c r="F5" s="3664"/>
      <c r="G5" s="3669" t="str">
        <f>I5</f>
        <v>天元港</v>
      </c>
      <c r="H5" s="3666"/>
      <c r="I5" s="3669" t="s">
        <v>3472</v>
      </c>
      <c r="J5" s="3666"/>
      <c r="K5" s="558"/>
      <c r="L5" s="2714"/>
      <c r="M5" s="2715"/>
      <c r="N5" s="2715"/>
      <c r="O5" s="2715"/>
      <c r="P5" s="3705"/>
      <c r="Q5" s="3680"/>
      <c r="R5" s="3661"/>
      <c r="S5" s="3662"/>
      <c r="T5" s="3661"/>
      <c r="U5" s="3662"/>
      <c r="V5" s="3685"/>
      <c r="W5" s="3685"/>
      <c r="X5" s="1354"/>
      <c r="Y5" s="3661"/>
      <c r="Z5" s="3662"/>
      <c r="AA5" s="3655"/>
      <c r="AB5" s="3655"/>
      <c r="AC5" s="3701"/>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706"/>
      <c r="Q6" s="3682"/>
      <c r="R6" s="3661"/>
      <c r="S6" s="3662"/>
      <c r="T6" s="3683"/>
      <c r="U6" s="3684"/>
      <c r="V6" s="3685"/>
      <c r="W6" s="3685"/>
      <c r="X6" s="1354"/>
      <c r="Y6" s="3683"/>
      <c r="Z6" s="3684"/>
      <c r="AA6" s="3656"/>
      <c r="AB6" s="3656"/>
      <c r="AC6" s="3702"/>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08" t="s">
        <v>1680</v>
      </c>
      <c r="Q7" s="3686"/>
      <c r="R7" s="700" t="s">
        <v>14</v>
      </c>
      <c r="S7" s="701">
        <f t="shared" ref="S7:S15" si="0">F7</f>
        <v>100</v>
      </c>
      <c r="T7" s="700" t="s">
        <v>14</v>
      </c>
      <c r="U7" s="701">
        <f t="shared" ref="U7:U15" si="1">H7</f>
        <v>100</v>
      </c>
      <c r="V7" s="700" t="s">
        <v>14</v>
      </c>
      <c r="W7" s="701">
        <f t="shared" ref="W7:W15" si="2">J7</f>
        <v>100</v>
      </c>
      <c r="X7" s="702"/>
      <c r="Y7" s="3657" t="s">
        <v>1680</v>
      </c>
      <c r="Z7" s="3658"/>
      <c r="AA7" s="703">
        <f>D7/F7</f>
        <v>1</v>
      </c>
      <c r="AB7" s="703">
        <f>D7/H7</f>
        <v>1</v>
      </c>
      <c r="AC7" s="1958">
        <f>D7/J7</f>
        <v>1</v>
      </c>
    </row>
    <row r="8" spans="1:29" s="108" customFormat="1" ht="15.75" thickBot="1">
      <c r="A8" s="361" t="s">
        <v>1681</v>
      </c>
      <c r="B8" s="362"/>
      <c r="C8" s="367" t="s">
        <v>3416</v>
      </c>
      <c r="D8" s="364">
        <v>100</v>
      </c>
      <c r="E8" s="367" t="s">
        <v>3455</v>
      </c>
      <c r="F8" s="366">
        <f>SUMIF(62:62,E8,63:63)-SUMIF(62:62,C8,63:63)+100</f>
        <v>105</v>
      </c>
      <c r="G8" s="367" t="s">
        <v>3455</v>
      </c>
      <c r="H8" s="364">
        <f>SUMIF(62:62,G8,63:63)-SUMIF(62:62,C8,63:63)+100</f>
        <v>105</v>
      </c>
      <c r="I8" s="367" t="s">
        <v>3455</v>
      </c>
      <c r="J8" s="364">
        <f>SUMIF(62:62,I8,63:63)-SUMIF(62:62,C8,63:63)+100</f>
        <v>105</v>
      </c>
      <c r="K8" s="559"/>
      <c r="L8" s="2716"/>
      <c r="M8" s="2717"/>
      <c r="N8" s="2717"/>
      <c r="O8" s="2717"/>
      <c r="P8" s="3708" t="s">
        <v>1683</v>
      </c>
      <c r="Q8" s="3658"/>
      <c r="R8" s="700" t="s">
        <v>14</v>
      </c>
      <c r="S8" s="701">
        <f t="shared" si="0"/>
        <v>105</v>
      </c>
      <c r="T8" s="700" t="s">
        <v>14</v>
      </c>
      <c r="U8" s="701">
        <f t="shared" si="1"/>
        <v>105</v>
      </c>
      <c r="V8" s="700" t="s">
        <v>14</v>
      </c>
      <c r="W8" s="701">
        <f t="shared" si="2"/>
        <v>105</v>
      </c>
      <c r="X8" s="702"/>
      <c r="Y8" s="3657" t="s">
        <v>1683</v>
      </c>
      <c r="Z8" s="3658"/>
      <c r="AA8" s="703">
        <f t="shared" ref="AA8:AA47" si="3">D8/F8</f>
        <v>0.95238095238095233</v>
      </c>
      <c r="AB8" s="703">
        <f t="shared" ref="AB8:AB47" si="4">D8/H8</f>
        <v>0.95238095238095233</v>
      </c>
      <c r="AC8" s="1958">
        <f t="shared" ref="AC8:AC47" si="5">D8/J8</f>
        <v>0.95238095238095233</v>
      </c>
    </row>
    <row r="9" spans="1:29" s="108" customFormat="1">
      <c r="A9" s="368" t="s">
        <v>1684</v>
      </c>
      <c r="B9" s="63" t="s">
        <v>1685</v>
      </c>
      <c r="C9" s="3448" t="s">
        <v>3457</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9"/>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687"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710"/>
      <c r="Q16" s="1351"/>
      <c r="R16" s="704"/>
      <c r="S16" s="705"/>
      <c r="T16" s="704"/>
      <c r="U16" s="705"/>
      <c r="V16" s="704"/>
      <c r="W16" s="705"/>
      <c r="X16" s="1354"/>
      <c r="Y16" s="368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10"/>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710"/>
      <c r="Q18" s="1351"/>
      <c r="R18" s="704"/>
      <c r="S18" s="705"/>
      <c r="T18" s="704"/>
      <c r="U18" s="705"/>
      <c r="V18" s="704"/>
      <c r="W18" s="705"/>
      <c r="X18" s="1354"/>
      <c r="Y18" s="3688"/>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10"/>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710"/>
      <c r="Q20" s="1351"/>
      <c r="R20" s="704"/>
      <c r="S20" s="705"/>
      <c r="T20" s="704"/>
      <c r="U20" s="705"/>
      <c r="V20" s="704"/>
      <c r="W20" s="705"/>
      <c r="X20" s="1354"/>
      <c r="Y20" s="3688"/>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0"/>
      <c r="Q22" s="1351"/>
      <c r="R22" s="704"/>
      <c r="S22" s="705"/>
      <c r="T22" s="704"/>
      <c r="U22" s="705"/>
      <c r="V22" s="704"/>
      <c r="W22" s="705"/>
      <c r="X22" s="1354"/>
      <c r="Y22" s="3688"/>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10"/>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710"/>
      <c r="Q24" s="1351"/>
      <c r="R24" s="704"/>
      <c r="S24" s="705"/>
      <c r="T24" s="704"/>
      <c r="U24" s="705"/>
      <c r="V24" s="704"/>
      <c r="W24" s="705"/>
      <c r="X24" s="1354"/>
      <c r="Y24" s="368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0"/>
      <c r="Q26" s="1351"/>
      <c r="R26" s="704"/>
      <c r="S26" s="705"/>
      <c r="T26" s="704"/>
      <c r="U26" s="705"/>
      <c r="V26" s="704"/>
      <c r="W26" s="705"/>
      <c r="X26" s="1354"/>
      <c r="Y26" s="3688"/>
      <c r="Z26" s="1355"/>
      <c r="AA26" s="1352">
        <v>1</v>
      </c>
      <c r="AB26" s="1352">
        <v>1</v>
      </c>
      <c r="AC26" s="1961">
        <v>1</v>
      </c>
    </row>
    <row r="27" spans="1:29" ht="15">
      <c r="A27" s="378"/>
      <c r="B27" s="579" t="s">
        <v>1783</v>
      </c>
      <c r="C27" s="581" t="s">
        <v>3460</v>
      </c>
      <c r="D27" s="385">
        <v>100</v>
      </c>
      <c r="E27" s="564" t="s">
        <v>3462</v>
      </c>
      <c r="F27" s="385">
        <f>SUMIF(89:89,E27,90:90)-SUMIF(89:89,C27,90:90)+100</f>
        <v>97</v>
      </c>
      <c r="G27" s="581" t="s">
        <v>3458</v>
      </c>
      <c r="H27" s="385">
        <f>SUMIF(89:89,G27,90:90)-SUMIF(89:89,C27,90:90)+100</f>
        <v>103</v>
      </c>
      <c r="I27" s="564" t="s">
        <v>3460</v>
      </c>
      <c r="J27" s="385">
        <f>SUMIF(89:89,I27,90:90)-SUMIF(89:89,C27,90:90)+100</f>
        <v>100</v>
      </c>
      <c r="K27" s="560">
        <v>3</v>
      </c>
      <c r="L27" s="2721"/>
      <c r="M27" s="2715"/>
      <c r="N27" s="2715"/>
      <c r="O27" s="2715"/>
      <c r="P27" s="3710"/>
      <c r="Q27" s="1351" t="str">
        <f t="shared" ref="Q27:Q47" si="11">B27</f>
        <v>楼层</v>
      </c>
      <c r="R27" s="704" t="s">
        <v>14</v>
      </c>
      <c r="S27" s="705">
        <f>F27</f>
        <v>97</v>
      </c>
      <c r="T27" s="704" t="s">
        <v>14</v>
      </c>
      <c r="U27" s="705">
        <f>H27</f>
        <v>103</v>
      </c>
      <c r="V27" s="704" t="s">
        <v>14</v>
      </c>
      <c r="W27" s="705">
        <f>J27</f>
        <v>100</v>
      </c>
      <c r="X27" s="1354"/>
      <c r="Y27" s="3688"/>
      <c r="Z27" s="1355" t="str">
        <f>Q27</f>
        <v>楼层</v>
      </c>
      <c r="AA27" s="1352">
        <f t="shared" si="3"/>
        <v>1.0309278350515463</v>
      </c>
      <c r="AB27" s="1352">
        <f t="shared" si="4"/>
        <v>0.970873786407767</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0"/>
      <c r="Q28" s="1342" t="str">
        <f t="shared" si="11"/>
        <v>朝向</v>
      </c>
      <c r="R28" s="700" t="s">
        <v>14</v>
      </c>
      <c r="S28" s="701">
        <f>F28</f>
        <v>100</v>
      </c>
      <c r="T28" s="700" t="s">
        <v>14</v>
      </c>
      <c r="U28" s="701">
        <f>H28</f>
        <v>100</v>
      </c>
      <c r="V28" s="700" t="s">
        <v>14</v>
      </c>
      <c r="W28" s="701">
        <f>J28</f>
        <v>100</v>
      </c>
      <c r="X28" s="702"/>
      <c r="Y28" s="368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1">
        <f t="shared" si="5"/>
        <v>1</v>
      </c>
    </row>
    <row r="33" spans="1:29" ht="15">
      <c r="A33" s="390" t="s">
        <v>1694</v>
      </c>
      <c r="B33" s="63" t="s">
        <v>1817</v>
      </c>
      <c r="C33" s="1966" t="s">
        <v>3464</v>
      </c>
      <c r="D33" s="417">
        <v>100</v>
      </c>
      <c r="E33" s="1966" t="s">
        <v>3464</v>
      </c>
      <c r="F33" s="411">
        <f>SUMIF(101:101,E33,102:102)-SUMIF(101:101,C33,102:102)+100</f>
        <v>100</v>
      </c>
      <c r="G33" s="1966" t="s">
        <v>3464</v>
      </c>
      <c r="H33" s="385">
        <f>SUMIF(101:101,G33,102:102)-SUMIF(101:101,C33,102:102)+100</f>
        <v>100</v>
      </c>
      <c r="I33" s="1966" t="s">
        <v>3464</v>
      </c>
      <c r="J33" s="417">
        <f>SUMIF(101:101,I33,102:102)-SUMIF(101:101,C33,102:102)+100</f>
        <v>100</v>
      </c>
      <c r="K33" s="560">
        <v>1</v>
      </c>
      <c r="L33" s="2721"/>
      <c r="M33" s="2715"/>
      <c r="N33" s="2715"/>
      <c r="O33" s="2715"/>
      <c r="P33" s="3711" t="s">
        <v>1696</v>
      </c>
      <c r="Q33" s="1351" t="str">
        <f t="shared" si="11"/>
        <v>建筑类型</v>
      </c>
      <c r="R33" s="704" t="s">
        <v>14</v>
      </c>
      <c r="S33" s="705">
        <f t="shared" si="12"/>
        <v>100</v>
      </c>
      <c r="T33" s="704" t="s">
        <v>14</v>
      </c>
      <c r="U33" s="705">
        <f t="shared" si="13"/>
        <v>100</v>
      </c>
      <c r="V33" s="704" t="s">
        <v>14</v>
      </c>
      <c r="W33" s="705">
        <f t="shared" si="14"/>
        <v>100</v>
      </c>
      <c r="X33" s="1354"/>
      <c r="Y33" s="3690"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794.57</v>
      </c>
      <c r="D34" s="126">
        <v>100</v>
      </c>
      <c r="E34" s="419">
        <v>87.44</v>
      </c>
      <c r="F34" s="375">
        <f>LOOKUP(E34,104:104,105:105)-LOOKUP(C34,104:104,105:105)+100</f>
        <v>99</v>
      </c>
      <c r="G34" s="419">
        <v>231.22</v>
      </c>
      <c r="H34" s="126">
        <f>LOOKUP(G34,104:104,105:105)-LOOKUP(C34,104:104,105:105)+100</f>
        <v>100</v>
      </c>
      <c r="I34" s="419">
        <v>1800</v>
      </c>
      <c r="J34" s="126">
        <f>LOOKUP(I34,104:104,105:105)-LOOKUP(C34,104:104,105:105)+100</f>
        <v>98</v>
      </c>
      <c r="K34" s="561"/>
      <c r="L34" s="2720"/>
      <c r="M34" s="2722"/>
      <c r="N34" s="2722"/>
      <c r="O34" s="2722"/>
      <c r="P34" s="3712"/>
      <c r="Q34" s="706" t="str">
        <f t="shared" si="11"/>
        <v>项目建筑规模</v>
      </c>
      <c r="R34" s="707" t="s">
        <v>14</v>
      </c>
      <c r="S34" s="708">
        <f t="shared" si="12"/>
        <v>99</v>
      </c>
      <c r="T34" s="707" t="s">
        <v>14</v>
      </c>
      <c r="U34" s="708">
        <f t="shared" si="13"/>
        <v>100</v>
      </c>
      <c r="V34" s="707" t="s">
        <v>14</v>
      </c>
      <c r="W34" s="708">
        <f t="shared" si="14"/>
        <v>98</v>
      </c>
      <c r="X34" s="709"/>
      <c r="Y34" s="3690"/>
      <c r="Z34" s="710" t="str">
        <f t="shared" si="15"/>
        <v>项目建筑规模</v>
      </c>
      <c r="AA34" s="1352">
        <f t="shared" si="3"/>
        <v>1.0101010101010102</v>
      </c>
      <c r="AB34" s="1352">
        <f t="shared" si="4"/>
        <v>1</v>
      </c>
      <c r="AC34" s="1961">
        <f t="shared" si="5"/>
        <v>1.0204081632653061</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12"/>
      <c r="Q35" s="1351" t="str">
        <f t="shared" si="11"/>
        <v>建筑结构</v>
      </c>
      <c r="R35" s="704" t="s">
        <v>14</v>
      </c>
      <c r="S35" s="705">
        <f t="shared" si="12"/>
        <v>100</v>
      </c>
      <c r="T35" s="704" t="s">
        <v>14</v>
      </c>
      <c r="U35" s="705">
        <f t="shared" si="13"/>
        <v>100</v>
      </c>
      <c r="V35" s="704" t="s">
        <v>14</v>
      </c>
      <c r="W35" s="705">
        <f t="shared" si="14"/>
        <v>100</v>
      </c>
      <c r="X35" s="1354"/>
      <c r="Y35" s="3690"/>
      <c r="Z35" s="1355" t="str">
        <f t="shared" si="15"/>
        <v>建筑结构</v>
      </c>
      <c r="AA35" s="1352">
        <f t="shared" si="3"/>
        <v>1</v>
      </c>
      <c r="AB35" s="1352">
        <f t="shared" si="4"/>
        <v>1</v>
      </c>
      <c r="AC35" s="1961">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c r="L36" s="2721"/>
      <c r="M36" s="2715"/>
      <c r="N36" s="2715"/>
      <c r="O36" s="2715"/>
      <c r="P36" s="3712"/>
      <c r="Q36" s="1351" t="str">
        <f t="shared" si="11"/>
        <v>公共部分装修</v>
      </c>
      <c r="R36" s="704" t="s">
        <v>14</v>
      </c>
      <c r="S36" s="705">
        <f t="shared" si="12"/>
        <v>100</v>
      </c>
      <c r="T36" s="704" t="s">
        <v>14</v>
      </c>
      <c r="U36" s="705">
        <f t="shared" si="13"/>
        <v>100</v>
      </c>
      <c r="V36" s="704" t="s">
        <v>14</v>
      </c>
      <c r="W36" s="705">
        <f t="shared" si="14"/>
        <v>100</v>
      </c>
      <c r="X36" s="1354"/>
      <c r="Y36" s="3690"/>
      <c r="Z36" s="1355" t="str">
        <f t="shared" si="15"/>
        <v>公共部分装修</v>
      </c>
      <c r="AA36" s="1352">
        <f t="shared" si="3"/>
        <v>1</v>
      </c>
      <c r="AB36" s="1352">
        <f t="shared" si="4"/>
        <v>1</v>
      </c>
      <c r="AC36" s="1961">
        <f t="shared" si="5"/>
        <v>1</v>
      </c>
    </row>
    <row r="37" spans="1:29" ht="15">
      <c r="A37" s="422"/>
      <c r="B37" s="374" t="s">
        <v>1786</v>
      </c>
      <c r="C37" s="424">
        <f>'数据-取费表'!N6</f>
        <v>0.8</v>
      </c>
      <c r="D37" s="385">
        <v>100</v>
      </c>
      <c r="E37" s="424">
        <v>0.75</v>
      </c>
      <c r="F37" s="411">
        <f>LOOKUP(E37,111:111,112:112)-LOOKUP(C37,111:111,112:112)+100</f>
        <v>99</v>
      </c>
      <c r="G37" s="424">
        <v>0.85</v>
      </c>
      <c r="H37" s="411">
        <f>LOOKUP(G37,111:111,112:112)-LOOKUP(C37,111:111,112:112)+100</f>
        <v>100</v>
      </c>
      <c r="I37" s="424">
        <v>0.85</v>
      </c>
      <c r="J37" s="385">
        <f>LOOKUP(I37,111:111,112:112)-LOOKUP(C37,111:111,112:112)+100</f>
        <v>100</v>
      </c>
      <c r="K37" s="560">
        <v>1</v>
      </c>
      <c r="L37" s="2721"/>
      <c r="M37" s="2715"/>
      <c r="N37" s="2715"/>
      <c r="O37" s="2715"/>
      <c r="P37" s="3712"/>
      <c r="Q37" s="1351" t="str">
        <f t="shared" si="11"/>
        <v>成新度</v>
      </c>
      <c r="R37" s="704" t="s">
        <v>14</v>
      </c>
      <c r="S37" s="705">
        <f t="shared" si="12"/>
        <v>99</v>
      </c>
      <c r="T37" s="704" t="s">
        <v>14</v>
      </c>
      <c r="U37" s="705">
        <f t="shared" si="13"/>
        <v>100</v>
      </c>
      <c r="V37" s="704" t="s">
        <v>14</v>
      </c>
      <c r="W37" s="705">
        <f t="shared" si="14"/>
        <v>100</v>
      </c>
      <c r="X37" s="1354"/>
      <c r="Y37" s="3690"/>
      <c r="Z37" s="1355" t="str">
        <f t="shared" si="15"/>
        <v>成新度</v>
      </c>
      <c r="AA37" s="1352">
        <f t="shared" si="3"/>
        <v>1.0101010101010102</v>
      </c>
      <c r="AB37" s="1352">
        <f t="shared" si="4"/>
        <v>1</v>
      </c>
      <c r="AC37" s="1961">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2"/>
      <c r="Q38" s="1342" t="str">
        <f t="shared" si="11"/>
        <v>写字楼等级</v>
      </c>
      <c r="R38" s="700" t="s">
        <v>14</v>
      </c>
      <c r="S38" s="701">
        <f t="shared" si="12"/>
        <v>100</v>
      </c>
      <c r="T38" s="700" t="s">
        <v>14</v>
      </c>
      <c r="U38" s="701">
        <f t="shared" si="13"/>
        <v>100</v>
      </c>
      <c r="V38" s="700" t="s">
        <v>14</v>
      </c>
      <c r="W38" s="701">
        <f t="shared" si="14"/>
        <v>100</v>
      </c>
      <c r="X38" s="702"/>
      <c r="Y38" s="3690"/>
      <c r="Z38" s="52" t="str">
        <f t="shared" si="15"/>
        <v>写字楼等级</v>
      </c>
      <c r="AA38" s="703">
        <f t="shared" si="3"/>
        <v>1</v>
      </c>
      <c r="AB38" s="703">
        <f t="shared" si="4"/>
        <v>1</v>
      </c>
      <c r="AC38" s="1958">
        <f t="shared" si="5"/>
        <v>1</v>
      </c>
    </row>
    <row r="39" spans="1:29" ht="15">
      <c r="A39" s="422"/>
      <c r="B39" s="374" t="s">
        <v>1819</v>
      </c>
      <c r="C39" s="410" t="s">
        <v>3437</v>
      </c>
      <c r="D39" s="385">
        <v>100</v>
      </c>
      <c r="E39" s="410" t="s">
        <v>3437</v>
      </c>
      <c r="F39" s="411">
        <f>SUMIF(115:115,E39,116:116)-SUMIF(115:115,C39,116:116)+100</f>
        <v>100</v>
      </c>
      <c r="G39" s="410" t="s">
        <v>3437</v>
      </c>
      <c r="H39" s="385">
        <f>SUMIF(115:115,G39,116:116)-SUMIF(115:115,C39,116:116)+100</f>
        <v>100</v>
      </c>
      <c r="I39" s="410" t="s">
        <v>3437</v>
      </c>
      <c r="J39" s="385">
        <f>SUMIF(115:115,I39,116:116)-SUMIF(115:115,C39,116:116)+100</f>
        <v>100</v>
      </c>
      <c r="K39" s="560"/>
      <c r="L39" s="2721"/>
      <c r="M39" s="2715"/>
      <c r="N39" s="2715"/>
      <c r="O39" s="2715"/>
      <c r="P39" s="3712" t="s">
        <v>1696</v>
      </c>
      <c r="Q39" s="1351" t="str">
        <f t="shared" si="11"/>
        <v>物业管理</v>
      </c>
      <c r="R39" s="704" t="s">
        <v>14</v>
      </c>
      <c r="S39" s="705">
        <f t="shared" si="12"/>
        <v>100</v>
      </c>
      <c r="T39" s="704" t="s">
        <v>14</v>
      </c>
      <c r="U39" s="705">
        <f t="shared" si="13"/>
        <v>100</v>
      </c>
      <c r="V39" s="704" t="s">
        <v>14</v>
      </c>
      <c r="W39" s="705">
        <f t="shared" si="14"/>
        <v>100</v>
      </c>
      <c r="X39" s="1354"/>
      <c r="Y39" s="369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2"/>
      <c r="Q40" s="1351" t="str">
        <f t="shared" si="11"/>
        <v>市政基础设施</v>
      </c>
      <c r="R40" s="704" t="s">
        <v>14</v>
      </c>
      <c r="S40" s="705">
        <f t="shared" si="12"/>
        <v>100</v>
      </c>
      <c r="T40" s="704" t="s">
        <v>14</v>
      </c>
      <c r="U40" s="705">
        <f t="shared" si="13"/>
        <v>100</v>
      </c>
      <c r="V40" s="704" t="s">
        <v>14</v>
      </c>
      <c r="W40" s="705">
        <f t="shared" si="14"/>
        <v>100</v>
      </c>
      <c r="X40" s="1354"/>
      <c r="Y40" s="369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2"/>
      <c r="Q41" s="1351" t="str">
        <f t="shared" si="11"/>
        <v>层高</v>
      </c>
      <c r="R41" s="704" t="s">
        <v>14</v>
      </c>
      <c r="S41" s="705">
        <f t="shared" si="12"/>
        <v>100</v>
      </c>
      <c r="T41" s="704" t="s">
        <v>14</v>
      </c>
      <c r="U41" s="705">
        <f t="shared" si="13"/>
        <v>100</v>
      </c>
      <c r="V41" s="704" t="s">
        <v>14</v>
      </c>
      <c r="W41" s="705">
        <f t="shared" si="14"/>
        <v>100</v>
      </c>
      <c r="X41" s="1354"/>
      <c r="Y41" s="369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2"/>
      <c r="Q42" s="706" t="str">
        <f t="shared" si="11"/>
        <v>单套建筑面积</v>
      </c>
      <c r="R42" s="707" t="s">
        <v>14</v>
      </c>
      <c r="S42" s="708">
        <f t="shared" si="12"/>
        <v>100</v>
      </c>
      <c r="T42" s="707" t="s">
        <v>14</v>
      </c>
      <c r="U42" s="708">
        <f t="shared" si="13"/>
        <v>100</v>
      </c>
      <c r="V42" s="707" t="s">
        <v>14</v>
      </c>
      <c r="W42" s="708">
        <f t="shared" si="14"/>
        <v>100</v>
      </c>
      <c r="X42" s="709"/>
      <c r="Y42" s="3690"/>
      <c r="Z42" s="710" t="str">
        <f t="shared" si="15"/>
        <v>单套建筑面积</v>
      </c>
      <c r="AA42" s="1352">
        <f t="shared" si="3"/>
        <v>1</v>
      </c>
      <c r="AB42" s="1352">
        <f t="shared" si="4"/>
        <v>1</v>
      </c>
      <c r="AC42" s="1961">
        <f t="shared" si="5"/>
        <v>1</v>
      </c>
    </row>
    <row r="43" spans="1:29" ht="15">
      <c r="A43" s="422"/>
      <c r="B43" s="374" t="s">
        <v>1792</v>
      </c>
      <c r="C43" s="410" t="s">
        <v>3454</v>
      </c>
      <c r="D43" s="385">
        <v>100</v>
      </c>
      <c r="E43" s="410" t="s">
        <v>3454</v>
      </c>
      <c r="F43" s="411">
        <f>SUMIF(123:123,E43,124:124)-SUMIF(123:123,C43,124:124)+100</f>
        <v>100</v>
      </c>
      <c r="G43" s="410" t="s">
        <v>3454</v>
      </c>
      <c r="H43" s="385">
        <f>SUMIF(123:123,G43,124:124)-SUMIF(123:123,C43,124:124)+100</f>
        <v>100</v>
      </c>
      <c r="I43" s="410" t="s">
        <v>3454</v>
      </c>
      <c r="J43" s="385">
        <f>SUMIF(123:123,I43,124:124)-SUMIF(123:123,C43,124:124)+100</f>
        <v>100</v>
      </c>
      <c r="K43" s="560">
        <v>2</v>
      </c>
      <c r="L43" s="2721"/>
      <c r="M43" s="2715"/>
      <c r="N43" s="2715"/>
      <c r="O43" s="2715"/>
      <c r="P43" s="3712"/>
      <c r="Q43" s="1351" t="str">
        <f t="shared" si="11"/>
        <v>内部装修</v>
      </c>
      <c r="R43" s="704" t="s">
        <v>14</v>
      </c>
      <c r="S43" s="705">
        <f t="shared" si="12"/>
        <v>100</v>
      </c>
      <c r="T43" s="704" t="s">
        <v>14</v>
      </c>
      <c r="U43" s="705">
        <f t="shared" si="13"/>
        <v>100</v>
      </c>
      <c r="V43" s="704" t="s">
        <v>14</v>
      </c>
      <c r="W43" s="705">
        <f t="shared" si="14"/>
        <v>100</v>
      </c>
      <c r="X43" s="1354"/>
      <c r="Y43" s="3690"/>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12"/>
      <c r="Q44" s="1351" t="str">
        <f t="shared" si="11"/>
        <v>内部装修维护情况</v>
      </c>
      <c r="R44" s="704" t="s">
        <v>14</v>
      </c>
      <c r="S44" s="705">
        <f t="shared" si="12"/>
        <v>100</v>
      </c>
      <c r="T44" s="704" t="s">
        <v>14</v>
      </c>
      <c r="U44" s="705">
        <f t="shared" si="13"/>
        <v>100</v>
      </c>
      <c r="V44" s="704" t="s">
        <v>14</v>
      </c>
      <c r="W44" s="705">
        <f t="shared" si="14"/>
        <v>100</v>
      </c>
      <c r="X44" s="1354"/>
      <c r="Y44" s="369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2"/>
      <c r="Q45" s="1342">
        <f t="shared" si="11"/>
        <v>111</v>
      </c>
      <c r="R45" s="700" t="s">
        <v>14</v>
      </c>
      <c r="S45" s="701">
        <f t="shared" si="12"/>
        <v>100</v>
      </c>
      <c r="T45" s="700" t="s">
        <v>14</v>
      </c>
      <c r="U45" s="701">
        <f t="shared" si="13"/>
        <v>100</v>
      </c>
      <c r="V45" s="700" t="s">
        <v>14</v>
      </c>
      <c r="W45" s="701">
        <f t="shared" si="14"/>
        <v>100</v>
      </c>
      <c r="X45" s="702"/>
      <c r="Y45" s="369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2"/>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3"/>
      <c r="Q47" s="1351">
        <f t="shared" si="11"/>
        <v>111</v>
      </c>
      <c r="R47" s="704" t="s">
        <v>14</v>
      </c>
      <c r="S47" s="705">
        <f t="shared" si="12"/>
        <v>100</v>
      </c>
      <c r="T47" s="704" t="s">
        <v>14</v>
      </c>
      <c r="U47" s="705">
        <f t="shared" si="13"/>
        <v>100</v>
      </c>
      <c r="V47" s="704" t="s">
        <v>14</v>
      </c>
      <c r="W47" s="705">
        <f t="shared" si="14"/>
        <v>100</v>
      </c>
      <c r="X47" s="1354"/>
      <c r="Y47" s="3691"/>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9" t="str">
        <f>A48</f>
        <v>成交单价（元/平方米）</v>
      </c>
      <c r="Q48" s="3672"/>
      <c r="R48" s="3692">
        <f>E48</f>
        <v>36596</v>
      </c>
      <c r="S48" s="3692"/>
      <c r="T48" s="3692">
        <f>G48</f>
        <v>45022</v>
      </c>
      <c r="U48" s="3692"/>
      <c r="V48" s="3692">
        <f>I48</f>
        <v>40000</v>
      </c>
      <c r="W48" s="3692"/>
      <c r="X48" s="396"/>
      <c r="Y48" s="711"/>
      <c r="Z48" s="396"/>
      <c r="AA48" s="396"/>
      <c r="AB48" s="396"/>
      <c r="AC48" s="577"/>
    </row>
    <row r="49" spans="1:29" ht="15.75" thickBot="1">
      <c r="A49" s="436" t="s">
        <v>1793</v>
      </c>
      <c r="B49" s="437"/>
      <c r="C49" s="1159">
        <f>R50</f>
        <v>39054</v>
      </c>
      <c r="D49" s="2316" t="s">
        <v>2138</v>
      </c>
      <c r="E49" s="1160">
        <f>R49</f>
        <v>36661</v>
      </c>
      <c r="F49" s="2317"/>
      <c r="G49" s="1159">
        <f>T49</f>
        <v>41629</v>
      </c>
      <c r="H49" s="2317"/>
      <c r="I49" s="1160">
        <f>V49</f>
        <v>38873</v>
      </c>
      <c r="J49" s="2317"/>
      <c r="K49" s="2319">
        <f>F49+H49+J49</f>
        <v>0</v>
      </c>
      <c r="L49" s="2723"/>
      <c r="M49" s="2715"/>
      <c r="N49" s="2715"/>
      <c r="O49" s="2715"/>
      <c r="P49" s="3699" t="str">
        <f>A49</f>
        <v>比较价值（元/平方米）</v>
      </c>
      <c r="Q49" s="3672"/>
      <c r="R49" s="3692">
        <f>IF(F1="售价",ROUND(PRODUCT(R48,AA7:AA47),0),ROUND(PRODUCT(R48,AA7:AA47),1))</f>
        <v>36661</v>
      </c>
      <c r="S49" s="3692"/>
      <c r="T49" s="3692">
        <f>IF(F1="售价",ROUND(PRODUCT(T48,AB7:AB47),0),ROUND(PRODUCT(T48,AB7:AB47),1))</f>
        <v>41629</v>
      </c>
      <c r="U49" s="3692"/>
      <c r="V49" s="3692">
        <f>IF(F1="售价",ROUND(PRODUCT(V48,AC7:AC47),0),ROUND(PRODUCT(V48,AC7:AC47),1))</f>
        <v>38873</v>
      </c>
      <c r="W49" s="3692"/>
      <c r="X49" s="396"/>
      <c r="Y49" s="396"/>
      <c r="Z49" s="396"/>
      <c r="AA49" s="396"/>
      <c r="AB49" s="396"/>
      <c r="AC49" s="577"/>
    </row>
    <row r="50" spans="1:29" ht="15.75" thickBot="1">
      <c r="A50" s="440" t="s">
        <v>1794</v>
      </c>
      <c r="B50" s="441"/>
      <c r="C50" s="1162">
        <f>R50</f>
        <v>39054</v>
      </c>
      <c r="D50" s="1162"/>
      <c r="E50" s="1162"/>
      <c r="F50" s="1162"/>
      <c r="G50" s="1162"/>
      <c r="H50" s="1162"/>
      <c r="I50" s="1162"/>
      <c r="J50" s="442"/>
      <c r="K50" s="714"/>
      <c r="L50" s="2723"/>
      <c r="M50" s="2715"/>
      <c r="N50" s="2715"/>
      <c r="O50" s="2715"/>
      <c r="P50" s="3714" t="str">
        <f>A50</f>
        <v>估价对象XX用房的比较价值（楼面单价，元/平方米）</v>
      </c>
      <c r="Q50" s="3715"/>
      <c r="R50" s="3716">
        <f>IF(F1="售价",ROUND(IF(D49="简单平均",AVERAGE(R49:V49),R49*F49+T49*H49+V49*J49),0),ROUND(IF(D49="简单平均",AVERAGE(R49:V49),R49*F49+T49*H49+V49*J49),1))</f>
        <v>39054</v>
      </c>
      <c r="S50" s="3716"/>
      <c r="T50" s="3716"/>
      <c r="U50" s="3716"/>
      <c r="V50" s="3716"/>
      <c r="W50" s="371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1.7761503989506267E-3</v>
      </c>
      <c r="F53" s="448" t="str">
        <f>IF(OR(E53&gt;=0.3,E53&lt;=-0.3),"超过30%","")</f>
        <v/>
      </c>
      <c r="G53" s="447">
        <f>IF(G48&lt;G49,G49/G48-1,G48/G49-1)</f>
        <v>8.1505681135746633E-2</v>
      </c>
      <c r="H53" s="448" t="str">
        <f>IF(OR(G53&gt;=0.3,G53&lt;=-0.3),"超过30%","")</f>
        <v/>
      </c>
      <c r="I53" s="447">
        <f>IF(I48&lt;I49,I49/I48-1,I48/I49-1)</f>
        <v>2.8991845239626501E-2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0.13551185183164671</v>
      </c>
      <c r="F54" s="448" t="str">
        <f>IF(OR(E54&gt;=0.2,E54&lt;=-0.2),"超过20%","")</f>
        <v/>
      </c>
      <c r="G54" s="447">
        <f>IF(G49&lt;I49,I49/G49-1,G49/I49-1)</f>
        <v>7.0897538137010274E-2</v>
      </c>
      <c r="H54" s="448" t="str">
        <f>IF(OR(G54&gt;=0.2,G54&lt;=-0.2),"超过20%","")</f>
        <v/>
      </c>
      <c r="I54" s="447">
        <f>IF(I49&lt;E49,E49/I49-1,I49/E49-1)</f>
        <v>6.0336597474155207E-2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3456</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105</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3459</v>
      </c>
      <c r="D89" s="3450" t="s">
        <v>3461</v>
      </c>
      <c r="E89" s="3450" t="s">
        <v>3463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2"/>
      <c r="B103" s="486" t="s">
        <v>1737</v>
      </c>
      <c r="C103" s="526" t="str">
        <f>C104&amp;"(含)"&amp;"-"&amp;D104</f>
        <v>0(含)-100</v>
      </c>
      <c r="D103" s="526" t="str">
        <f t="shared" ref="D103:L103" si="23">D104&amp;"(含)"&amp;"-"&amp;E104</f>
        <v>100(含)-300</v>
      </c>
      <c r="E103" s="526" t="str">
        <f t="shared" si="23"/>
        <v>300(含)-500</v>
      </c>
      <c r="F103" s="526" t="str">
        <f t="shared" si="23"/>
        <v>500(含)-1000</v>
      </c>
      <c r="G103" s="526" t="str">
        <f t="shared" si="23"/>
        <v>1000(含)-1500</v>
      </c>
      <c r="H103" s="526" t="str">
        <f t="shared" si="23"/>
        <v>1500(含)-2000</v>
      </c>
      <c r="I103" s="526" t="str">
        <f t="shared" si="23"/>
        <v>2000(含)-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100</v>
      </c>
      <c r="E104" s="543">
        <v>300</v>
      </c>
      <c r="F104" s="543">
        <v>500</v>
      </c>
      <c r="G104" s="543">
        <v>1000</v>
      </c>
      <c r="H104" s="543">
        <v>1500</v>
      </c>
      <c r="I104" s="543">
        <v>2000</v>
      </c>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99</v>
      </c>
      <c r="E105" s="484">
        <v>100</v>
      </c>
      <c r="F105" s="484">
        <v>99</v>
      </c>
      <c r="G105" s="484">
        <v>98</v>
      </c>
      <c r="H105" s="484">
        <v>97</v>
      </c>
      <c r="I105" s="484">
        <v>96</v>
      </c>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3468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3467</v>
      </c>
      <c r="D123" s="3450" t="s">
        <v>3469</v>
      </c>
      <c r="E123" s="3450" t="s">
        <v>3470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1425.4042999999999</v>
      </c>
      <c r="C2" s="1386" t="s">
        <v>879</v>
      </c>
      <c r="D2" s="1470">
        <f ca="1">C40+J29+L46</f>
        <v>14254043</v>
      </c>
      <c r="E2" s="1387" t="s">
        <v>880</v>
      </c>
      <c r="F2" s="1388"/>
      <c r="G2" s="2705"/>
      <c r="H2" s="2694"/>
      <c r="I2" s="2694"/>
      <c r="J2" s="2694"/>
      <c r="K2" s="2695"/>
      <c r="L2" s="2694"/>
      <c r="M2" s="2694"/>
    </row>
    <row r="3" spans="1:37" ht="18" customHeight="1" thickBot="1">
      <c r="A3" s="1389" t="s">
        <v>881</v>
      </c>
      <c r="B3" s="1390">
        <f ca="1">IF(ISERROR(D2/F43),0,ROUND(D2/F43,0))</f>
        <v>17939</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1045370</v>
      </c>
      <c r="D5" s="1363" t="s">
        <v>889</v>
      </c>
      <c r="E5" s="1070"/>
      <c r="F5" s="1071"/>
      <c r="G5" s="1383"/>
      <c r="H5" s="298">
        <v>1</v>
      </c>
      <c r="I5" s="299" t="s">
        <v>888</v>
      </c>
      <c r="J5" s="1069">
        <f ca="1">J6+J10+J12</f>
        <v>0</v>
      </c>
      <c r="K5" s="1363" t="s">
        <v>889</v>
      </c>
      <c r="L5" s="1070"/>
      <c r="M5" s="1071"/>
    </row>
    <row r="6" spans="1:37" ht="18" customHeight="1">
      <c r="A6" s="1068" t="s">
        <v>398</v>
      </c>
      <c r="B6" s="3651" t="s">
        <v>694</v>
      </c>
      <c r="C6" s="1073">
        <f ca="1">ROUND(F6*F8*F7*(1-F9),0)</f>
        <v>1044065</v>
      </c>
      <c r="D6" s="154" t="s">
        <v>2106</v>
      </c>
      <c r="E6" s="301" t="s">
        <v>696</v>
      </c>
      <c r="F6" s="302">
        <f ca="1">INDIRECT("'数据-取费表'!u"&amp;$G$1)</f>
        <v>4</v>
      </c>
      <c r="G6" s="1383"/>
      <c r="H6" s="1068" t="s">
        <v>398</v>
      </c>
      <c r="I6" s="3651" t="s">
        <v>694</v>
      </c>
      <c r="J6" s="300">
        <f ca="1">ROUND(M6*M8*M7*(1-M9),0)</f>
        <v>0</v>
      </c>
      <c r="K6" s="1375" t="s">
        <v>2107</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794.57</v>
      </c>
      <c r="G7" s="1383"/>
      <c r="H7" s="303"/>
      <c r="I7" s="3652"/>
      <c r="J7" s="305"/>
      <c r="K7" s="306"/>
      <c r="L7" s="301" t="s">
        <v>697</v>
      </c>
      <c r="M7" s="302">
        <f ca="1">F7</f>
        <v>794.57</v>
      </c>
    </row>
    <row r="8" spans="1:37" ht="18" customHeight="1">
      <c r="A8" s="303"/>
      <c r="B8" s="3652"/>
      <c r="C8" s="305"/>
      <c r="D8" s="306"/>
      <c r="E8" s="301" t="s">
        <v>698</v>
      </c>
      <c r="F8" s="302">
        <f ca="1">INDIRECT("'数据-取费表'!ai"&amp;$G$1)</f>
        <v>365</v>
      </c>
      <c r="G8" s="1383"/>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1305</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4085354</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3575565</v>
      </c>
      <c r="D14" s="1344" t="s">
        <v>708</v>
      </c>
      <c r="E14" s="1341"/>
      <c r="F14" s="318"/>
      <c r="G14" s="1383"/>
      <c r="H14" s="981" t="s">
        <v>398</v>
      </c>
      <c r="I14" s="301" t="s">
        <v>709</v>
      </c>
      <c r="J14" s="21">
        <f ca="1">C29</f>
        <v>5106692</v>
      </c>
      <c r="K14" s="12"/>
      <c r="L14" s="806"/>
      <c r="M14" s="807"/>
    </row>
    <row r="15" spans="1:37" s="1396" customFormat="1" ht="18" customHeight="1" thickBot="1">
      <c r="A15" s="981" t="s">
        <v>399</v>
      </c>
      <c r="B15" s="301" t="s">
        <v>710</v>
      </c>
      <c r="C15" s="21">
        <f ca="1">ROUND(C14*F15,0)</f>
        <v>107267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25533</v>
      </c>
      <c r="K16" s="1086" t="s">
        <v>715</v>
      </c>
      <c r="L16" s="1087"/>
      <c r="M16" s="1071"/>
    </row>
    <row r="17" spans="1:37" s="1396" customFormat="1" ht="18" customHeight="1">
      <c r="A17" s="981" t="s">
        <v>681</v>
      </c>
      <c r="B17" s="301" t="s">
        <v>716</v>
      </c>
      <c r="C17" s="21">
        <f ca="1">ROUND(F17*(F43+INDIRECT("'数据-取费表'!S"&amp;$G$1)),0)</f>
        <v>158914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71511</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3913257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78265</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25533</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123737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-25533</v>
      </c>
      <c r="K25" s="1094" t="s">
        <v>753</v>
      </c>
      <c r="L25" s="1095"/>
      <c r="M25" s="1096"/>
    </row>
    <row r="26" spans="1:37" ht="18" customHeight="1">
      <c r="A26" s="981" t="s">
        <v>397</v>
      </c>
      <c r="B26" s="301" t="s">
        <v>754</v>
      </c>
      <c r="C26" s="21">
        <f ca="1">ROUND((C19+C20)*F26,0)</f>
        <v>598728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5106692</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209850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175005</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55683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119322</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25533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4085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5227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835520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13942456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17547</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-1434.7112</v>
      </c>
      <c r="D45" s="3431" t="s">
        <v>3355</v>
      </c>
      <c r="E45" s="1399"/>
      <c r="F45" s="1399"/>
      <c r="O45" s="1402" t="s">
        <v>808</v>
      </c>
      <c r="P45" s="1460"/>
      <c r="Q45" s="1460"/>
      <c r="R45" s="1460"/>
    </row>
    <row r="46" spans="1:18" s="1383" customFormat="1" ht="13.5" thickBot="1">
      <c r="A46" s="1403" t="s">
        <v>809</v>
      </c>
      <c r="C46" s="1404">
        <f ca="1">ROUND(C45,0)</f>
        <v>-1435</v>
      </c>
      <c r="D46" s="1405" t="str">
        <f>C2</f>
        <v>万元</v>
      </c>
      <c r="I46" s="1406" t="s">
        <v>810</v>
      </c>
      <c r="J46" s="1407"/>
      <c r="K46" s="1408"/>
      <c r="L46" s="1409">
        <f ca="1">IF(M47="住宅",0,IF(L48&gt;J51,L60,J60))</f>
        <v>311587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13942456</v>
      </c>
      <c r="R47" s="1419" t="s">
        <v>818</v>
      </c>
    </row>
    <row r="48" spans="1:18" s="1383" customFormat="1" ht="28.5" thickBot="1">
      <c r="A48" s="1109" t="s">
        <v>438</v>
      </c>
      <c r="B48" s="299" t="s">
        <v>692</v>
      </c>
      <c r="C48" s="1358">
        <f ca="1">C49+C53+C55</f>
        <v>0</v>
      </c>
      <c r="D48" s="1111"/>
      <c r="E48" s="1112"/>
      <c r="F48" s="961"/>
      <c r="G48" s="721"/>
      <c r="H48" s="722"/>
      <c r="I48" s="1420" t="s">
        <v>819</v>
      </c>
      <c r="J48" s="1421" t="s">
        <v>3427</v>
      </c>
      <c r="K48" s="1422" t="s">
        <v>820</v>
      </c>
      <c r="L48" s="1423">
        <f ca="1">INDIRECT("'数据-取费表'!f"&amp;$G$1)</f>
        <v>26</v>
      </c>
      <c r="O48" s="1417" t="s">
        <v>404</v>
      </c>
      <c r="P48" s="1418" t="s">
        <v>821</v>
      </c>
      <c r="Q48" s="1419">
        <f ca="1">J60</f>
        <v>311587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462">
        <v>1996</v>
      </c>
      <c r="K49" s="1422" t="s">
        <v>824</v>
      </c>
      <c r="L49" s="1426"/>
      <c r="O49" s="1427" t="s">
        <v>405</v>
      </c>
      <c r="P49" s="1418" t="s">
        <v>825</v>
      </c>
      <c r="Q49" s="1419">
        <f ca="1">C29</f>
        <v>5106692</v>
      </c>
      <c r="R49" s="1419" t="s">
        <v>818</v>
      </c>
    </row>
    <row r="50" spans="1:18" s="1383" customFormat="1" ht="13.5" thickBot="1">
      <c r="A50" s="975"/>
      <c r="B50" s="978"/>
      <c r="C50" s="979"/>
      <c r="D50" s="952"/>
      <c r="E50" s="1055" t="s">
        <v>697</v>
      </c>
      <c r="F50" s="1056">
        <f ca="1">F7</f>
        <v>794.57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32</v>
      </c>
      <c r="K51" s="1433" t="s">
        <v>830</v>
      </c>
      <c r="L51" s="1434">
        <f ca="1">ROUND(-PV(INDIRECT("'数据-取费表'!h"&amp;$G$1),J51,(C39-C13*C76),0),0)</f>
        <v>8684285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26</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26</v>
      </c>
      <c r="K53" s="3649" t="s">
        <v>837</v>
      </c>
      <c r="L53" s="3650"/>
      <c r="O53" s="1417" t="s">
        <v>409</v>
      </c>
      <c r="P53" s="1418" t="s">
        <v>838</v>
      </c>
      <c r="Q53" s="1419">
        <f ca="1">Q47+Q48</f>
        <v>14254043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4085354</v>
      </c>
      <c r="D56" s="1446"/>
      <c r="E56" s="1447"/>
      <c r="F56" s="1439"/>
      <c r="I56" s="1448" t="s">
        <v>842</v>
      </c>
      <c r="J56" s="1449" t="s">
        <v>3396</v>
      </c>
      <c r="K56" s="1420" t="s">
        <v>843</v>
      </c>
      <c r="L56" s="1423" t="str">
        <f ca="1">IF(L48&lt;J51,"——",L48-J51)</f>
        <v>——</v>
      </c>
      <c r="O56" s="1417" t="s">
        <v>403</v>
      </c>
      <c r="P56" s="1418" t="s">
        <v>817</v>
      </c>
      <c r="Q56" s="1419">
        <f ca="1">C40+J29</f>
        <v>13942456</v>
      </c>
      <c r="R56" s="1419" t="s">
        <v>818</v>
      </c>
    </row>
    <row r="57" spans="1:18" s="1383" customFormat="1" ht="24.75" thickBot="1">
      <c r="A57" s="1450"/>
      <c r="B57" s="949" t="s">
        <v>767</v>
      </c>
      <c r="C57" s="237">
        <f ca="1">C29</f>
        <v>5106692</v>
      </c>
      <c r="D57" s="1451"/>
      <c r="E57" s="1452"/>
      <c r="F57" s="1453"/>
      <c r="I57" s="1454" t="s">
        <v>844</v>
      </c>
      <c r="J57" s="1455">
        <f ca="1">IF(OR(M47="住宅",J51&lt;L48,J56="是"),"——",J51-L48)</f>
        <v>6</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29618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2042677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311587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13942456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25533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4085</v>
      </c>
      <c r="D65" s="963" t="s">
        <v>743</v>
      </c>
      <c r="E65" s="949" t="s">
        <v>744</v>
      </c>
      <c r="F65" s="329">
        <f t="shared" ca="1" si="0"/>
        <v>1E-3</v>
      </c>
      <c r="I65" s="1461" t="s">
        <v>867</v>
      </c>
      <c r="J65" s="1462">
        <v>40</v>
      </c>
      <c r="K65" s="1462">
        <v>30</v>
      </c>
      <c r="L65" s="1462">
        <v>50</v>
      </c>
      <c r="M65" s="1464">
        <v>0.02</v>
      </c>
      <c r="O65" s="1417" t="s">
        <v>403</v>
      </c>
      <c r="P65" s="1418" t="s">
        <v>868</v>
      </c>
      <c r="Q65" s="1419">
        <f ca="1">C40+J29</f>
        <v>13942456</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-29618</v>
      </c>
      <c r="D67" s="962" t="s">
        <v>753</v>
      </c>
      <c r="E67" s="967"/>
      <c r="F67" s="968"/>
      <c r="O67" s="1427" t="s">
        <v>405</v>
      </c>
      <c r="P67" s="1418" t="s">
        <v>850</v>
      </c>
      <c r="Q67" s="1465">
        <f ca="1">L51</f>
        <v>8684285</v>
      </c>
      <c r="R67" s="1419" t="s">
        <v>870</v>
      </c>
    </row>
    <row r="68" spans="1:18" s="1383" customFormat="1" ht="16.5" thickBot="1">
      <c r="A68" s="946" t="s">
        <v>395</v>
      </c>
      <c r="B68" s="947" t="s">
        <v>774</v>
      </c>
      <c r="C68" s="300">
        <f ca="1">ROUND(C67*(1-((1+F70)/(1+F68))^F69)/(F68-F70),0)</f>
        <v>-404656</v>
      </c>
      <c r="D68" s="964" t="s">
        <v>758</v>
      </c>
      <c r="E68" s="949" t="s">
        <v>759</v>
      </c>
      <c r="F68" s="311">
        <f ca="1">F40</f>
        <v>5.5E-2</v>
      </c>
      <c r="O68" s="1427" t="s">
        <v>406</v>
      </c>
      <c r="P68" s="1466" t="s">
        <v>871</v>
      </c>
      <c r="Q68" s="1419">
        <f ca="1">ROUND(Q69-Q70*Q71,0)</f>
        <v>549545</v>
      </c>
      <c r="R68" s="1419" t="s">
        <v>414</v>
      </c>
    </row>
    <row r="69" spans="1:18" s="1383" customFormat="1" ht="13.5" thickBot="1">
      <c r="A69" s="950"/>
      <c r="B69" s="951"/>
      <c r="C69" s="305"/>
      <c r="D69" s="969" t="s">
        <v>762</v>
      </c>
      <c r="E69" s="949" t="s">
        <v>763</v>
      </c>
      <c r="F69" s="332">
        <f ca="1">F41</f>
        <v>26</v>
      </c>
      <c r="O69" s="1427" t="s">
        <v>411</v>
      </c>
      <c r="P69" s="1466" t="s">
        <v>872</v>
      </c>
      <c r="Q69" s="1419">
        <f ca="1">C39</f>
        <v>835520</v>
      </c>
      <c r="R69" s="1419" t="s">
        <v>818</v>
      </c>
    </row>
    <row r="70" spans="1:18" s="1383" customFormat="1" ht="13.5" thickBot="1">
      <c r="A70" s="953"/>
      <c r="B70" s="954"/>
      <c r="C70" s="309"/>
      <c r="D70" s="965"/>
      <c r="E70" s="949" t="s">
        <v>766</v>
      </c>
      <c r="F70" s="1053"/>
      <c r="O70" s="1427" t="s">
        <v>412</v>
      </c>
      <c r="P70" s="1466" t="s">
        <v>873</v>
      </c>
      <c r="Q70" s="1419">
        <f ca="1">C13</f>
        <v>4085354</v>
      </c>
      <c r="R70" s="1419" t="s">
        <v>818</v>
      </c>
    </row>
    <row r="71" spans="1:18" s="1383" customFormat="1" ht="13.5" thickBot="1">
      <c r="A71" s="970" t="s">
        <v>396</v>
      </c>
      <c r="B71" s="971" t="s">
        <v>776</v>
      </c>
      <c r="C71" s="335">
        <f ca="1">ROUND(C68/F71,0)</f>
        <v>-509</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285975</v>
      </c>
      <c r="D75" s="1383"/>
      <c r="E75" s="1383"/>
      <c r="F75" s="1383"/>
      <c r="K75" s="1401"/>
      <c r="L75" s="1383"/>
      <c r="O75" s="1417" t="s">
        <v>409</v>
      </c>
      <c r="P75" s="1418" t="s">
        <v>838</v>
      </c>
      <c r="Q75" s="1419">
        <f ca="1">Q65+Q66</f>
        <v>13942456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0.65799999999999992</v>
      </c>
    </row>
    <row r="80" spans="1:18">
      <c r="B80" s="339" t="s">
        <v>800</v>
      </c>
      <c r="C80" s="273">
        <f ca="1">ROUND(C75/C39,3)</f>
        <v>0.34200000000000003</v>
      </c>
    </row>
    <row r="81" spans="2:3">
      <c r="B81" s="269" t="s">
        <v>801</v>
      </c>
      <c r="C81" s="237"/>
    </row>
    <row r="82" spans="2:3">
      <c r="B82" s="272" t="s">
        <v>802</v>
      </c>
      <c r="C82" s="274">
        <f ca="1">1-C83</f>
        <v>0.70700000000000007</v>
      </c>
    </row>
    <row r="83" spans="2:3">
      <c r="B83" s="272" t="s">
        <v>803</v>
      </c>
      <c r="C83" s="273">
        <f ca="1">ROUND(C13/C40,3)</f>
        <v>0.29299999999999998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17" t="s">
        <v>2319</v>
      </c>
      <c r="K2" s="3718"/>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19" t="s">
        <v>2329</v>
      </c>
      <c r="K3" s="3720"/>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19" t="s">
        <v>2331</v>
      </c>
      <c r="K4" s="3720"/>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21" t="s">
        <v>2335</v>
      </c>
      <c r="B6" s="3722"/>
      <c r="C6" s="3723"/>
      <c r="D6" s="2869"/>
      <c r="E6" s="2870"/>
      <c r="F6" s="2871"/>
      <c r="G6" s="2872"/>
      <c r="H6" s="2847"/>
      <c r="I6" s="2848"/>
      <c r="J6" s="3724">
        <v>1</v>
      </c>
      <c r="K6" s="3725"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4"/>
      <c r="K7" s="3726"/>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28" t="s">
        <v>2349</v>
      </c>
      <c r="C8" s="3729"/>
      <c r="D8" s="2888" t="s">
        <v>2350</v>
      </c>
      <c r="E8" s="2889" t="s">
        <v>2351</v>
      </c>
      <c r="F8" s="2890" t="s">
        <v>2352</v>
      </c>
      <c r="G8" s="2891"/>
      <c r="H8" s="2847"/>
      <c r="I8" s="2848"/>
      <c r="J8" s="3724"/>
      <c r="K8" s="3726"/>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28" t="s">
        <v>2355</v>
      </c>
      <c r="C9" s="3729"/>
      <c r="D9" s="2888">
        <f>ROUND(D6*E9,0)</f>
        <v>0</v>
      </c>
      <c r="E9" s="2892"/>
      <c r="F9" s="2893" t="s">
        <v>2356</v>
      </c>
      <c r="G9" s="2872"/>
      <c r="H9" s="2847"/>
      <c r="I9" s="2848"/>
      <c r="J9" s="3724"/>
      <c r="K9" s="3726"/>
      <c r="L9" s="2882" t="s">
        <v>2357</v>
      </c>
      <c r="M9" s="2883"/>
      <c r="N9" s="2859"/>
      <c r="O9" s="2884"/>
      <c r="P9" s="2884"/>
      <c r="Q9" s="2885">
        <v>365</v>
      </c>
      <c r="R9" s="2886">
        <f t="shared" si="0"/>
        <v>0</v>
      </c>
      <c r="S9" s="2840"/>
      <c r="T9" s="2840"/>
      <c r="U9" s="2840"/>
      <c r="V9" s="2848"/>
    </row>
    <row r="10" spans="1:22" s="2852" customFormat="1" ht="13.15" customHeight="1">
      <c r="A10" s="2887">
        <v>2</v>
      </c>
      <c r="B10" s="3728" t="s">
        <v>2358</v>
      </c>
      <c r="C10" s="3729"/>
      <c r="D10" s="2888">
        <f>ROUND(D6*E10,0)</f>
        <v>0</v>
      </c>
      <c r="E10" s="2892"/>
      <c r="F10" s="2893" t="s">
        <v>2359</v>
      </c>
      <c r="G10" s="2872"/>
      <c r="H10" s="2847"/>
      <c r="I10" s="2848"/>
      <c r="J10" s="3724"/>
      <c r="K10" s="3726"/>
      <c r="L10" s="2882" t="s">
        <v>2360</v>
      </c>
      <c r="M10" s="2883"/>
      <c r="N10" s="2859"/>
      <c r="O10" s="2884"/>
      <c r="P10" s="2884"/>
      <c r="Q10" s="2885">
        <v>365</v>
      </c>
      <c r="R10" s="2886">
        <f t="shared" si="0"/>
        <v>0</v>
      </c>
      <c r="S10" s="2840"/>
      <c r="T10" s="2840"/>
      <c r="U10" s="2840"/>
      <c r="V10" s="2848"/>
    </row>
    <row r="11" spans="1:22" s="2852" customFormat="1" ht="13.15" customHeight="1">
      <c r="A11" s="2887">
        <v>3</v>
      </c>
      <c r="B11" s="3728" t="s">
        <v>2361</v>
      </c>
      <c r="C11" s="3729"/>
      <c r="D11" s="2888">
        <f>D12+D14+D15+D16</f>
        <v>0</v>
      </c>
      <c r="E11" s="2894" t="e">
        <f>D11/D6</f>
        <v>#DIV/0!</v>
      </c>
      <c r="F11" s="2890"/>
      <c r="G11" s="2891"/>
      <c r="H11" s="2847"/>
      <c r="I11" s="2848"/>
      <c r="J11" s="3724"/>
      <c r="K11" s="3726"/>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30" t="s">
        <v>2364</v>
      </c>
      <c r="C12" s="3731"/>
      <c r="D12" s="2896">
        <f>ROUND(D13*1.2%*(1-30%),0)</f>
        <v>0</v>
      </c>
      <c r="E12" s="2897">
        <v>1.2E-2</v>
      </c>
      <c r="F12" s="2890" t="s">
        <v>2365</v>
      </c>
      <c r="G12" s="2891"/>
      <c r="H12" s="2847"/>
      <c r="I12" s="2848"/>
      <c r="J12" s="3724"/>
      <c r="K12" s="3726"/>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4"/>
      <c r="K13" s="3726"/>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30" t="s">
        <v>2370</v>
      </c>
      <c r="C14" s="3731"/>
      <c r="D14" s="2896">
        <f>ROUND(E14*B5/10000,0)</f>
        <v>0</v>
      </c>
      <c r="E14" s="2885"/>
      <c r="F14" s="2890" t="s">
        <v>2371</v>
      </c>
      <c r="G14" s="2891"/>
      <c r="H14" s="2847"/>
      <c r="I14" s="2848"/>
      <c r="J14" s="3724"/>
      <c r="K14" s="3727"/>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30" t="s">
        <v>2374</v>
      </c>
      <c r="C15" s="3731"/>
      <c r="D15" s="2896">
        <f>ROUND(D6*E15,0)</f>
        <v>0</v>
      </c>
      <c r="E15" s="2897">
        <v>5.5E-2</v>
      </c>
      <c r="F15" s="2890" t="s">
        <v>2375</v>
      </c>
      <c r="G15" s="2872"/>
      <c r="H15" s="2847"/>
      <c r="I15" s="2848"/>
      <c r="J15" s="3724">
        <v>2</v>
      </c>
      <c r="K15" s="3725"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30" t="s">
        <v>2383</v>
      </c>
      <c r="C16" s="3731"/>
      <c r="D16" s="2907">
        <f>D6*E16</f>
        <v>0</v>
      </c>
      <c r="E16" s="2908"/>
      <c r="F16" s="2893" t="s">
        <v>2384</v>
      </c>
      <c r="G16" s="2872"/>
      <c r="H16" s="2847"/>
      <c r="I16" s="2848"/>
      <c r="J16" s="3724"/>
      <c r="K16" s="3726"/>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32" t="s">
        <v>2386</v>
      </c>
      <c r="C17" s="3733"/>
      <c r="D17" s="2910">
        <f>ROUND(D6*E17,0)</f>
        <v>0</v>
      </c>
      <c r="E17" s="2911"/>
      <c r="F17" s="2912" t="s">
        <v>2387</v>
      </c>
      <c r="G17" s="2872"/>
      <c r="H17" s="2847"/>
      <c r="I17" s="2848"/>
      <c r="J17" s="3724"/>
      <c r="K17" s="3726"/>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4"/>
      <c r="K18" s="3726"/>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4"/>
      <c r="K19" s="3727"/>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4">
        <v>3</v>
      </c>
      <c r="K20" s="3725"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4"/>
      <c r="K21" s="3726"/>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4"/>
      <c r="K22" s="3726"/>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4"/>
      <c r="K23" s="3726"/>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4"/>
      <c r="K24" s="3727"/>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3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7" t="s">
        <v>2319</v>
      </c>
      <c r="K32" s="3718"/>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19" t="s">
        <v>2329</v>
      </c>
      <c r="K33" s="3720"/>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19" t="s">
        <v>2331</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4">
        <v>1</v>
      </c>
      <c r="K36" s="3725"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4"/>
      <c r="K40" s="3727"/>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1425.4042999999999</v>
      </c>
      <c r="C2" s="1871" t="s">
        <v>1651</v>
      </c>
      <c r="D2" s="1872" t="s">
        <v>1652</v>
      </c>
      <c r="E2" s="2606">
        <f>SUM(E6:E13)</f>
        <v>794.57</v>
      </c>
      <c r="F2" s="2706"/>
      <c r="G2" s="1488"/>
      <c r="H2" s="1488"/>
      <c r="I2" s="1488"/>
      <c r="J2" s="1488"/>
      <c r="K2" s="1488"/>
      <c r="L2" s="1488"/>
      <c r="M2" s="1488"/>
      <c r="N2" s="1488"/>
      <c r="O2" s="1488"/>
      <c r="P2" s="1488"/>
      <c r="Q2" s="1488"/>
      <c r="R2" s="1488"/>
      <c r="S2" s="1488"/>
    </row>
    <row r="3" spans="1:22" ht="15.75">
      <c r="A3" s="1869" t="s">
        <v>686</v>
      </c>
      <c r="B3" s="2600">
        <f ca="1">ROUND(B2*10000/E2,0)</f>
        <v>17939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6" t="s">
        <v>1654</v>
      </c>
      <c r="C5" s="373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1425.4042999999999</v>
      </c>
      <c r="C6" s="1871" t="s">
        <v>1651</v>
      </c>
      <c r="D6" s="2708"/>
      <c r="E6" s="2605">
        <f>IF(OR(A6=0,F6="否"),0,'数据-取费表'!K6+'数据-取费表'!S6)</f>
        <v>794.57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794.57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3" t="s">
        <v>1667</v>
      </c>
      <c r="D4" s="3674"/>
      <c r="E4" s="3675" t="s">
        <v>1668</v>
      </c>
      <c r="F4" s="3676"/>
      <c r="G4" s="3673" t="s">
        <v>1669</v>
      </c>
      <c r="H4" s="3674"/>
      <c r="I4" s="3673" t="s">
        <v>1670</v>
      </c>
      <c r="J4" s="3674"/>
      <c r="K4" s="1888" t="s">
        <v>1671</v>
      </c>
      <c r="L4" s="2714"/>
      <c r="M4" s="2715"/>
      <c r="N4" s="2715"/>
      <c r="O4" s="2715"/>
      <c r="P4" s="3677" t="s">
        <v>1672</v>
      </c>
      <c r="Q4" s="3678"/>
      <c r="R4" s="3659" t="s">
        <v>1668</v>
      </c>
      <c r="S4" s="3660"/>
      <c r="T4" s="3659" t="s">
        <v>1669</v>
      </c>
      <c r="U4" s="3660"/>
      <c r="V4" s="3685" t="s">
        <v>1670</v>
      </c>
      <c r="W4" s="3685"/>
      <c r="X4" s="1354"/>
      <c r="Y4" s="3659" t="s">
        <v>1672</v>
      </c>
      <c r="Z4" s="3660"/>
      <c r="AA4" s="3654" t="s">
        <v>1668</v>
      </c>
      <c r="AB4" s="3654" t="s">
        <v>1669</v>
      </c>
      <c r="AC4" s="3654" t="s">
        <v>1670</v>
      </c>
    </row>
    <row r="5" spans="1:29" ht="15">
      <c r="A5" s="357"/>
      <c r="B5" s="358"/>
      <c r="C5" s="3665" t="s">
        <v>1673</v>
      </c>
      <c r="D5" s="3666"/>
      <c r="E5" s="3738" t="s">
        <v>1674</v>
      </c>
      <c r="F5" s="3664"/>
      <c r="G5" s="3665" t="s">
        <v>1675</v>
      </c>
      <c r="H5" s="3666"/>
      <c r="I5" s="3665" t="s">
        <v>1676</v>
      </c>
      <c r="J5" s="3666"/>
      <c r="K5" s="1889"/>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1889"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57" t="s">
        <v>1680</v>
      </c>
      <c r="Q7" s="3686"/>
      <c r="R7" s="700" t="s">
        <v>20</v>
      </c>
      <c r="S7" s="701">
        <f t="shared" ref="S7:S15" si="0">F7</f>
        <v>0</v>
      </c>
      <c r="T7" s="700" t="s">
        <v>20</v>
      </c>
      <c r="U7" s="701">
        <f t="shared" ref="U7:U15" si="1">H7</f>
        <v>0</v>
      </c>
      <c r="V7" s="700" t="s">
        <v>20</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57" t="s">
        <v>1683</v>
      </c>
      <c r="Q8" s="3658"/>
      <c r="R8" s="700" t="s">
        <v>20</v>
      </c>
      <c r="S8" s="701">
        <f t="shared" si="0"/>
        <v>100</v>
      </c>
      <c r="T8" s="700" t="s">
        <v>20</v>
      </c>
      <c r="U8" s="701">
        <f t="shared" si="1"/>
        <v>100</v>
      </c>
      <c r="V8" s="700" t="s">
        <v>20</v>
      </c>
      <c r="W8" s="701">
        <f t="shared" si="2"/>
        <v>100</v>
      </c>
      <c r="X8" s="702"/>
      <c r="Y8" s="3657" t="s">
        <v>1683</v>
      </c>
      <c r="Z8" s="3658"/>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9"/>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9"/>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9"/>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9"/>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68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0"/>
      <c r="Q16" s="1351"/>
      <c r="R16" s="704"/>
      <c r="S16" s="705"/>
      <c r="T16" s="704"/>
      <c r="U16" s="705"/>
      <c r="V16" s="704"/>
      <c r="W16" s="705"/>
      <c r="X16" s="1354"/>
      <c r="Y16" s="368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0"/>
      <c r="Q17" s="1351" t="str">
        <f>B17</f>
        <v>交通便捷度</v>
      </c>
      <c r="R17" s="704" t="s">
        <v>18</v>
      </c>
      <c r="S17" s="705">
        <f>F17</f>
        <v>100</v>
      </c>
      <c r="T17" s="704" t="s">
        <v>18</v>
      </c>
      <c r="U17" s="705">
        <f>H17</f>
        <v>100</v>
      </c>
      <c r="V17" s="704" t="s">
        <v>18</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0"/>
      <c r="Q18" s="1351"/>
      <c r="R18" s="704"/>
      <c r="S18" s="705"/>
      <c r="T18" s="704"/>
      <c r="U18" s="705"/>
      <c r="V18" s="704"/>
      <c r="W18" s="705"/>
      <c r="X18" s="1354"/>
      <c r="Y18" s="368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0"/>
      <c r="Q19" s="1351" t="str">
        <f>B19</f>
        <v>公共配套设施</v>
      </c>
      <c r="R19" s="704" t="s">
        <v>18</v>
      </c>
      <c r="S19" s="705">
        <f>F19</f>
        <v>100</v>
      </c>
      <c r="T19" s="704" t="s">
        <v>18</v>
      </c>
      <c r="U19" s="705">
        <f>H19</f>
        <v>100</v>
      </c>
      <c r="V19" s="704" t="s">
        <v>18</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0"/>
      <c r="Q20" s="1351"/>
      <c r="R20" s="704"/>
      <c r="S20" s="705"/>
      <c r="T20" s="704"/>
      <c r="U20" s="705"/>
      <c r="V20" s="704"/>
      <c r="W20" s="705"/>
      <c r="X20" s="1354"/>
      <c r="Y20" s="368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0"/>
      <c r="Q22" s="1351"/>
      <c r="R22" s="704"/>
      <c r="S22" s="705"/>
      <c r="T22" s="704"/>
      <c r="U22" s="705"/>
      <c r="V22" s="704"/>
      <c r="W22" s="705"/>
      <c r="X22" s="1354"/>
      <c r="Y22" s="368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68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0"/>
      <c r="Q24" s="1351"/>
      <c r="R24" s="704"/>
      <c r="S24" s="705"/>
      <c r="T24" s="704"/>
      <c r="U24" s="705"/>
      <c r="V24" s="704"/>
      <c r="W24" s="705"/>
      <c r="X24" s="1354"/>
      <c r="Y24" s="368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68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1" t="s">
        <v>1696</v>
      </c>
      <c r="Q32" s="1351" t="str">
        <f t="shared" si="11"/>
        <v>建筑类型</v>
      </c>
      <c r="R32" s="704" t="s">
        <v>18</v>
      </c>
      <c r="S32" s="705">
        <f t="shared" si="12"/>
        <v>100</v>
      </c>
      <c r="T32" s="704" t="s">
        <v>18</v>
      </c>
      <c r="U32" s="705">
        <f t="shared" si="13"/>
        <v>100</v>
      </c>
      <c r="V32" s="704" t="s">
        <v>18</v>
      </c>
      <c r="W32" s="705">
        <f t="shared" si="14"/>
        <v>100</v>
      </c>
      <c r="X32" s="1354"/>
      <c r="Y32" s="369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2"/>
      <c r="Q33" s="706" t="str">
        <f t="shared" si="11"/>
        <v>项目建筑规模</v>
      </c>
      <c r="R33" s="707" t="s">
        <v>18</v>
      </c>
      <c r="S33" s="708" t="e">
        <f t="shared" si="12"/>
        <v>#N/A</v>
      </c>
      <c r="T33" s="707" t="s">
        <v>18</v>
      </c>
      <c r="U33" s="708" t="e">
        <f t="shared" si="13"/>
        <v>#N/A</v>
      </c>
      <c r="V33" s="707" t="s">
        <v>18</v>
      </c>
      <c r="W33" s="708" t="e">
        <f t="shared" si="14"/>
        <v>#N/A</v>
      </c>
      <c r="X33" s="709"/>
      <c r="Y33" s="369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2"/>
      <c r="Q34" s="1351" t="str">
        <f t="shared" si="11"/>
        <v>建筑结构</v>
      </c>
      <c r="R34" s="704" t="s">
        <v>18</v>
      </c>
      <c r="S34" s="705">
        <f t="shared" si="12"/>
        <v>100</v>
      </c>
      <c r="T34" s="704" t="s">
        <v>18</v>
      </c>
      <c r="U34" s="705">
        <f t="shared" si="13"/>
        <v>100</v>
      </c>
      <c r="V34" s="704" t="s">
        <v>18</v>
      </c>
      <c r="W34" s="705">
        <f t="shared" si="14"/>
        <v>100</v>
      </c>
      <c r="X34" s="1354"/>
      <c r="Y34" s="369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2"/>
      <c r="Q35" s="1351" t="str">
        <f t="shared" si="11"/>
        <v>建筑品质</v>
      </c>
      <c r="R35" s="704" t="s">
        <v>18</v>
      </c>
      <c r="S35" s="705">
        <f t="shared" si="12"/>
        <v>100</v>
      </c>
      <c r="T35" s="704" t="s">
        <v>18</v>
      </c>
      <c r="U35" s="705">
        <f t="shared" si="13"/>
        <v>100</v>
      </c>
      <c r="V35" s="704" t="s">
        <v>18</v>
      </c>
      <c r="W35" s="705">
        <f t="shared" si="14"/>
        <v>100</v>
      </c>
      <c r="X35" s="1354"/>
      <c r="Y35" s="369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2"/>
      <c r="Q36" s="1351" t="str">
        <f t="shared" si="11"/>
        <v>公共部分装修</v>
      </c>
      <c r="R36" s="704" t="s">
        <v>18</v>
      </c>
      <c r="S36" s="705">
        <f t="shared" si="12"/>
        <v>100</v>
      </c>
      <c r="T36" s="704" t="s">
        <v>18</v>
      </c>
      <c r="U36" s="705">
        <f t="shared" si="13"/>
        <v>100</v>
      </c>
      <c r="V36" s="704" t="s">
        <v>18</v>
      </c>
      <c r="W36" s="705">
        <f t="shared" si="14"/>
        <v>100</v>
      </c>
      <c r="X36" s="1354"/>
      <c r="Y36" s="369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2"/>
      <c r="Q37" s="1342" t="str">
        <f t="shared" si="11"/>
        <v>成新度</v>
      </c>
      <c r="R37" s="700" t="s">
        <v>18</v>
      </c>
      <c r="S37" s="701" t="e">
        <f t="shared" si="12"/>
        <v>#N/A</v>
      </c>
      <c r="T37" s="700" t="s">
        <v>18</v>
      </c>
      <c r="U37" s="701" t="e">
        <f t="shared" si="13"/>
        <v>#N/A</v>
      </c>
      <c r="V37" s="700" t="s">
        <v>18</v>
      </c>
      <c r="W37" s="701" t="e">
        <f t="shared" si="14"/>
        <v>#N/A</v>
      </c>
      <c r="X37" s="702"/>
      <c r="Y37" s="369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2" t="s">
        <v>1696</v>
      </c>
      <c r="Q38" s="1351" t="str">
        <f t="shared" si="11"/>
        <v>物业管理</v>
      </c>
      <c r="R38" s="704" t="s">
        <v>18</v>
      </c>
      <c r="S38" s="705">
        <f t="shared" si="12"/>
        <v>100</v>
      </c>
      <c r="T38" s="704" t="s">
        <v>18</v>
      </c>
      <c r="U38" s="705">
        <f t="shared" si="13"/>
        <v>100</v>
      </c>
      <c r="V38" s="704" t="s">
        <v>18</v>
      </c>
      <c r="W38" s="705">
        <f t="shared" si="14"/>
        <v>100</v>
      </c>
      <c r="X38" s="1354"/>
      <c r="Y38" s="369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2"/>
      <c r="Q39" s="1351" t="str">
        <f t="shared" si="11"/>
        <v>市政基础设施</v>
      </c>
      <c r="R39" s="704" t="s">
        <v>18</v>
      </c>
      <c r="S39" s="705">
        <f t="shared" si="12"/>
        <v>100</v>
      </c>
      <c r="T39" s="704" t="s">
        <v>18</v>
      </c>
      <c r="U39" s="705">
        <f t="shared" si="13"/>
        <v>100</v>
      </c>
      <c r="V39" s="704" t="s">
        <v>18</v>
      </c>
      <c r="W39" s="705">
        <f t="shared" si="14"/>
        <v>100</v>
      </c>
      <c r="X39" s="1354"/>
      <c r="Y39" s="369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2"/>
      <c r="Q40" s="1351" t="str">
        <f t="shared" si="11"/>
        <v>房型</v>
      </c>
      <c r="R40" s="704" t="s">
        <v>18</v>
      </c>
      <c r="S40" s="705">
        <f t="shared" si="12"/>
        <v>100</v>
      </c>
      <c r="T40" s="704" t="s">
        <v>18</v>
      </c>
      <c r="U40" s="705">
        <f t="shared" si="13"/>
        <v>100</v>
      </c>
      <c r="V40" s="704" t="s">
        <v>18</v>
      </c>
      <c r="W40" s="705">
        <f t="shared" si="14"/>
        <v>100</v>
      </c>
      <c r="X40" s="1354"/>
      <c r="Y40" s="369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2"/>
      <c r="Q41" s="706" t="str">
        <f t="shared" si="11"/>
        <v>单套/主力户型建筑面积</v>
      </c>
      <c r="R41" s="707" t="s">
        <v>18</v>
      </c>
      <c r="S41" s="708">
        <f t="shared" si="12"/>
        <v>100</v>
      </c>
      <c r="T41" s="707" t="s">
        <v>18</v>
      </c>
      <c r="U41" s="708">
        <f t="shared" si="13"/>
        <v>100</v>
      </c>
      <c r="V41" s="707" t="s">
        <v>18</v>
      </c>
      <c r="W41" s="708">
        <f t="shared" si="14"/>
        <v>100</v>
      </c>
      <c r="X41" s="709"/>
      <c r="Y41" s="369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2"/>
      <c r="Q42" s="1351" t="str">
        <f t="shared" si="11"/>
        <v>内部装修</v>
      </c>
      <c r="R42" s="704" t="s">
        <v>18</v>
      </c>
      <c r="S42" s="705">
        <f t="shared" si="12"/>
        <v>100</v>
      </c>
      <c r="T42" s="704" t="s">
        <v>18</v>
      </c>
      <c r="U42" s="705">
        <f t="shared" si="13"/>
        <v>100</v>
      </c>
      <c r="V42" s="704" t="s">
        <v>18</v>
      </c>
      <c r="W42" s="705">
        <f t="shared" si="14"/>
        <v>100</v>
      </c>
      <c r="X42" s="1354"/>
      <c r="Y42" s="369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2"/>
      <c r="Q43" s="1351" t="str">
        <f t="shared" si="11"/>
        <v>内部装修维护情况</v>
      </c>
      <c r="R43" s="704" t="s">
        <v>18</v>
      </c>
      <c r="S43" s="705">
        <f t="shared" si="12"/>
        <v>100</v>
      </c>
      <c r="T43" s="704" t="s">
        <v>18</v>
      </c>
      <c r="U43" s="705">
        <f t="shared" si="13"/>
        <v>100</v>
      </c>
      <c r="V43" s="704" t="s">
        <v>18</v>
      </c>
      <c r="W43" s="705">
        <f t="shared" si="14"/>
        <v>100</v>
      </c>
      <c r="X43" s="1354"/>
      <c r="Y43" s="369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2"/>
      <c r="Q44" s="1342">
        <f t="shared" si="11"/>
        <v>111</v>
      </c>
      <c r="R44" s="700" t="s">
        <v>18</v>
      </c>
      <c r="S44" s="701">
        <f t="shared" si="12"/>
        <v>100</v>
      </c>
      <c r="T44" s="700" t="s">
        <v>18</v>
      </c>
      <c r="U44" s="701">
        <f t="shared" si="13"/>
        <v>100</v>
      </c>
      <c r="V44" s="700" t="s">
        <v>18</v>
      </c>
      <c r="W44" s="701">
        <f t="shared" si="14"/>
        <v>100</v>
      </c>
      <c r="X44" s="702"/>
      <c r="Y44" s="369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2"/>
      <c r="Q45" s="1351">
        <f t="shared" si="11"/>
        <v>111</v>
      </c>
      <c r="R45" s="704" t="s">
        <v>18</v>
      </c>
      <c r="S45" s="705">
        <f t="shared" si="12"/>
        <v>100</v>
      </c>
      <c r="T45" s="704" t="s">
        <v>18</v>
      </c>
      <c r="U45" s="705">
        <f t="shared" si="13"/>
        <v>100</v>
      </c>
      <c r="V45" s="704" t="s">
        <v>18</v>
      </c>
      <c r="W45" s="705">
        <f t="shared" si="14"/>
        <v>100</v>
      </c>
      <c r="X45" s="1354"/>
      <c r="Y45" s="369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3"/>
      <c r="Q46" s="1351">
        <f t="shared" si="11"/>
        <v>111</v>
      </c>
      <c r="R46" s="704" t="s">
        <v>17</v>
      </c>
      <c r="S46" s="705">
        <f t="shared" si="12"/>
        <v>100</v>
      </c>
      <c r="T46" s="704" t="s">
        <v>17</v>
      </c>
      <c r="U46" s="705">
        <f t="shared" si="13"/>
        <v>100</v>
      </c>
      <c r="V46" s="704" t="s">
        <v>17</v>
      </c>
      <c r="W46" s="705">
        <f t="shared" si="14"/>
        <v>100</v>
      </c>
      <c r="X46" s="1354"/>
      <c r="Y46" s="369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2" t="str">
        <f>A47</f>
        <v>成交单价（元/平方米）</v>
      </c>
      <c r="Q47" s="3672"/>
      <c r="R47" s="3692">
        <f>E47</f>
        <v>0</v>
      </c>
      <c r="S47" s="3692"/>
      <c r="T47" s="3692">
        <f>G47</f>
        <v>0</v>
      </c>
      <c r="U47" s="3692"/>
      <c r="V47" s="3692">
        <f>I47</f>
        <v>0</v>
      </c>
      <c r="W47" s="369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2" t="str">
        <f>A48</f>
        <v>比较价值（元/平方米）</v>
      </c>
      <c r="Q48" s="3672"/>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794.57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8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8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85"/>
      <c r="AC6" s="3656"/>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9"/>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68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0"/>
      <c r="Q16" s="1351"/>
      <c r="R16" s="704"/>
      <c r="S16" s="705"/>
      <c r="T16" s="704"/>
      <c r="U16" s="705"/>
      <c r="V16" s="704"/>
      <c r="W16" s="705"/>
      <c r="X16" s="1354"/>
      <c r="Y16" s="368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0"/>
      <c r="Q18" s="1351"/>
      <c r="R18" s="704"/>
      <c r="S18" s="705"/>
      <c r="T18" s="704"/>
      <c r="U18" s="705"/>
      <c r="V18" s="704"/>
      <c r="W18" s="705"/>
      <c r="X18" s="1354"/>
      <c r="Y18" s="3688"/>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0"/>
      <c r="Q20" s="1351"/>
      <c r="R20" s="704"/>
      <c r="S20" s="705"/>
      <c r="T20" s="704"/>
      <c r="U20" s="705"/>
      <c r="V20" s="704"/>
      <c r="W20" s="705"/>
      <c r="X20" s="1354"/>
      <c r="Y20" s="3688"/>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0"/>
      <c r="Q22" s="1351"/>
      <c r="R22" s="704"/>
      <c r="S22" s="705"/>
      <c r="T22" s="704"/>
      <c r="U22" s="705"/>
      <c r="V22" s="704"/>
      <c r="W22" s="705"/>
      <c r="X22" s="1354"/>
      <c r="Y22" s="368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0"/>
      <c r="Q24" s="1351"/>
      <c r="R24" s="704"/>
      <c r="S24" s="705"/>
      <c r="T24" s="704"/>
      <c r="U24" s="705"/>
      <c r="V24" s="704"/>
      <c r="W24" s="705"/>
      <c r="X24" s="1354"/>
      <c r="Y24" s="368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0"/>
      <c r="Q27" s="1342" t="str">
        <f t="shared" si="11"/>
        <v>人流量</v>
      </c>
      <c r="R27" s="700" t="s">
        <v>14</v>
      </c>
      <c r="S27" s="701">
        <f>F27</f>
        <v>100</v>
      </c>
      <c r="T27" s="700" t="s">
        <v>14</v>
      </c>
      <c r="U27" s="701">
        <f>H27</f>
        <v>100</v>
      </c>
      <c r="V27" s="700" t="s">
        <v>14</v>
      </c>
      <c r="W27" s="701">
        <f>J27</f>
        <v>100</v>
      </c>
      <c r="X27" s="702"/>
      <c r="Y27" s="3688"/>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1" t="s">
        <v>1696</v>
      </c>
      <c r="Q32" s="1351" t="str">
        <f t="shared" si="11"/>
        <v>商业类型</v>
      </c>
      <c r="R32" s="704" t="s">
        <v>14</v>
      </c>
      <c r="S32" s="705">
        <f t="shared" si="12"/>
        <v>100</v>
      </c>
      <c r="T32" s="704" t="s">
        <v>14</v>
      </c>
      <c r="U32" s="705">
        <f t="shared" si="13"/>
        <v>100</v>
      </c>
      <c r="V32" s="704" t="s">
        <v>14</v>
      </c>
      <c r="W32" s="705">
        <f t="shared" si="14"/>
        <v>100</v>
      </c>
      <c r="X32" s="1354"/>
      <c r="Y32" s="369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2"/>
      <c r="Q33" s="706" t="str">
        <f t="shared" si="11"/>
        <v>项目建筑规模</v>
      </c>
      <c r="R33" s="707" t="s">
        <v>14</v>
      </c>
      <c r="S33" s="708" t="e">
        <f t="shared" si="12"/>
        <v>#N/A</v>
      </c>
      <c r="T33" s="707" t="s">
        <v>14</v>
      </c>
      <c r="U33" s="708" t="e">
        <f t="shared" si="13"/>
        <v>#N/A</v>
      </c>
      <c r="V33" s="707" t="s">
        <v>14</v>
      </c>
      <c r="W33" s="708" t="e">
        <f t="shared" si="14"/>
        <v>#N/A</v>
      </c>
      <c r="X33" s="709"/>
      <c r="Y33" s="369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2"/>
      <c r="Q34" s="1351" t="str">
        <f t="shared" si="11"/>
        <v>建筑结构</v>
      </c>
      <c r="R34" s="704" t="s">
        <v>14</v>
      </c>
      <c r="S34" s="705">
        <f t="shared" si="12"/>
        <v>100</v>
      </c>
      <c r="T34" s="704" t="s">
        <v>14</v>
      </c>
      <c r="U34" s="705">
        <f t="shared" si="13"/>
        <v>100</v>
      </c>
      <c r="V34" s="704" t="s">
        <v>14</v>
      </c>
      <c r="W34" s="705">
        <f t="shared" si="14"/>
        <v>100</v>
      </c>
      <c r="X34" s="1354"/>
      <c r="Y34" s="369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2"/>
      <c r="Q35" s="1351" t="str">
        <f t="shared" si="11"/>
        <v>公共部分装修</v>
      </c>
      <c r="R35" s="704" t="s">
        <v>14</v>
      </c>
      <c r="S35" s="705">
        <f t="shared" si="12"/>
        <v>100</v>
      </c>
      <c r="T35" s="704" t="s">
        <v>14</v>
      </c>
      <c r="U35" s="705">
        <f t="shared" si="13"/>
        <v>100</v>
      </c>
      <c r="V35" s="704" t="s">
        <v>14</v>
      </c>
      <c r="W35" s="705">
        <f t="shared" si="14"/>
        <v>100</v>
      </c>
      <c r="X35" s="1354"/>
      <c r="Y35" s="369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2"/>
      <c r="Q36" s="1351" t="str">
        <f t="shared" si="11"/>
        <v>成新度</v>
      </c>
      <c r="R36" s="704" t="s">
        <v>14</v>
      </c>
      <c r="S36" s="705" t="e">
        <f t="shared" si="12"/>
        <v>#N/A</v>
      </c>
      <c r="T36" s="704" t="s">
        <v>14</v>
      </c>
      <c r="U36" s="705" t="e">
        <f t="shared" si="13"/>
        <v>#N/A</v>
      </c>
      <c r="V36" s="704" t="s">
        <v>14</v>
      </c>
      <c r="W36" s="705" t="e">
        <f t="shared" si="14"/>
        <v>#N/A</v>
      </c>
      <c r="X36" s="1354"/>
      <c r="Y36" s="369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2"/>
      <c r="Q37" s="1342" t="str">
        <f t="shared" si="11"/>
        <v>市政基础设施</v>
      </c>
      <c r="R37" s="700" t="s">
        <v>14</v>
      </c>
      <c r="S37" s="701">
        <f t="shared" si="12"/>
        <v>100</v>
      </c>
      <c r="T37" s="700" t="s">
        <v>14</v>
      </c>
      <c r="U37" s="701">
        <f t="shared" si="13"/>
        <v>100</v>
      </c>
      <c r="V37" s="700" t="s">
        <v>14</v>
      </c>
      <c r="W37" s="701">
        <f t="shared" si="14"/>
        <v>100</v>
      </c>
      <c r="X37" s="702"/>
      <c r="Y37" s="369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2" t="s">
        <v>1696</v>
      </c>
      <c r="Q38" s="1351" t="str">
        <f t="shared" si="11"/>
        <v>业态</v>
      </c>
      <c r="R38" s="704" t="s">
        <v>14</v>
      </c>
      <c r="S38" s="705">
        <f t="shared" si="12"/>
        <v>100</v>
      </c>
      <c r="T38" s="704" t="s">
        <v>14</v>
      </c>
      <c r="U38" s="705">
        <f t="shared" si="13"/>
        <v>100</v>
      </c>
      <c r="V38" s="704" t="s">
        <v>14</v>
      </c>
      <c r="W38" s="705">
        <f t="shared" si="14"/>
        <v>100</v>
      </c>
      <c r="X38" s="1354"/>
      <c r="Y38" s="369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2"/>
      <c r="Q39" s="1351" t="str">
        <f t="shared" si="11"/>
        <v>层高</v>
      </c>
      <c r="R39" s="704" t="s">
        <v>14</v>
      </c>
      <c r="S39" s="705">
        <f t="shared" si="12"/>
        <v>100</v>
      </c>
      <c r="T39" s="704" t="s">
        <v>14</v>
      </c>
      <c r="U39" s="705">
        <f t="shared" si="13"/>
        <v>100</v>
      </c>
      <c r="V39" s="704" t="s">
        <v>14</v>
      </c>
      <c r="W39" s="705">
        <f t="shared" si="14"/>
        <v>100</v>
      </c>
      <c r="X39" s="1354"/>
      <c r="Y39" s="369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2"/>
      <c r="Q40" s="1351" t="str">
        <f t="shared" si="11"/>
        <v>单套建筑面积</v>
      </c>
      <c r="R40" s="704" t="s">
        <v>14</v>
      </c>
      <c r="S40" s="705">
        <f t="shared" si="12"/>
        <v>100</v>
      </c>
      <c r="T40" s="704" t="s">
        <v>14</v>
      </c>
      <c r="U40" s="705">
        <f t="shared" si="13"/>
        <v>100</v>
      </c>
      <c r="V40" s="704" t="s">
        <v>14</v>
      </c>
      <c r="W40" s="705">
        <f t="shared" si="14"/>
        <v>100</v>
      </c>
      <c r="X40" s="1354"/>
      <c r="Y40" s="369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2"/>
      <c r="Q41" s="706" t="str">
        <f t="shared" si="11"/>
        <v>进深比</v>
      </c>
      <c r="R41" s="707" t="s">
        <v>14</v>
      </c>
      <c r="S41" s="708">
        <f t="shared" si="12"/>
        <v>100</v>
      </c>
      <c r="T41" s="707" t="s">
        <v>14</v>
      </c>
      <c r="U41" s="708">
        <f t="shared" si="13"/>
        <v>100</v>
      </c>
      <c r="V41" s="707" t="s">
        <v>14</v>
      </c>
      <c r="W41" s="708">
        <f t="shared" si="14"/>
        <v>100</v>
      </c>
      <c r="X41" s="709"/>
      <c r="Y41" s="369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2"/>
      <c r="Q42" s="1351" t="str">
        <f t="shared" si="11"/>
        <v>内部装修</v>
      </c>
      <c r="R42" s="704" t="s">
        <v>14</v>
      </c>
      <c r="S42" s="705">
        <f t="shared" si="12"/>
        <v>100</v>
      </c>
      <c r="T42" s="704" t="s">
        <v>14</v>
      </c>
      <c r="U42" s="705">
        <f t="shared" si="13"/>
        <v>100</v>
      </c>
      <c r="V42" s="704" t="s">
        <v>14</v>
      </c>
      <c r="W42" s="705">
        <f t="shared" si="14"/>
        <v>100</v>
      </c>
      <c r="X42" s="1354"/>
      <c r="Y42" s="369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2"/>
      <c r="Q43" s="1351" t="str">
        <f t="shared" si="11"/>
        <v>内部装修维护情况</v>
      </c>
      <c r="R43" s="704" t="s">
        <v>14</v>
      </c>
      <c r="S43" s="705">
        <f t="shared" si="12"/>
        <v>100</v>
      </c>
      <c r="T43" s="704" t="s">
        <v>14</v>
      </c>
      <c r="U43" s="705">
        <f t="shared" si="13"/>
        <v>100</v>
      </c>
      <c r="V43" s="704" t="s">
        <v>14</v>
      </c>
      <c r="W43" s="705">
        <f t="shared" si="14"/>
        <v>100</v>
      </c>
      <c r="X43" s="1354"/>
      <c r="Y43" s="369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2"/>
      <c r="Q44" s="1342">
        <f t="shared" si="11"/>
        <v>111</v>
      </c>
      <c r="R44" s="700" t="s">
        <v>14</v>
      </c>
      <c r="S44" s="701">
        <f t="shared" si="12"/>
        <v>100</v>
      </c>
      <c r="T44" s="700" t="s">
        <v>14</v>
      </c>
      <c r="U44" s="701">
        <f t="shared" si="13"/>
        <v>100</v>
      </c>
      <c r="V44" s="700" t="s">
        <v>14</v>
      </c>
      <c r="W44" s="701">
        <f t="shared" si="14"/>
        <v>100</v>
      </c>
      <c r="X44" s="702"/>
      <c r="Y44" s="369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2"/>
      <c r="Q45" s="1351">
        <f t="shared" si="11"/>
        <v>111</v>
      </c>
      <c r="R45" s="704" t="s">
        <v>14</v>
      </c>
      <c r="S45" s="705">
        <f t="shared" si="12"/>
        <v>100</v>
      </c>
      <c r="T45" s="704" t="s">
        <v>14</v>
      </c>
      <c r="U45" s="705">
        <f t="shared" si="13"/>
        <v>100</v>
      </c>
      <c r="V45" s="704" t="s">
        <v>14</v>
      </c>
      <c r="W45" s="705">
        <f t="shared" si="14"/>
        <v>100</v>
      </c>
      <c r="X45" s="1354"/>
      <c r="Y45" s="369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3"/>
      <c r="Q46" s="1351">
        <f t="shared" si="11"/>
        <v>111</v>
      </c>
      <c r="R46" s="704" t="s">
        <v>14</v>
      </c>
      <c r="S46" s="705">
        <f t="shared" si="12"/>
        <v>100</v>
      </c>
      <c r="T46" s="704" t="s">
        <v>14</v>
      </c>
      <c r="U46" s="705">
        <f t="shared" si="13"/>
        <v>100</v>
      </c>
      <c r="V46" s="704" t="s">
        <v>14</v>
      </c>
      <c r="W46" s="705">
        <f t="shared" si="14"/>
        <v>100</v>
      </c>
      <c r="X46" s="1354"/>
      <c r="Y46" s="369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2" t="str">
        <f>A47</f>
        <v>成交单价（元/平方米）</v>
      </c>
      <c r="Q47" s="3672"/>
      <c r="R47" s="3685">
        <f>E47</f>
        <v>0</v>
      </c>
      <c r="S47" s="3685"/>
      <c r="T47" s="3685">
        <f>G47</f>
        <v>0</v>
      </c>
      <c r="U47" s="3685"/>
      <c r="V47" s="3685">
        <f>I47</f>
        <v>0</v>
      </c>
      <c r="W47" s="368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2" t="str">
        <f>A48</f>
        <v>比较价值（元/平方米）</v>
      </c>
      <c r="Q48" s="3672"/>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57" t="s">
        <v>1680</v>
      </c>
      <c r="Q7" s="3686"/>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2"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2"/>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8"/>
      <c r="Q15" s="1351"/>
      <c r="R15" s="704"/>
      <c r="S15" s="705"/>
      <c r="T15" s="704"/>
      <c r="U15" s="705"/>
      <c r="V15" s="704"/>
      <c r="W15" s="705"/>
      <c r="X15" s="1354"/>
      <c r="Y15" s="3688"/>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8"/>
      <c r="Q17" s="1351"/>
      <c r="R17" s="704"/>
      <c r="S17" s="705"/>
      <c r="T17" s="704"/>
      <c r="U17" s="705"/>
      <c r="V17" s="704"/>
      <c r="W17" s="705"/>
      <c r="X17" s="1354"/>
      <c r="Y17" s="3688"/>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8"/>
      <c r="Q19" s="1351"/>
      <c r="R19" s="704"/>
      <c r="S19" s="705"/>
      <c r="T19" s="704"/>
      <c r="U19" s="705"/>
      <c r="V19" s="704"/>
      <c r="W19" s="705"/>
      <c r="X19" s="1354"/>
      <c r="Y19" s="3688"/>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8"/>
      <c r="Q21" s="1351"/>
      <c r="R21" s="704"/>
      <c r="S21" s="705"/>
      <c r="T21" s="704"/>
      <c r="U21" s="705"/>
      <c r="V21" s="704"/>
      <c r="W21" s="705"/>
      <c r="X21" s="1354"/>
      <c r="Y21" s="368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8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0"/>
      <c r="Q27" s="706" t="str">
        <f t="shared" si="11"/>
        <v>项目停车位配比</v>
      </c>
      <c r="R27" s="707" t="s">
        <v>14</v>
      </c>
      <c r="S27" s="708">
        <f t="shared" si="12"/>
        <v>100</v>
      </c>
      <c r="T27" s="707" t="s">
        <v>14</v>
      </c>
      <c r="U27" s="708">
        <f t="shared" si="13"/>
        <v>100</v>
      </c>
      <c r="V27" s="707" t="s">
        <v>14</v>
      </c>
      <c r="W27" s="708">
        <f t="shared" si="14"/>
        <v>100</v>
      </c>
      <c r="X27" s="709"/>
      <c r="Y27" s="369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0"/>
      <c r="Q28" s="1351" t="str">
        <f t="shared" si="11"/>
        <v>公共部分装修</v>
      </c>
      <c r="R28" s="704" t="s">
        <v>14</v>
      </c>
      <c r="S28" s="705">
        <f t="shared" si="12"/>
        <v>100</v>
      </c>
      <c r="T28" s="704" t="s">
        <v>14</v>
      </c>
      <c r="U28" s="705">
        <f t="shared" si="13"/>
        <v>100</v>
      </c>
      <c r="V28" s="704" t="s">
        <v>14</v>
      </c>
      <c r="W28" s="705">
        <f t="shared" si="14"/>
        <v>100</v>
      </c>
      <c r="X28" s="1354"/>
      <c r="Y28" s="369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0"/>
      <c r="Q29" s="1351" t="str">
        <f t="shared" si="11"/>
        <v>成新率</v>
      </c>
      <c r="R29" s="704" t="s">
        <v>14</v>
      </c>
      <c r="S29" s="705" t="e">
        <f t="shared" si="12"/>
        <v>#N/A</v>
      </c>
      <c r="T29" s="704" t="s">
        <v>14</v>
      </c>
      <c r="U29" s="705" t="e">
        <f t="shared" si="13"/>
        <v>#N/A</v>
      </c>
      <c r="V29" s="704" t="s">
        <v>14</v>
      </c>
      <c r="W29" s="705" t="e">
        <f t="shared" si="14"/>
        <v>#N/A</v>
      </c>
      <c r="X29" s="1354"/>
      <c r="Y29" s="369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0"/>
      <c r="Q30" s="1351" t="str">
        <f t="shared" si="11"/>
        <v>物业等级</v>
      </c>
      <c r="R30" s="704" t="s">
        <v>14</v>
      </c>
      <c r="S30" s="705">
        <f t="shared" si="12"/>
        <v>100</v>
      </c>
      <c r="T30" s="704" t="s">
        <v>14</v>
      </c>
      <c r="U30" s="705">
        <f t="shared" si="13"/>
        <v>100</v>
      </c>
      <c r="V30" s="704" t="s">
        <v>14</v>
      </c>
      <c r="W30" s="705">
        <f t="shared" si="14"/>
        <v>100</v>
      </c>
      <c r="X30" s="1354"/>
      <c r="Y30" s="369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0"/>
      <c r="Q31" s="1342" t="str">
        <f t="shared" si="11"/>
        <v>停车位面积</v>
      </c>
      <c r="R31" s="700" t="s">
        <v>14</v>
      </c>
      <c r="S31" s="701" t="e">
        <f t="shared" si="12"/>
        <v>#N/A</v>
      </c>
      <c r="T31" s="700" t="s">
        <v>14</v>
      </c>
      <c r="U31" s="701" t="e">
        <f t="shared" si="13"/>
        <v>#N/A</v>
      </c>
      <c r="V31" s="700" t="s">
        <v>14</v>
      </c>
      <c r="W31" s="701" t="e">
        <f t="shared" si="14"/>
        <v>#N/A</v>
      </c>
      <c r="X31" s="702"/>
      <c r="Y31" s="369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0" t="s">
        <v>1696</v>
      </c>
      <c r="Q32" s="1351" t="str">
        <f t="shared" si="11"/>
        <v>车位类型</v>
      </c>
      <c r="R32" s="704" t="s">
        <v>14</v>
      </c>
      <c r="S32" s="705">
        <f t="shared" si="12"/>
        <v>100</v>
      </c>
      <c r="T32" s="704" t="s">
        <v>14</v>
      </c>
      <c r="U32" s="705">
        <f t="shared" si="13"/>
        <v>100</v>
      </c>
      <c r="V32" s="704" t="s">
        <v>14</v>
      </c>
      <c r="W32" s="705">
        <f t="shared" si="14"/>
        <v>100</v>
      </c>
      <c r="X32" s="1354"/>
      <c r="Y32" s="369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0"/>
      <c r="Q33" s="1351" t="str">
        <f t="shared" si="11"/>
        <v>是否直接入户</v>
      </c>
      <c r="R33" s="704" t="s">
        <v>14</v>
      </c>
      <c r="S33" s="705">
        <f t="shared" si="12"/>
        <v>100</v>
      </c>
      <c r="T33" s="704" t="s">
        <v>14</v>
      </c>
      <c r="U33" s="705">
        <f t="shared" si="13"/>
        <v>100</v>
      </c>
      <c r="V33" s="704" t="s">
        <v>14</v>
      </c>
      <c r="W33" s="705">
        <f t="shared" si="14"/>
        <v>100</v>
      </c>
      <c r="X33" s="1354"/>
      <c r="Y33" s="369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0"/>
      <c r="Q35" s="706">
        <f t="shared" si="11"/>
        <v>111</v>
      </c>
      <c r="R35" s="707" t="s">
        <v>14</v>
      </c>
      <c r="S35" s="708">
        <f t="shared" si="12"/>
        <v>100</v>
      </c>
      <c r="T35" s="707" t="s">
        <v>14</v>
      </c>
      <c r="U35" s="708">
        <f t="shared" si="13"/>
        <v>100</v>
      </c>
      <c r="V35" s="707" t="s">
        <v>14</v>
      </c>
      <c r="W35" s="708">
        <f t="shared" si="14"/>
        <v>100</v>
      </c>
      <c r="X35" s="709"/>
      <c r="Y35" s="369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0"/>
      <c r="Q36" s="1351">
        <f t="shared" si="11"/>
        <v>111</v>
      </c>
      <c r="R36" s="704" t="s">
        <v>14</v>
      </c>
      <c r="S36" s="705">
        <f t="shared" si="12"/>
        <v>100</v>
      </c>
      <c r="T36" s="704" t="s">
        <v>14</v>
      </c>
      <c r="U36" s="705">
        <f t="shared" si="13"/>
        <v>100</v>
      </c>
      <c r="V36" s="704" t="s">
        <v>14</v>
      </c>
      <c r="W36" s="705">
        <f t="shared" si="14"/>
        <v>100</v>
      </c>
      <c r="X36" s="1354"/>
      <c r="Y36" s="3690"/>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72" t="str">
        <f>A37</f>
        <v>成交单价</v>
      </c>
      <c r="Q37" s="3672"/>
      <c r="R37" s="3692">
        <f>E37</f>
        <v>0</v>
      </c>
      <c r="S37" s="3692"/>
      <c r="T37" s="3692">
        <f>G37</f>
        <v>0</v>
      </c>
      <c r="U37" s="3692"/>
      <c r="V37" s="3692">
        <f>I37</f>
        <v>0</v>
      </c>
      <c r="W37" s="369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2" t="str">
        <f>A38</f>
        <v>比较价值（元/平方米）</v>
      </c>
      <c r="Q38" s="3672"/>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3" t="str">
        <f>A39</f>
        <v>估价对象XX用房的比较价值（楼面单价，元/平方米）</v>
      </c>
      <c r="Q39" s="3694"/>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57" t="s">
        <v>1680</v>
      </c>
      <c r="Q7" s="3686"/>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2"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2"/>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8"/>
      <c r="Q15" s="1351"/>
      <c r="R15" s="704"/>
      <c r="S15" s="705"/>
      <c r="T15" s="704"/>
      <c r="U15" s="705"/>
      <c r="V15" s="704"/>
      <c r="W15" s="705"/>
      <c r="X15" s="1354"/>
      <c r="Y15" s="3688"/>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8"/>
      <c r="Q17" s="1351"/>
      <c r="R17" s="704"/>
      <c r="S17" s="705"/>
      <c r="T17" s="704"/>
      <c r="U17" s="705"/>
      <c r="V17" s="704"/>
      <c r="W17" s="705"/>
      <c r="X17" s="1354"/>
      <c r="Y17" s="3688"/>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8"/>
      <c r="Q19" s="1351"/>
      <c r="R19" s="704"/>
      <c r="S19" s="705"/>
      <c r="T19" s="704"/>
      <c r="U19" s="705"/>
      <c r="V19" s="704"/>
      <c r="W19" s="705"/>
      <c r="X19" s="1354"/>
      <c r="Y19" s="3688"/>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8"/>
      <c r="Q21" s="1351"/>
      <c r="R21" s="704"/>
      <c r="S21" s="705"/>
      <c r="T21" s="704"/>
      <c r="U21" s="705"/>
      <c r="V21" s="704"/>
      <c r="W21" s="705"/>
      <c r="X21" s="1354"/>
      <c r="Y21" s="368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8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0"/>
      <c r="Q27" s="706" t="str">
        <f t="shared" si="11"/>
        <v>成新率</v>
      </c>
      <c r="R27" s="707" t="s">
        <v>14</v>
      </c>
      <c r="S27" s="708" t="e">
        <f t="shared" si="12"/>
        <v>#N/A</v>
      </c>
      <c r="T27" s="707" t="s">
        <v>14</v>
      </c>
      <c r="U27" s="708" t="e">
        <f t="shared" si="13"/>
        <v>#N/A</v>
      </c>
      <c r="V27" s="707" t="s">
        <v>14</v>
      </c>
      <c r="W27" s="708" t="e">
        <f t="shared" si="14"/>
        <v>#N/A</v>
      </c>
      <c r="X27" s="709"/>
      <c r="Y27" s="369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0"/>
      <c r="Q28" s="1351" t="str">
        <f t="shared" si="11"/>
        <v>物业等级</v>
      </c>
      <c r="R28" s="704" t="s">
        <v>14</v>
      </c>
      <c r="S28" s="705">
        <f t="shared" si="12"/>
        <v>100</v>
      </c>
      <c r="T28" s="704" t="s">
        <v>14</v>
      </c>
      <c r="U28" s="705">
        <f t="shared" si="13"/>
        <v>100</v>
      </c>
      <c r="V28" s="704" t="s">
        <v>14</v>
      </c>
      <c r="W28" s="705">
        <f t="shared" si="14"/>
        <v>100</v>
      </c>
      <c r="X28" s="1354"/>
      <c r="Y28" s="369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0"/>
      <c r="Q29" s="1351" t="str">
        <f t="shared" si="11"/>
        <v>有无电梯</v>
      </c>
      <c r="R29" s="704" t="s">
        <v>14</v>
      </c>
      <c r="S29" s="705">
        <f t="shared" si="12"/>
        <v>100</v>
      </c>
      <c r="T29" s="704" t="s">
        <v>14</v>
      </c>
      <c r="U29" s="705">
        <f t="shared" si="13"/>
        <v>100</v>
      </c>
      <c r="V29" s="704" t="s">
        <v>14</v>
      </c>
      <c r="W29" s="705">
        <f t="shared" si="14"/>
        <v>100</v>
      </c>
      <c r="X29" s="1354"/>
      <c r="Y29" s="369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0"/>
      <c r="Q30" s="1351" t="str">
        <f t="shared" si="11"/>
        <v>建筑面积</v>
      </c>
      <c r="R30" s="704" t="s">
        <v>14</v>
      </c>
      <c r="S30" s="705" t="e">
        <f t="shared" si="12"/>
        <v>#N/A</v>
      </c>
      <c r="T30" s="704" t="s">
        <v>14</v>
      </c>
      <c r="U30" s="705" t="e">
        <f t="shared" si="13"/>
        <v>#N/A</v>
      </c>
      <c r="V30" s="704" t="s">
        <v>14</v>
      </c>
      <c r="W30" s="705" t="e">
        <f t="shared" si="14"/>
        <v>#N/A</v>
      </c>
      <c r="X30" s="1354"/>
      <c r="Y30" s="369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0"/>
      <c r="Q31" s="1342" t="str">
        <f t="shared" si="11"/>
        <v>是否封闭</v>
      </c>
      <c r="R31" s="700" t="s">
        <v>14</v>
      </c>
      <c r="S31" s="701">
        <f t="shared" si="12"/>
        <v>100</v>
      </c>
      <c r="T31" s="700" t="s">
        <v>14</v>
      </c>
      <c r="U31" s="701">
        <f t="shared" si="13"/>
        <v>100</v>
      </c>
      <c r="V31" s="700" t="s">
        <v>14</v>
      </c>
      <c r="W31" s="701">
        <f t="shared" si="14"/>
        <v>100</v>
      </c>
      <c r="X31" s="702"/>
      <c r="Y31" s="369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0" t="s">
        <v>1696</v>
      </c>
      <c r="Q32" s="1351">
        <f t="shared" si="11"/>
        <v>111</v>
      </c>
      <c r="R32" s="704" t="s">
        <v>14</v>
      </c>
      <c r="S32" s="705">
        <f t="shared" si="12"/>
        <v>100</v>
      </c>
      <c r="T32" s="704" t="s">
        <v>14</v>
      </c>
      <c r="U32" s="705">
        <f t="shared" si="13"/>
        <v>100</v>
      </c>
      <c r="V32" s="704" t="s">
        <v>14</v>
      </c>
      <c r="W32" s="705">
        <f t="shared" si="14"/>
        <v>100</v>
      </c>
      <c r="X32" s="1354"/>
      <c r="Y32" s="369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0"/>
      <c r="Q33" s="1351">
        <f t="shared" si="11"/>
        <v>111</v>
      </c>
      <c r="R33" s="704" t="s">
        <v>14</v>
      </c>
      <c r="S33" s="705">
        <f t="shared" si="12"/>
        <v>100</v>
      </c>
      <c r="T33" s="704" t="s">
        <v>14</v>
      </c>
      <c r="U33" s="705">
        <f t="shared" si="13"/>
        <v>100</v>
      </c>
      <c r="V33" s="704" t="s">
        <v>14</v>
      </c>
      <c r="W33" s="705">
        <f t="shared" si="14"/>
        <v>100</v>
      </c>
      <c r="X33" s="1354"/>
      <c r="Y33" s="369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2" t="str">
        <f>A35</f>
        <v>成交单价（元/平方米）</v>
      </c>
      <c r="Q35" s="3672"/>
      <c r="R35" s="3692">
        <f>E35</f>
        <v>0</v>
      </c>
      <c r="S35" s="3692"/>
      <c r="T35" s="3692">
        <f>G35</f>
        <v>0</v>
      </c>
      <c r="U35" s="3692"/>
      <c r="V35" s="3692">
        <f>I35</f>
        <v>0</v>
      </c>
      <c r="W35" s="369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2" t="str">
        <f>A36</f>
        <v>比较价值（元/平方米）</v>
      </c>
      <c r="Q36" s="3672"/>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3" t="str">
        <f>A37</f>
        <v>估价对象XX用房的比较价值（楼面单价，元/平方米）</v>
      </c>
      <c r="Q37" s="3694"/>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30"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30"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8"/>
      <c r="M10" s="2719"/>
      <c r="N10" s="2719"/>
      <c r="O10" s="2772"/>
      <c r="P10" s="3672"/>
      <c r="Q10" s="1342" t="str">
        <f t="shared" si="6"/>
        <v>土地使用年限（年）</v>
      </c>
      <c r="R10" s="700" t="s">
        <v>14</v>
      </c>
      <c r="S10" s="701">
        <f t="shared" si="0"/>
        <v>127</v>
      </c>
      <c r="T10" s="700" t="s">
        <v>14</v>
      </c>
      <c r="U10" s="701">
        <f t="shared" si="1"/>
        <v>127</v>
      </c>
      <c r="V10" s="700" t="s">
        <v>14</v>
      </c>
      <c r="W10" s="701">
        <f t="shared" si="2"/>
        <v>127</v>
      </c>
      <c r="X10" s="702"/>
      <c r="Y10" s="3622"/>
      <c r="Z10" s="52" t="str">
        <f t="shared" si="7"/>
        <v>土地使用年限（年）</v>
      </c>
      <c r="AA10" s="703">
        <f t="shared" si="3"/>
        <v>0.78740157480314965</v>
      </c>
      <c r="AB10" s="703">
        <f t="shared" si="4"/>
        <v>0.78740157480314965</v>
      </c>
      <c r="AC10" s="703">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2"/>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7" t="s">
        <v>1691</v>
      </c>
      <c r="Q15" s="1351" t="str">
        <f t="shared" si="6"/>
        <v>居住社区成熟度</v>
      </c>
      <c r="R15" s="704" t="s">
        <v>14</v>
      </c>
      <c r="S15" s="705">
        <f t="shared" si="0"/>
        <v>100</v>
      </c>
      <c r="T15" s="704" t="s">
        <v>14</v>
      </c>
      <c r="U15" s="705">
        <f t="shared" si="1"/>
        <v>100</v>
      </c>
      <c r="V15" s="704" t="s">
        <v>14</v>
      </c>
      <c r="W15" s="705">
        <f t="shared" si="2"/>
        <v>100</v>
      </c>
      <c r="X15" s="1354"/>
      <c r="Y15" s="368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8"/>
      <c r="Q20" s="1351"/>
      <c r="R20" s="704"/>
      <c r="S20" s="705"/>
      <c r="T20" s="704"/>
      <c r="U20" s="705"/>
      <c r="V20" s="704"/>
      <c r="W20" s="705"/>
      <c r="X20" s="1354"/>
      <c r="Y20" s="3688"/>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8"/>
      <c r="Q21" s="1351" t="str">
        <f>B21</f>
        <v>交通便捷度</v>
      </c>
      <c r="R21" s="704" t="s">
        <v>14</v>
      </c>
      <c r="S21" s="705">
        <f>F21</f>
        <v>100</v>
      </c>
      <c r="T21" s="704" t="s">
        <v>14</v>
      </c>
      <c r="U21" s="705">
        <f>H21</f>
        <v>100</v>
      </c>
      <c r="V21" s="704" t="s">
        <v>14</v>
      </c>
      <c r="W21" s="705">
        <f>J21</f>
        <v>100</v>
      </c>
      <c r="X21" s="1354"/>
      <c r="Y21" s="368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8"/>
      <c r="Q24" s="1351"/>
      <c r="R24" s="704"/>
      <c r="S24" s="705"/>
      <c r="T24" s="704"/>
      <c r="U24" s="705"/>
      <c r="V24" s="704"/>
      <c r="W24" s="705"/>
      <c r="X24" s="1354"/>
      <c r="Y24" s="3688"/>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8"/>
      <c r="Q25" s="1351" t="str">
        <f t="shared" si="8"/>
        <v>自然及人文环境状况</v>
      </c>
      <c r="R25" s="704" t="s">
        <v>14</v>
      </c>
      <c r="S25" s="705">
        <f>F25</f>
        <v>100</v>
      </c>
      <c r="T25" s="704" t="s">
        <v>14</v>
      </c>
      <c r="U25" s="705">
        <f>H25</f>
        <v>100</v>
      </c>
      <c r="V25" s="704" t="s">
        <v>14</v>
      </c>
      <c r="W25" s="705">
        <f>J25</f>
        <v>100</v>
      </c>
      <c r="X25" s="1354"/>
      <c r="Y25" s="368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8"/>
      <c r="Q26" s="1351"/>
      <c r="R26" s="704"/>
      <c r="S26" s="705"/>
      <c r="T26" s="704"/>
      <c r="U26" s="705"/>
      <c r="V26" s="704"/>
      <c r="W26" s="705"/>
      <c r="X26" s="1354"/>
      <c r="Y26" s="3688"/>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8"/>
      <c r="Q27" s="1342" t="str">
        <f t="shared" si="8"/>
        <v>公共配套设施</v>
      </c>
      <c r="R27" s="700" t="s">
        <v>14</v>
      </c>
      <c r="S27" s="701">
        <f>F27</f>
        <v>100</v>
      </c>
      <c r="T27" s="700" t="s">
        <v>14</v>
      </c>
      <c r="U27" s="701">
        <f>H27</f>
        <v>100</v>
      </c>
      <c r="V27" s="700" t="s">
        <v>14</v>
      </c>
      <c r="W27" s="701">
        <f>J27</f>
        <v>100</v>
      </c>
      <c r="X27" s="702"/>
      <c r="Y27" s="3688"/>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8"/>
      <c r="Q28" s="1342"/>
      <c r="R28" s="700"/>
      <c r="S28" s="701"/>
      <c r="T28" s="700"/>
      <c r="U28" s="701"/>
      <c r="V28" s="700"/>
      <c r="W28" s="701"/>
      <c r="X28" s="702"/>
      <c r="Y28" s="3688"/>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8"/>
      <c r="Q29" s="1342"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8"/>
      <c r="Q30" s="1342"/>
      <c r="R30" s="700"/>
      <c r="S30" s="701"/>
      <c r="T30" s="700"/>
      <c r="U30" s="701"/>
      <c r="V30" s="700"/>
      <c r="W30" s="701"/>
      <c r="X30" s="702"/>
      <c r="Y30" s="3688"/>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8"/>
      <c r="Q33" s="1351"/>
      <c r="R33" s="704"/>
      <c r="S33" s="705"/>
      <c r="T33" s="704"/>
      <c r="U33" s="705"/>
      <c r="V33" s="704"/>
      <c r="W33" s="705"/>
      <c r="X33" s="1354"/>
      <c r="Y33" s="368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89" t="s">
        <v>1696</v>
      </c>
      <c r="Q36" s="1351">
        <f t="shared" si="8"/>
        <v>111</v>
      </c>
      <c r="R36" s="704" t="s">
        <v>14</v>
      </c>
      <c r="S36" s="705">
        <f t="shared" si="10"/>
        <v>100</v>
      </c>
      <c r="T36" s="704" t="s">
        <v>14</v>
      </c>
      <c r="U36" s="705">
        <f t="shared" si="11"/>
        <v>100</v>
      </c>
      <c r="V36" s="704" t="s">
        <v>14</v>
      </c>
      <c r="W36" s="705">
        <f t="shared" si="12"/>
        <v>100</v>
      </c>
      <c r="X36" s="1354"/>
      <c r="Y36" s="369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0"/>
      <c r="Q37" s="1351">
        <f t="shared" si="8"/>
        <v>111</v>
      </c>
      <c r="R37" s="707" t="s">
        <v>14</v>
      </c>
      <c r="S37" s="708">
        <f t="shared" si="10"/>
        <v>100</v>
      </c>
      <c r="T37" s="707" t="s">
        <v>14</v>
      </c>
      <c r="U37" s="708">
        <f t="shared" si="11"/>
        <v>100</v>
      </c>
      <c r="V37" s="707" t="s">
        <v>14</v>
      </c>
      <c r="W37" s="708">
        <f t="shared" si="12"/>
        <v>100</v>
      </c>
      <c r="X37" s="709"/>
      <c r="Y37" s="369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0"/>
      <c r="Q38" s="1351" t="str">
        <f>B38</f>
        <v>宗地面积</v>
      </c>
      <c r="R38" s="704" t="s">
        <v>14</v>
      </c>
      <c r="S38" s="705" t="e">
        <f t="shared" si="10"/>
        <v>#N/A</v>
      </c>
      <c r="T38" s="704" t="s">
        <v>14</v>
      </c>
      <c r="U38" s="705" t="e">
        <f t="shared" si="11"/>
        <v>#N/A</v>
      </c>
      <c r="V38" s="704" t="s">
        <v>14</v>
      </c>
      <c r="W38" s="705" t="e">
        <f t="shared" si="12"/>
        <v>#N/A</v>
      </c>
      <c r="X38" s="1354"/>
      <c r="Y38" s="369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0"/>
      <c r="Q39" s="1351" t="str">
        <f t="shared" ref="Q39:Q45" si="14">B39</f>
        <v>宗地形状</v>
      </c>
      <c r="R39" s="704" t="s">
        <v>14</v>
      </c>
      <c r="S39" s="705">
        <f t="shared" si="10"/>
        <v>100</v>
      </c>
      <c r="T39" s="704" t="s">
        <v>14</v>
      </c>
      <c r="U39" s="705">
        <f t="shared" si="11"/>
        <v>100</v>
      </c>
      <c r="V39" s="704" t="s">
        <v>14</v>
      </c>
      <c r="W39" s="705">
        <f t="shared" si="12"/>
        <v>100</v>
      </c>
      <c r="X39" s="1354"/>
      <c r="Y39" s="369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0"/>
      <c r="Q40" s="1351" t="str">
        <f t="shared" si="14"/>
        <v>临街宽度及深度</v>
      </c>
      <c r="R40" s="704" t="s">
        <v>14</v>
      </c>
      <c r="S40" s="705">
        <f t="shared" si="10"/>
        <v>100</v>
      </c>
      <c r="T40" s="704" t="s">
        <v>14</v>
      </c>
      <c r="U40" s="705">
        <f t="shared" si="11"/>
        <v>100</v>
      </c>
      <c r="V40" s="704" t="s">
        <v>14</v>
      </c>
      <c r="W40" s="705">
        <f t="shared" si="12"/>
        <v>100</v>
      </c>
      <c r="X40" s="1354"/>
      <c r="Y40" s="369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0"/>
      <c r="Q41" s="1351" t="str">
        <f t="shared" si="14"/>
        <v>宗地开发程度</v>
      </c>
      <c r="R41" s="700" t="s">
        <v>14</v>
      </c>
      <c r="S41" s="701">
        <f t="shared" si="10"/>
        <v>100</v>
      </c>
      <c r="T41" s="700" t="s">
        <v>14</v>
      </c>
      <c r="U41" s="701">
        <f t="shared" si="11"/>
        <v>100</v>
      </c>
      <c r="V41" s="700" t="s">
        <v>14</v>
      </c>
      <c r="W41" s="701">
        <f t="shared" si="12"/>
        <v>100</v>
      </c>
      <c r="X41" s="702"/>
      <c r="Y41" s="369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0" t="s">
        <v>1696</v>
      </c>
      <c r="Q42" s="1351" t="str">
        <f t="shared" si="14"/>
        <v>工程地质条件</v>
      </c>
      <c r="R42" s="704" t="s">
        <v>14</v>
      </c>
      <c r="S42" s="705">
        <f t="shared" si="10"/>
        <v>100</v>
      </c>
      <c r="T42" s="704" t="s">
        <v>14</v>
      </c>
      <c r="U42" s="705">
        <f t="shared" si="11"/>
        <v>100</v>
      </c>
      <c r="V42" s="704" t="s">
        <v>14</v>
      </c>
      <c r="W42" s="705">
        <f t="shared" si="12"/>
        <v>100</v>
      </c>
      <c r="X42" s="1354"/>
      <c r="Y42" s="369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0"/>
      <c r="Q43" s="1351">
        <f t="shared" si="14"/>
        <v>111</v>
      </c>
      <c r="R43" s="704" t="s">
        <v>14</v>
      </c>
      <c r="S43" s="705">
        <f t="shared" si="10"/>
        <v>100</v>
      </c>
      <c r="T43" s="704" t="s">
        <v>14</v>
      </c>
      <c r="U43" s="705">
        <f t="shared" si="11"/>
        <v>100</v>
      </c>
      <c r="V43" s="704" t="s">
        <v>14</v>
      </c>
      <c r="W43" s="705">
        <f t="shared" si="12"/>
        <v>100</v>
      </c>
      <c r="X43" s="1354"/>
      <c r="Y43" s="369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0"/>
      <c r="Q44" s="1351">
        <f t="shared" si="14"/>
        <v>111</v>
      </c>
      <c r="R44" s="704" t="s">
        <v>14</v>
      </c>
      <c r="S44" s="705">
        <f t="shared" si="10"/>
        <v>100</v>
      </c>
      <c r="T44" s="704" t="s">
        <v>14</v>
      </c>
      <c r="U44" s="705">
        <f t="shared" si="11"/>
        <v>100</v>
      </c>
      <c r="V44" s="704" t="s">
        <v>14</v>
      </c>
      <c r="W44" s="705">
        <f t="shared" si="12"/>
        <v>100</v>
      </c>
      <c r="X44" s="1354"/>
      <c r="Y44" s="369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0"/>
      <c r="Q45" s="1351">
        <f t="shared" si="14"/>
        <v>111</v>
      </c>
      <c r="R45" s="707" t="s">
        <v>14</v>
      </c>
      <c r="S45" s="708">
        <f t="shared" si="10"/>
        <v>100</v>
      </c>
      <c r="T45" s="707" t="s">
        <v>14</v>
      </c>
      <c r="U45" s="708">
        <f t="shared" si="11"/>
        <v>100</v>
      </c>
      <c r="V45" s="707" t="s">
        <v>14</v>
      </c>
      <c r="W45" s="708">
        <f t="shared" si="12"/>
        <v>100</v>
      </c>
      <c r="X45" s="709"/>
      <c r="Y45" s="369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2" t="str">
        <f>A46</f>
        <v>成交单价</v>
      </c>
      <c r="Q46" s="3672"/>
      <c r="R46" s="3685">
        <f>E46</f>
        <v>0</v>
      </c>
      <c r="S46" s="3685"/>
      <c r="T46" s="3685">
        <f>G46</f>
        <v>0</v>
      </c>
      <c r="U46" s="3685"/>
      <c r="V46" s="3685">
        <f>I46</f>
        <v>0</v>
      </c>
      <c r="W46" s="368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72" t="str">
        <f>A47</f>
        <v>比较价值（元/平方米）</v>
      </c>
      <c r="Q47" s="3672"/>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3" t="str">
        <f>A48</f>
        <v>估价对象XX用房的比较价值（楼面单价，元/平方米）</v>
      </c>
      <c r="Q48" s="3694"/>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794.57</v>
      </c>
      <c r="F56" s="885" t="e">
        <f t="shared" ref="F56:F64" si="15">ROUND(B56*E56/10000,0)</f>
        <v>#DIV/0!</v>
      </c>
      <c r="G56" s="3699"/>
      <c r="H56" s="367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794.57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794.57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0"/>
      <c r="B4" s="3751"/>
      <c r="C4" s="3751"/>
      <c r="D4" s="3752"/>
      <c r="E4" s="3752"/>
      <c r="F4" s="3752"/>
      <c r="G4" s="3752"/>
      <c r="H4" s="3752"/>
      <c r="I4" s="3752"/>
      <c r="J4" s="375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7" t="s">
        <v>1960</v>
      </c>
      <c r="X8" s="374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4" t="s">
        <v>3256</v>
      </c>
      <c r="B20" s="166" t="s">
        <v>1994</v>
      </c>
      <c r="C20" s="3324">
        <f>ROUND(IF(F21="与级别开发程度一致",0,(G21-E21)/C21),0)</f>
        <v>0</v>
      </c>
      <c r="D20" s="3340" t="s">
        <v>1998</v>
      </c>
      <c r="E20" s="3341"/>
      <c r="F20" s="3760" t="s">
        <v>1995</v>
      </c>
      <c r="G20" s="3761"/>
      <c r="H20" s="3325" t="s">
        <v>3419</v>
      </c>
      <c r="I20" s="3325" t="s">
        <v>3420</v>
      </c>
      <c r="J20" s="3326" t="s">
        <v>3421</v>
      </c>
      <c r="K20" s="2046" t="s">
        <v>3422</v>
      </c>
      <c r="L20" s="2046" t="s">
        <v>3423</v>
      </c>
      <c r="M20" s="2046" t="s">
        <v>3424</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5"/>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794.57</v>
      </c>
      <c r="E33" s="772" t="e">
        <f>ROUND(C33*D33/10000,0)</f>
        <v>#DIV/0!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8"/>
      <c r="B37" s="2112" t="s">
        <v>2036</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9"/>
      <c r="B38" s="2040" t="s">
        <v>2037</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9"/>
      <c r="B39" s="2040" t="s">
        <v>3261</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306</v>
      </c>
      <c r="D41" s="2097">
        <f>'数据-汇总表'!G19</f>
        <v>0</v>
      </c>
      <c r="E41" s="170">
        <f t="shared" si="4"/>
        <v>0</v>
      </c>
      <c r="F41" s="174">
        <f>SUMIF(修正!A57:A68,G2,修正!F57:F68)</f>
        <v>0.25</v>
      </c>
      <c r="G41" s="170">
        <f>ROUND(IF(E2="工业",C41*$M$42,C41*$M$41),0)</f>
        <v>46</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183</v>
      </c>
      <c r="D42" s="2102"/>
      <c r="E42" s="186">
        <f t="shared" si="4"/>
        <v>0</v>
      </c>
      <c r="F42" s="766">
        <f>SUMIF(修正!A57:A68,G2,修正!G57:G68)</f>
        <v>0.15</v>
      </c>
      <c r="G42" s="186">
        <f>ROUND(IF(E2="工业",C42*$M$42,C42*$M$41),0)</f>
        <v>27</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0.54220000000000002</v>
      </c>
      <c r="D44" s="170" t="s">
        <v>1999</v>
      </c>
      <c r="E44" s="2152">
        <f>G24</f>
        <v>0.05</v>
      </c>
      <c r="F44" s="170" t="s">
        <v>2008</v>
      </c>
      <c r="G44" s="182">
        <f>项目基本情况!H15</f>
        <v>14</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6" t="s">
        <v>3296</v>
      </c>
      <c r="B103" s="3756"/>
      <c r="C103" s="3756"/>
      <c r="D103" s="3756"/>
      <c r="E103" s="3756"/>
      <c r="F103" s="3756"/>
      <c r="G103" s="3756"/>
      <c r="H103" s="3756"/>
      <c r="I103" s="3756"/>
      <c r="J103" s="3756"/>
      <c r="K103" s="3389"/>
      <c r="L103" s="3389"/>
      <c r="M103" s="3389"/>
      <c r="N103" s="3389"/>
    </row>
    <row r="104" spans="1:14">
      <c r="A104" s="3757" t="s">
        <v>3297</v>
      </c>
      <c r="B104" s="3757" t="s">
        <v>3298</v>
      </c>
      <c r="C104" s="3390" t="s">
        <v>3299</v>
      </c>
      <c r="D104" s="3391"/>
      <c r="E104" s="3391"/>
      <c r="F104" s="3391"/>
      <c r="G104" s="3391"/>
      <c r="H104" s="3391"/>
      <c r="I104" s="3391"/>
      <c r="J104" s="3392"/>
      <c r="K104" s="3393"/>
      <c r="L104" s="3393"/>
      <c r="M104" s="3393"/>
      <c r="N104" s="3393"/>
    </row>
    <row r="105" spans="1:14">
      <c r="A105" s="3757"/>
      <c r="B105" s="375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4"/>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6" t="s">
        <v>3313</v>
      </c>
      <c r="B113" s="3746"/>
      <c r="C113" s="3746"/>
      <c r="D113" s="3746"/>
      <c r="E113" s="3746"/>
      <c r="F113" s="3746"/>
      <c r="G113" s="3746"/>
      <c r="H113" s="3746"/>
      <c r="I113" s="3746"/>
      <c r="J113" s="374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762" t="s">
        <v>1919</v>
      </c>
      <c r="D6" s="3763"/>
      <c r="E6" s="3764" t="s">
        <v>1919</v>
      </c>
      <c r="F6" s="3765"/>
      <c r="G6" s="3762" t="s">
        <v>1919</v>
      </c>
      <c r="H6" s="3763"/>
      <c r="I6" s="3762" t="s">
        <v>1919</v>
      </c>
      <c r="J6" s="3763"/>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8"/>
      <c r="M10" s="2719"/>
      <c r="N10" s="2719"/>
      <c r="O10" s="2772"/>
      <c r="P10" s="3672"/>
      <c r="Q10" s="1342" t="str">
        <f t="shared" si="6"/>
        <v>土地使用年限（年）</v>
      </c>
      <c r="R10" s="700" t="s">
        <v>14</v>
      </c>
      <c r="S10" s="701">
        <f t="shared" si="0"/>
        <v>127</v>
      </c>
      <c r="T10" s="700" t="s">
        <v>14</v>
      </c>
      <c r="U10" s="701">
        <f t="shared" si="1"/>
        <v>127</v>
      </c>
      <c r="V10" s="700" t="s">
        <v>14</v>
      </c>
      <c r="W10" s="701">
        <f t="shared" si="2"/>
        <v>127</v>
      </c>
      <c r="X10" s="702"/>
      <c r="Y10" s="3622"/>
      <c r="Z10" s="52" t="str">
        <f t="shared" si="7"/>
        <v>土地使用年限（年）</v>
      </c>
      <c r="AA10" s="703">
        <f t="shared" si="3"/>
        <v>0.78740157480314965</v>
      </c>
      <c r="AB10" s="703">
        <f t="shared" si="4"/>
        <v>0.78740157480314965</v>
      </c>
      <c r="AC10" s="703">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8"/>
      <c r="Q20" s="1351"/>
      <c r="R20" s="704"/>
      <c r="S20" s="705"/>
      <c r="T20" s="704"/>
      <c r="U20" s="705"/>
      <c r="V20" s="704"/>
      <c r="W20" s="705"/>
      <c r="X20" s="1354"/>
      <c r="Y20" s="3688"/>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8"/>
      <c r="Q23" s="1342" t="str">
        <f t="shared" si="8"/>
        <v>公共配套设施</v>
      </c>
      <c r="R23" s="700" t="s">
        <v>14</v>
      </c>
      <c r="S23" s="701">
        <f>F23</f>
        <v>100</v>
      </c>
      <c r="T23" s="700" t="s">
        <v>14</v>
      </c>
      <c r="U23" s="701">
        <f>H23</f>
        <v>100</v>
      </c>
      <c r="V23" s="700" t="s">
        <v>14</v>
      </c>
      <c r="W23" s="701">
        <f>J23</f>
        <v>100</v>
      </c>
      <c r="X23" s="702"/>
      <c r="Y23" s="3688"/>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88"/>
      <c r="Q24" s="1342"/>
      <c r="R24" s="700"/>
      <c r="S24" s="701"/>
      <c r="T24" s="700"/>
      <c r="U24" s="701"/>
      <c r="V24" s="700"/>
      <c r="W24" s="701"/>
      <c r="X24" s="702"/>
      <c r="Y24" s="3688"/>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8"/>
      <c r="Q25" s="1342"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88"/>
      <c r="Q26" s="1342"/>
      <c r="R26" s="700"/>
      <c r="S26" s="701"/>
      <c r="T26" s="700"/>
      <c r="U26" s="701"/>
      <c r="V26" s="700"/>
      <c r="W26" s="701"/>
      <c r="X26" s="702"/>
      <c r="Y26" s="368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8"/>
      <c r="Q29" s="1351"/>
      <c r="R29" s="704"/>
      <c r="S29" s="705"/>
      <c r="T29" s="704"/>
      <c r="U29" s="705"/>
      <c r="V29" s="704"/>
      <c r="W29" s="705"/>
      <c r="X29" s="1354"/>
      <c r="Y29" s="368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89" t="s">
        <v>1696</v>
      </c>
      <c r="Q32" s="1351">
        <f t="shared" si="8"/>
        <v>111</v>
      </c>
      <c r="R32" s="704" t="s">
        <v>14</v>
      </c>
      <c r="S32" s="705">
        <f t="shared" si="10"/>
        <v>100</v>
      </c>
      <c r="T32" s="704" t="s">
        <v>14</v>
      </c>
      <c r="U32" s="705">
        <f t="shared" si="11"/>
        <v>100</v>
      </c>
      <c r="V32" s="704" t="s">
        <v>14</v>
      </c>
      <c r="W32" s="705">
        <f t="shared" si="12"/>
        <v>100</v>
      </c>
      <c r="X32" s="1354"/>
      <c r="Y32" s="369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0"/>
      <c r="Q33" s="1351">
        <f t="shared" si="8"/>
        <v>111</v>
      </c>
      <c r="R33" s="707" t="s">
        <v>14</v>
      </c>
      <c r="S33" s="708">
        <f t="shared" si="10"/>
        <v>100</v>
      </c>
      <c r="T33" s="707" t="s">
        <v>14</v>
      </c>
      <c r="U33" s="708">
        <f t="shared" si="11"/>
        <v>100</v>
      </c>
      <c r="V33" s="707" t="s">
        <v>14</v>
      </c>
      <c r="W33" s="708">
        <f t="shared" si="12"/>
        <v>100</v>
      </c>
      <c r="X33" s="709"/>
      <c r="Y33" s="369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0"/>
      <c r="Q34" s="1351" t="str">
        <f>B34</f>
        <v>宗地面积</v>
      </c>
      <c r="R34" s="704" t="s">
        <v>14</v>
      </c>
      <c r="S34" s="705" t="e">
        <f t="shared" si="10"/>
        <v>#N/A</v>
      </c>
      <c r="T34" s="704" t="s">
        <v>14</v>
      </c>
      <c r="U34" s="705" t="e">
        <f t="shared" si="11"/>
        <v>#N/A</v>
      </c>
      <c r="V34" s="704" t="s">
        <v>14</v>
      </c>
      <c r="W34" s="705" t="e">
        <f t="shared" si="12"/>
        <v>#N/A</v>
      </c>
      <c r="X34" s="1354"/>
      <c r="Y34" s="369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0"/>
      <c r="Q35" s="1351" t="str">
        <f t="shared" ref="Q35:Q40" si="14">B35</f>
        <v>宗地形状</v>
      </c>
      <c r="R35" s="704" t="s">
        <v>14</v>
      </c>
      <c r="S35" s="705">
        <f t="shared" si="10"/>
        <v>100</v>
      </c>
      <c r="T35" s="704" t="s">
        <v>14</v>
      </c>
      <c r="U35" s="705">
        <f t="shared" si="11"/>
        <v>100</v>
      </c>
      <c r="V35" s="704" t="s">
        <v>14</v>
      </c>
      <c r="W35" s="705">
        <f t="shared" si="12"/>
        <v>100</v>
      </c>
      <c r="X35" s="1354"/>
      <c r="Y35" s="3690"/>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0"/>
      <c r="Q36" s="1351" t="str">
        <f t="shared" si="14"/>
        <v>宗地开发程度</v>
      </c>
      <c r="R36" s="700" t="s">
        <v>14</v>
      </c>
      <c r="S36" s="701">
        <f t="shared" si="10"/>
        <v>100</v>
      </c>
      <c r="T36" s="700" t="s">
        <v>14</v>
      </c>
      <c r="U36" s="701">
        <f t="shared" si="11"/>
        <v>100</v>
      </c>
      <c r="V36" s="700" t="s">
        <v>14</v>
      </c>
      <c r="W36" s="701">
        <f t="shared" si="12"/>
        <v>100</v>
      </c>
      <c r="X36" s="702"/>
      <c r="Y36" s="3690"/>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0" t="s">
        <v>1696</v>
      </c>
      <c r="Q37" s="1351" t="str">
        <f t="shared" si="14"/>
        <v>工程地质条件</v>
      </c>
      <c r="R37" s="704" t="s">
        <v>14</v>
      </c>
      <c r="S37" s="705">
        <f t="shared" si="10"/>
        <v>100</v>
      </c>
      <c r="T37" s="704" t="s">
        <v>14</v>
      </c>
      <c r="U37" s="705">
        <f t="shared" si="11"/>
        <v>100</v>
      </c>
      <c r="V37" s="704" t="s">
        <v>14</v>
      </c>
      <c r="W37" s="705">
        <f t="shared" si="12"/>
        <v>100</v>
      </c>
      <c r="X37" s="1354"/>
      <c r="Y37" s="369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0"/>
      <c r="Q38" s="1351">
        <f t="shared" si="14"/>
        <v>111</v>
      </c>
      <c r="R38" s="704" t="s">
        <v>14</v>
      </c>
      <c r="S38" s="705">
        <f t="shared" si="10"/>
        <v>100</v>
      </c>
      <c r="T38" s="704" t="s">
        <v>14</v>
      </c>
      <c r="U38" s="705">
        <f t="shared" si="11"/>
        <v>100</v>
      </c>
      <c r="V38" s="704" t="s">
        <v>14</v>
      </c>
      <c r="W38" s="705">
        <f t="shared" si="12"/>
        <v>100</v>
      </c>
      <c r="X38" s="1354"/>
      <c r="Y38" s="369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0"/>
      <c r="Q39" s="1351">
        <f t="shared" si="14"/>
        <v>111</v>
      </c>
      <c r="R39" s="704" t="s">
        <v>14</v>
      </c>
      <c r="S39" s="705">
        <f t="shared" si="10"/>
        <v>100</v>
      </c>
      <c r="T39" s="704" t="s">
        <v>14</v>
      </c>
      <c r="U39" s="705">
        <f t="shared" si="11"/>
        <v>100</v>
      </c>
      <c r="V39" s="704" t="s">
        <v>14</v>
      </c>
      <c r="W39" s="705">
        <f t="shared" si="12"/>
        <v>100</v>
      </c>
      <c r="X39" s="1354"/>
      <c r="Y39" s="369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0"/>
      <c r="Q40" s="1351">
        <f t="shared" si="14"/>
        <v>111</v>
      </c>
      <c r="R40" s="707" t="s">
        <v>14</v>
      </c>
      <c r="S40" s="708">
        <f t="shared" si="10"/>
        <v>100</v>
      </c>
      <c r="T40" s="707" t="s">
        <v>14</v>
      </c>
      <c r="U40" s="708">
        <f t="shared" si="11"/>
        <v>100</v>
      </c>
      <c r="V40" s="707" t="s">
        <v>14</v>
      </c>
      <c r="W40" s="708">
        <f t="shared" si="12"/>
        <v>100</v>
      </c>
      <c r="X40" s="709"/>
      <c r="Y40" s="3690"/>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2" t="str">
        <f>A41</f>
        <v>成交单价</v>
      </c>
      <c r="Q41" s="3672"/>
      <c r="R41" s="3685">
        <f>E41</f>
        <v>0</v>
      </c>
      <c r="S41" s="3685"/>
      <c r="T41" s="3685">
        <f>G41</f>
        <v>0</v>
      </c>
      <c r="U41" s="3685"/>
      <c r="V41" s="3685">
        <f>I41</f>
        <v>0</v>
      </c>
      <c r="W41" s="368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72" t="str">
        <f>A42</f>
        <v>比较价值（元/平方米）</v>
      </c>
      <c r="Q42" s="3672"/>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3" t="str">
        <f>A43</f>
        <v>估价对象XX用房的比较价值（楼面单价，元/平方米）</v>
      </c>
      <c r="Q43" s="3694"/>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794.57</v>
      </c>
      <c r="F51" s="638" t="e">
        <f t="shared" ref="F51:F60" si="15">ROUND(B51*E51/10000,0)</f>
        <v>#DIV/0!</v>
      </c>
      <c r="G51" s="3699"/>
      <c r="H51" s="367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6" t="s">
        <v>27</v>
      </c>
      <c r="D22" s="3767"/>
      <c r="E22" s="3767"/>
      <c r="F22" s="3767"/>
      <c r="G22" s="3767"/>
      <c r="H22" s="3767"/>
      <c r="I22" s="3767"/>
      <c r="J22" s="3767"/>
      <c r="K22" s="3767"/>
      <c r="L22" s="3767"/>
      <c r="M22" s="3767"/>
      <c r="N22" s="3767"/>
      <c r="O22" s="3767"/>
      <c r="P22" s="3767"/>
      <c r="Q22" s="376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794.57</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794.57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9" t="s">
        <v>2609</v>
      </c>
      <c r="B20" s="3772" t="s">
        <v>2630</v>
      </c>
      <c r="C20" s="3102" t="s">
        <v>2441</v>
      </c>
      <c r="D20" s="3103"/>
      <c r="E20" s="3104">
        <v>1</v>
      </c>
      <c r="F20" s="3105" t="s">
        <v>2442</v>
      </c>
      <c r="G20" s="3105"/>
    </row>
    <row r="21" spans="1:13" ht="19.5" customHeight="1">
      <c r="A21" s="3780"/>
      <c r="B21" s="3773"/>
      <c r="C21" s="3106" t="s">
        <v>2443</v>
      </c>
      <c r="D21" s="3107"/>
      <c r="E21" s="3108">
        <v>1</v>
      </c>
      <c r="F21" s="3105" t="s">
        <v>2444</v>
      </c>
      <c r="G21" s="3105"/>
    </row>
    <row r="22" spans="1:13" ht="19.5" customHeight="1">
      <c r="A22" s="3780"/>
      <c r="B22" s="3773"/>
      <c r="C22" s="3106" t="s">
        <v>2445</v>
      </c>
      <c r="D22" s="3107"/>
      <c r="E22" s="3108">
        <v>0.9</v>
      </c>
      <c r="F22" s="3105" t="s">
        <v>2446</v>
      </c>
      <c r="G22" s="3105"/>
    </row>
    <row r="23" spans="1:13" ht="19.5" customHeight="1">
      <c r="A23" s="3780"/>
      <c r="B23" s="3773"/>
      <c r="C23" s="3106" t="s">
        <v>2447</v>
      </c>
      <c r="D23" s="3107"/>
      <c r="E23" s="3108">
        <v>0.9</v>
      </c>
      <c r="F23" s="3105" t="s">
        <v>2448</v>
      </c>
      <c r="G23" s="3105"/>
    </row>
    <row r="24" spans="1:13" ht="19.5" customHeight="1">
      <c r="A24" s="3780"/>
      <c r="B24" s="3773"/>
      <c r="C24" s="3106" t="s">
        <v>2449</v>
      </c>
      <c r="D24" s="3107"/>
      <c r="E24" s="3108">
        <v>0.8</v>
      </c>
      <c r="F24" s="3105" t="s">
        <v>2450</v>
      </c>
      <c r="G24" s="3105"/>
    </row>
    <row r="25" spans="1:13" ht="19.5" customHeight="1" thickBot="1">
      <c r="A25" s="3781"/>
      <c r="B25" s="3774"/>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5" t="s">
        <v>2633</v>
      </c>
      <c r="B27" s="3772" t="s">
        <v>2614</v>
      </c>
      <c r="C27" s="3102" t="s">
        <v>2454</v>
      </c>
      <c r="D27" s="3103"/>
      <c r="E27" s="3104">
        <v>1</v>
      </c>
      <c r="F27" s="3105" t="s">
        <v>2455</v>
      </c>
      <c r="G27" s="3105"/>
    </row>
    <row r="28" spans="1:13" ht="19.5" customHeight="1">
      <c r="A28" s="3776"/>
      <c r="B28" s="3773"/>
      <c r="C28" s="3106" t="s">
        <v>2456</v>
      </c>
      <c r="D28" s="3107"/>
      <c r="E28" s="3108">
        <v>1</v>
      </c>
      <c r="F28" s="3105" t="s">
        <v>2457</v>
      </c>
      <c r="G28" s="3105"/>
    </row>
    <row r="29" spans="1:13" ht="19.5" customHeight="1">
      <c r="A29" s="3776"/>
      <c r="B29" s="3773"/>
      <c r="C29" s="3106" t="s">
        <v>2458</v>
      </c>
      <c r="D29" s="3107"/>
      <c r="E29" s="3108">
        <v>0.8</v>
      </c>
      <c r="F29" s="3105" t="s">
        <v>2459</v>
      </c>
      <c r="G29" s="3105"/>
    </row>
    <row r="30" spans="1:13" ht="19.5" customHeight="1">
      <c r="A30" s="3776"/>
      <c r="B30" s="3773"/>
      <c r="C30" s="3106" t="s">
        <v>2460</v>
      </c>
      <c r="D30" s="3107"/>
      <c r="E30" s="3108">
        <v>0.8</v>
      </c>
      <c r="F30" s="3105" t="s">
        <v>2461</v>
      </c>
      <c r="G30" s="3105"/>
    </row>
    <row r="31" spans="1:13" ht="19.5" customHeight="1">
      <c r="A31" s="3776"/>
      <c r="B31" s="3773"/>
      <c r="C31" s="3106" t="s">
        <v>2462</v>
      </c>
      <c r="D31" s="3107"/>
      <c r="E31" s="3108">
        <v>0.8</v>
      </c>
      <c r="F31" s="3105" t="s">
        <v>2463</v>
      </c>
      <c r="G31" s="3105"/>
    </row>
    <row r="32" spans="1:13" ht="19.5" customHeight="1">
      <c r="A32" s="3776"/>
      <c r="B32" s="3773"/>
      <c r="C32" s="3106" t="s">
        <v>2464</v>
      </c>
      <c r="D32" s="3107"/>
      <c r="E32" s="3108">
        <v>0.7</v>
      </c>
      <c r="F32" s="3105" t="s">
        <v>2465</v>
      </c>
      <c r="G32" s="3105"/>
    </row>
    <row r="33" spans="1:7" ht="19.5" customHeight="1">
      <c r="A33" s="3776"/>
      <c r="B33" s="3773"/>
      <c r="C33" s="3106" t="s">
        <v>2466</v>
      </c>
      <c r="D33" s="3107"/>
      <c r="E33" s="3108">
        <v>0.8</v>
      </c>
      <c r="F33" s="3105" t="s">
        <v>2467</v>
      </c>
      <c r="G33" s="3105"/>
    </row>
    <row r="34" spans="1:7" ht="19.5" customHeight="1">
      <c r="A34" s="3776"/>
      <c r="B34" s="3773"/>
      <c r="C34" s="3106" t="s">
        <v>2468</v>
      </c>
      <c r="D34" s="3107"/>
      <c r="E34" s="3108">
        <v>0.6</v>
      </c>
      <c r="F34" s="3105" t="s">
        <v>2469</v>
      </c>
      <c r="G34" s="3105"/>
    </row>
    <row r="35" spans="1:7" ht="19.5" customHeight="1">
      <c r="A35" s="3776"/>
      <c r="B35" s="3773"/>
      <c r="C35" s="3106" t="s">
        <v>2470</v>
      </c>
      <c r="D35" s="3107"/>
      <c r="E35" s="3108">
        <v>0.2</v>
      </c>
      <c r="F35" s="3105" t="s">
        <v>2471</v>
      </c>
      <c r="G35" s="3105"/>
    </row>
    <row r="36" spans="1:7" ht="19.5" customHeight="1">
      <c r="A36" s="3776"/>
      <c r="B36" s="3773"/>
      <c r="C36" s="3106" t="s">
        <v>2472</v>
      </c>
      <c r="D36" s="3107"/>
      <c r="E36" s="3108">
        <v>0.2</v>
      </c>
      <c r="F36" s="3105" t="s">
        <v>2473</v>
      </c>
      <c r="G36" s="3105"/>
    </row>
    <row r="37" spans="1:7" ht="19.5" customHeight="1">
      <c r="A37" s="3776"/>
      <c r="B37" s="3778" t="s">
        <v>2634</v>
      </c>
      <c r="C37" s="3106" t="s">
        <v>2474</v>
      </c>
      <c r="D37" s="3107"/>
      <c r="E37" s="3108">
        <v>0.6</v>
      </c>
      <c r="F37" s="3105" t="s">
        <v>2475</v>
      </c>
      <c r="G37" s="3105"/>
    </row>
    <row r="38" spans="1:7" ht="19.5" customHeight="1">
      <c r="A38" s="3776"/>
      <c r="B38" s="3773"/>
      <c r="C38" s="3106" t="s">
        <v>2476</v>
      </c>
      <c r="D38" s="3107"/>
      <c r="E38" s="3108">
        <v>0.6</v>
      </c>
      <c r="F38" s="3105" t="s">
        <v>2477</v>
      </c>
      <c r="G38" s="3105"/>
    </row>
    <row r="39" spans="1:7" ht="19.5" customHeight="1" thickBot="1">
      <c r="A39" s="3777"/>
      <c r="B39" s="3774"/>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9" t="s">
        <v>2612</v>
      </c>
      <c r="B41" s="3772" t="s">
        <v>2636</v>
      </c>
      <c r="C41" s="3102" t="s">
        <v>2481</v>
      </c>
      <c r="D41" s="3103"/>
      <c r="E41" s="3104">
        <v>1</v>
      </c>
      <c r="F41" s="3105" t="s">
        <v>2482</v>
      </c>
      <c r="G41" s="3105"/>
    </row>
    <row r="42" spans="1:7" ht="19.5" customHeight="1">
      <c r="A42" s="3780"/>
      <c r="B42" s="3773"/>
      <c r="C42" s="3106" t="s">
        <v>2483</v>
      </c>
      <c r="D42" s="3107"/>
      <c r="E42" s="3108">
        <v>1</v>
      </c>
      <c r="F42" s="3105" t="s">
        <v>2484</v>
      </c>
      <c r="G42" s="3105"/>
    </row>
    <row r="43" spans="1:7" ht="19.5" customHeight="1">
      <c r="A43" s="3780"/>
      <c r="B43" s="3782"/>
      <c r="C43" s="3106" t="s">
        <v>2485</v>
      </c>
      <c r="D43" s="3107"/>
      <c r="E43" s="3108">
        <v>1.5</v>
      </c>
      <c r="F43" s="3105" t="s">
        <v>2486</v>
      </c>
      <c r="G43" s="3105"/>
    </row>
    <row r="44" spans="1:7" ht="19.5" customHeight="1">
      <c r="A44" s="3780"/>
      <c r="B44" s="3117" t="s">
        <v>2637</v>
      </c>
      <c r="C44" s="3106" t="s">
        <v>2638</v>
      </c>
      <c r="D44" s="3107"/>
      <c r="E44" s="3108">
        <v>2</v>
      </c>
      <c r="F44" s="3105" t="s">
        <v>2487</v>
      </c>
      <c r="G44" s="3105"/>
    </row>
    <row r="45" spans="1:7" ht="19.5" customHeight="1">
      <c r="A45" s="3780"/>
      <c r="B45" s="3778" t="s">
        <v>2639</v>
      </c>
      <c r="C45" s="3106" t="s">
        <v>2488</v>
      </c>
      <c r="D45" s="3107"/>
      <c r="E45" s="3108">
        <v>1</v>
      </c>
      <c r="F45" s="3105" t="s">
        <v>2489</v>
      </c>
      <c r="G45" s="3105"/>
    </row>
    <row r="46" spans="1:7" ht="19.5" customHeight="1">
      <c r="A46" s="3780"/>
      <c r="B46" s="3773"/>
      <c r="C46" s="3106" t="s">
        <v>2490</v>
      </c>
      <c r="D46" s="3107"/>
      <c r="E46" s="3108">
        <v>1</v>
      </c>
      <c r="F46" s="3105" t="s">
        <v>2491</v>
      </c>
      <c r="G46" s="3105"/>
    </row>
    <row r="47" spans="1:7" ht="19.5" customHeight="1">
      <c r="A47" s="3780"/>
      <c r="B47" s="3773"/>
      <c r="C47" s="3106" t="s">
        <v>2492</v>
      </c>
      <c r="D47" s="3107"/>
      <c r="E47" s="3108">
        <v>1</v>
      </c>
      <c r="F47" s="3105" t="s">
        <v>2493</v>
      </c>
      <c r="G47" s="3105"/>
    </row>
    <row r="48" spans="1:7" ht="19.5" customHeight="1">
      <c r="A48" s="3780"/>
      <c r="B48" s="3773"/>
      <c r="C48" s="3106" t="s">
        <v>2494</v>
      </c>
      <c r="D48" s="3107"/>
      <c r="E48" s="3108">
        <v>1</v>
      </c>
      <c r="F48" s="3105" t="s">
        <v>2495</v>
      </c>
      <c r="G48" s="3105"/>
    </row>
    <row r="49" spans="1:7" ht="19.5" customHeight="1">
      <c r="A49" s="3780"/>
      <c r="B49" s="3773"/>
      <c r="C49" s="3106" t="s">
        <v>2496</v>
      </c>
      <c r="D49" s="3107"/>
      <c r="E49" s="3108">
        <v>1</v>
      </c>
      <c r="F49" s="3105" t="s">
        <v>2497</v>
      </c>
      <c r="G49" s="3105"/>
    </row>
    <row r="50" spans="1:7" ht="19.5" customHeight="1">
      <c r="A50" s="3780"/>
      <c r="B50" s="3773"/>
      <c r="C50" s="3106" t="s">
        <v>2498</v>
      </c>
      <c r="D50" s="3107"/>
      <c r="E50" s="3108">
        <v>1</v>
      </c>
      <c r="F50" s="3105" t="s">
        <v>2499</v>
      </c>
      <c r="G50" s="3105"/>
    </row>
    <row r="51" spans="1:7" ht="19.5" customHeight="1" thickBot="1">
      <c r="A51" s="3781"/>
      <c r="B51" s="3774"/>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8" t="s">
        <v>2653</v>
      </c>
      <c r="C73" s="3091" t="s">
        <v>2654</v>
      </c>
      <c r="D73" s="3091" t="s">
        <v>2655</v>
      </c>
      <c r="E73" s="3117">
        <v>0.2</v>
      </c>
      <c r="F73" s="3117">
        <v>25</v>
      </c>
    </row>
    <row r="74" spans="1:7" ht="24">
      <c r="A74" s="3117">
        <v>2</v>
      </c>
      <c r="B74" s="3773"/>
      <c r="C74" s="3091" t="s">
        <v>2656</v>
      </c>
      <c r="D74" s="3091" t="s">
        <v>2657</v>
      </c>
      <c r="E74" s="3117">
        <v>0.2</v>
      </c>
      <c r="F74" s="3117">
        <v>25</v>
      </c>
    </row>
    <row r="75" spans="1:7" ht="24">
      <c r="A75" s="3117">
        <v>3</v>
      </c>
      <c r="B75" s="3773"/>
      <c r="C75" s="3091" t="s">
        <v>2658</v>
      </c>
      <c r="D75" s="3091" t="s">
        <v>2659</v>
      </c>
      <c r="E75" s="3117">
        <v>0.2</v>
      </c>
      <c r="F75" s="3117">
        <v>25</v>
      </c>
    </row>
    <row r="76" spans="1:7" ht="13.5">
      <c r="A76" s="3117">
        <v>4</v>
      </c>
      <c r="B76" s="3773"/>
      <c r="C76" s="3091" t="s">
        <v>2660</v>
      </c>
      <c r="D76" s="3091" t="s">
        <v>2661</v>
      </c>
      <c r="E76" s="3117">
        <v>0.15</v>
      </c>
      <c r="F76" s="3117">
        <v>20</v>
      </c>
    </row>
    <row r="77" spans="1:7" ht="24">
      <c r="A77" s="3117">
        <v>5</v>
      </c>
      <c r="B77" s="3773"/>
      <c r="C77" s="3091" t="s">
        <v>2662</v>
      </c>
      <c r="D77" s="3091" t="s">
        <v>2663</v>
      </c>
      <c r="E77" s="3117">
        <v>0.15</v>
      </c>
      <c r="F77" s="3117">
        <v>20</v>
      </c>
    </row>
    <row r="78" spans="1:7" ht="24">
      <c r="A78" s="3117">
        <v>6</v>
      </c>
      <c r="B78" s="3773"/>
      <c r="C78" s="3091" t="s">
        <v>2664</v>
      </c>
      <c r="D78" s="3091" t="s">
        <v>2665</v>
      </c>
      <c r="E78" s="3117">
        <v>0.15</v>
      </c>
      <c r="F78" s="3117">
        <v>20</v>
      </c>
    </row>
    <row r="79" spans="1:7" ht="24">
      <c r="A79" s="3117">
        <v>7</v>
      </c>
      <c r="B79" s="3773"/>
      <c r="C79" s="3091" t="s">
        <v>2666</v>
      </c>
      <c r="D79" s="3091" t="s">
        <v>2667</v>
      </c>
      <c r="E79" s="3117">
        <v>0.15</v>
      </c>
      <c r="F79" s="3117">
        <v>20</v>
      </c>
    </row>
    <row r="80" spans="1:7" ht="24">
      <c r="A80" s="3117">
        <v>8</v>
      </c>
      <c r="B80" s="3773"/>
      <c r="C80" s="3091" t="s">
        <v>2668</v>
      </c>
      <c r="D80" s="3091" t="s">
        <v>2669</v>
      </c>
      <c r="E80" s="3117">
        <v>0.1</v>
      </c>
      <c r="F80" s="3117">
        <v>15</v>
      </c>
    </row>
    <row r="81" spans="1:6" ht="24">
      <c r="A81" s="3117">
        <v>9</v>
      </c>
      <c r="B81" s="3773"/>
      <c r="C81" s="3091" t="s">
        <v>2670</v>
      </c>
      <c r="D81" s="3091" t="s">
        <v>2671</v>
      </c>
      <c r="E81" s="3117">
        <v>0.1</v>
      </c>
      <c r="F81" s="3117">
        <v>15</v>
      </c>
    </row>
    <row r="82" spans="1:6" ht="24">
      <c r="A82" s="3117">
        <v>10</v>
      </c>
      <c r="B82" s="3773"/>
      <c r="C82" s="3091" t="s">
        <v>2672</v>
      </c>
      <c r="D82" s="3091" t="s">
        <v>2673</v>
      </c>
      <c r="E82" s="3117">
        <v>0.1</v>
      </c>
      <c r="F82" s="3117">
        <v>15</v>
      </c>
    </row>
    <row r="83" spans="1:6" ht="24">
      <c r="A83" s="3117">
        <v>11</v>
      </c>
      <c r="B83" s="3773"/>
      <c r="C83" s="3091" t="s">
        <v>2674</v>
      </c>
      <c r="D83" s="3091" t="s">
        <v>2675</v>
      </c>
      <c r="E83" s="3117">
        <v>0.1</v>
      </c>
      <c r="F83" s="3117">
        <v>15</v>
      </c>
    </row>
    <row r="84" spans="1:6" ht="24">
      <c r="A84" s="3117">
        <v>12</v>
      </c>
      <c r="B84" s="3773"/>
      <c r="C84" s="3091" t="s">
        <v>2676</v>
      </c>
      <c r="D84" s="3091" t="s">
        <v>2677</v>
      </c>
      <c r="E84" s="3117">
        <v>0.1</v>
      </c>
      <c r="F84" s="3117">
        <v>15</v>
      </c>
    </row>
    <row r="85" spans="1:6" ht="13.5">
      <c r="A85" s="3117">
        <v>13</v>
      </c>
      <c r="B85" s="3773"/>
      <c r="C85" s="3091" t="s">
        <v>2678</v>
      </c>
      <c r="D85" s="3091" t="s">
        <v>2679</v>
      </c>
      <c r="E85" s="3117">
        <v>0.1</v>
      </c>
      <c r="F85" s="3117">
        <v>15</v>
      </c>
    </row>
    <row r="86" spans="1:6" ht="13.5">
      <c r="A86" s="3117">
        <v>14</v>
      </c>
      <c r="B86" s="3773"/>
      <c r="C86" s="3091" t="s">
        <v>2680</v>
      </c>
      <c r="D86" s="3091" t="s">
        <v>2681</v>
      </c>
      <c r="E86" s="3117">
        <v>0.1</v>
      </c>
      <c r="F86" s="3117">
        <v>15</v>
      </c>
    </row>
    <row r="87" spans="1:6" ht="13.5">
      <c r="A87" s="3117">
        <v>15</v>
      </c>
      <c r="B87" s="3773"/>
      <c r="C87" s="3091" t="s">
        <v>2682</v>
      </c>
      <c r="D87" s="3091" t="s">
        <v>2683</v>
      </c>
      <c r="E87" s="3117">
        <v>0.1</v>
      </c>
      <c r="F87" s="3117">
        <v>15</v>
      </c>
    </row>
    <row r="88" spans="1:6" ht="24">
      <c r="A88" s="3117">
        <v>16</v>
      </c>
      <c r="B88" s="3773"/>
      <c r="C88" s="3091" t="s">
        <v>2684</v>
      </c>
      <c r="D88" s="3091" t="s">
        <v>2685</v>
      </c>
      <c r="E88" s="3117">
        <v>0.1</v>
      </c>
      <c r="F88" s="3117">
        <v>15</v>
      </c>
    </row>
    <row r="89" spans="1:6" ht="24">
      <c r="A89" s="3117">
        <v>17</v>
      </c>
      <c r="B89" s="3782"/>
      <c r="C89" s="3091" t="s">
        <v>2686</v>
      </c>
      <c r="D89" s="3091" t="s">
        <v>2687</v>
      </c>
      <c r="E89" s="3117">
        <v>0.1</v>
      </c>
      <c r="F89" s="3117">
        <v>15</v>
      </c>
    </row>
    <row r="90" spans="1:6" ht="13.5">
      <c r="A90" s="3117">
        <v>18</v>
      </c>
      <c r="B90" s="3778" t="s">
        <v>2688</v>
      </c>
      <c r="C90" s="3091" t="s">
        <v>2689</v>
      </c>
      <c r="D90" s="3091" t="s">
        <v>2690</v>
      </c>
      <c r="E90" s="3117">
        <v>0.2</v>
      </c>
      <c r="F90" s="3117">
        <v>25</v>
      </c>
    </row>
    <row r="91" spans="1:6" ht="24">
      <c r="A91" s="3117">
        <v>19</v>
      </c>
      <c r="B91" s="3773"/>
      <c r="C91" s="3091" t="s">
        <v>2691</v>
      </c>
      <c r="D91" s="3091" t="s">
        <v>2692</v>
      </c>
      <c r="E91" s="3117">
        <v>0.2</v>
      </c>
      <c r="F91" s="3117">
        <v>25</v>
      </c>
    </row>
    <row r="92" spans="1:6" ht="13.5">
      <c r="A92" s="3117">
        <v>20</v>
      </c>
      <c r="B92" s="3773"/>
      <c r="C92" s="3091" t="s">
        <v>2693</v>
      </c>
      <c r="D92" s="3091" t="s">
        <v>2694</v>
      </c>
      <c r="E92" s="3117">
        <v>0.15</v>
      </c>
      <c r="F92" s="3117">
        <v>20</v>
      </c>
    </row>
    <row r="93" spans="1:6" ht="13.5">
      <c r="A93" s="3117">
        <v>21</v>
      </c>
      <c r="B93" s="3773"/>
      <c r="C93" s="3091" t="s">
        <v>2695</v>
      </c>
      <c r="D93" s="3091" t="s">
        <v>2696</v>
      </c>
      <c r="E93" s="3117">
        <v>0.15</v>
      </c>
      <c r="F93" s="3117">
        <v>20</v>
      </c>
    </row>
    <row r="94" spans="1:6" ht="13.5">
      <c r="A94" s="3117">
        <v>22</v>
      </c>
      <c r="B94" s="3773"/>
      <c r="C94" s="3091" t="s">
        <v>2697</v>
      </c>
      <c r="D94" s="3091" t="s">
        <v>2698</v>
      </c>
      <c r="E94" s="3117">
        <v>0.15</v>
      </c>
      <c r="F94" s="3117">
        <v>20</v>
      </c>
    </row>
    <row r="95" spans="1:6" ht="36">
      <c r="A95" s="3117">
        <v>23</v>
      </c>
      <c r="B95" s="3773"/>
      <c r="C95" s="3091" t="s">
        <v>2699</v>
      </c>
      <c r="D95" s="3091" t="s">
        <v>2700</v>
      </c>
      <c r="E95" s="3117">
        <v>0.15</v>
      </c>
      <c r="F95" s="3117">
        <v>20</v>
      </c>
    </row>
    <row r="96" spans="1:6" ht="13.5">
      <c r="A96" s="3117">
        <v>24</v>
      </c>
      <c r="B96" s="3773"/>
      <c r="C96" s="3091" t="s">
        <v>2701</v>
      </c>
      <c r="D96" s="3091" t="s">
        <v>2702</v>
      </c>
      <c r="E96" s="3117">
        <v>0.1</v>
      </c>
      <c r="F96" s="3117">
        <v>15</v>
      </c>
    </row>
    <row r="97" spans="1:6" ht="13.5">
      <c r="A97" s="3117">
        <v>25</v>
      </c>
      <c r="B97" s="3773"/>
      <c r="C97" s="3091" t="s">
        <v>2703</v>
      </c>
      <c r="D97" s="3091" t="s">
        <v>2704</v>
      </c>
      <c r="E97" s="3117">
        <v>0.1</v>
      </c>
      <c r="F97" s="3117">
        <v>15</v>
      </c>
    </row>
    <row r="98" spans="1:6" ht="24">
      <c r="A98" s="3117">
        <v>26</v>
      </c>
      <c r="B98" s="3773"/>
      <c r="C98" s="3091" t="s">
        <v>2705</v>
      </c>
      <c r="D98" s="3091" t="s">
        <v>2706</v>
      </c>
      <c r="E98" s="3117">
        <v>0.1</v>
      </c>
      <c r="F98" s="3117">
        <v>15</v>
      </c>
    </row>
    <row r="99" spans="1:6" ht="24">
      <c r="A99" s="3117">
        <v>27</v>
      </c>
      <c r="B99" s="3773"/>
      <c r="C99" s="3091" t="s">
        <v>2707</v>
      </c>
      <c r="D99" s="3091" t="s">
        <v>2708</v>
      </c>
      <c r="E99" s="3117">
        <v>0.1</v>
      </c>
      <c r="F99" s="3117">
        <v>15</v>
      </c>
    </row>
    <row r="100" spans="1:6" ht="13.5">
      <c r="A100" s="3117">
        <v>28</v>
      </c>
      <c r="B100" s="3773"/>
      <c r="C100" s="3091" t="s">
        <v>2709</v>
      </c>
      <c r="D100" s="3091" t="s">
        <v>2710</v>
      </c>
      <c r="E100" s="3117">
        <v>0.1</v>
      </c>
      <c r="F100" s="3117">
        <v>15</v>
      </c>
    </row>
    <row r="101" spans="1:6" ht="13.5">
      <c r="A101" s="3117">
        <v>29</v>
      </c>
      <c r="B101" s="3773"/>
      <c r="C101" s="3091" t="s">
        <v>2711</v>
      </c>
      <c r="D101" s="3091" t="s">
        <v>2712</v>
      </c>
      <c r="E101" s="3117">
        <v>0.1</v>
      </c>
      <c r="F101" s="3117">
        <v>15</v>
      </c>
    </row>
    <row r="102" spans="1:6" ht="13.5">
      <c r="A102" s="3117">
        <v>30</v>
      </c>
      <c r="B102" s="3773"/>
      <c r="C102" s="3091" t="s">
        <v>2713</v>
      </c>
      <c r="D102" s="3091" t="s">
        <v>2714</v>
      </c>
      <c r="E102" s="3117">
        <v>0.1</v>
      </c>
      <c r="F102" s="3117">
        <v>15</v>
      </c>
    </row>
    <row r="103" spans="1:6" ht="24">
      <c r="A103" s="3117">
        <v>31</v>
      </c>
      <c r="B103" s="3773"/>
      <c r="C103" s="3091" t="s">
        <v>2715</v>
      </c>
      <c r="D103" s="3091" t="s">
        <v>2716</v>
      </c>
      <c r="E103" s="3117">
        <v>0.1</v>
      </c>
      <c r="F103" s="3117">
        <v>15</v>
      </c>
    </row>
    <row r="104" spans="1:6" ht="24">
      <c r="A104" s="3117">
        <v>32</v>
      </c>
      <c r="B104" s="3773"/>
      <c r="C104" s="3091" t="s">
        <v>2717</v>
      </c>
      <c r="D104" s="3091" t="s">
        <v>2718</v>
      </c>
      <c r="E104" s="3117">
        <v>0.1</v>
      </c>
      <c r="F104" s="3117">
        <v>15</v>
      </c>
    </row>
    <row r="105" spans="1:6" ht="24">
      <c r="A105" s="3117">
        <v>33</v>
      </c>
      <c r="B105" s="3773"/>
      <c r="C105" s="3091" t="s">
        <v>2719</v>
      </c>
      <c r="D105" s="3091" t="s">
        <v>2720</v>
      </c>
      <c r="E105" s="3117">
        <v>0.1</v>
      </c>
      <c r="F105" s="3117">
        <v>15</v>
      </c>
    </row>
    <row r="106" spans="1:6" ht="24">
      <c r="A106" s="3117">
        <v>34</v>
      </c>
      <c r="B106" s="3782"/>
      <c r="C106" s="3091" t="s">
        <v>2721</v>
      </c>
      <c r="D106" s="3091" t="s">
        <v>2722</v>
      </c>
      <c r="E106" s="3117">
        <v>0.1</v>
      </c>
      <c r="F106" s="3117">
        <v>15</v>
      </c>
    </row>
    <row r="107" spans="1:6" ht="24">
      <c r="A107" s="3117">
        <v>35</v>
      </c>
      <c r="B107" s="3778" t="s">
        <v>2723</v>
      </c>
      <c r="C107" s="3117" t="s">
        <v>2724</v>
      </c>
      <c r="D107" s="3091" t="s">
        <v>2725</v>
      </c>
      <c r="E107" s="3117">
        <v>0.15</v>
      </c>
      <c r="F107" s="3117">
        <v>20</v>
      </c>
    </row>
    <row r="108" spans="1:6" ht="13.5">
      <c r="A108" s="3117">
        <v>36</v>
      </c>
      <c r="B108" s="3773"/>
      <c r="C108" s="3117" t="s">
        <v>2726</v>
      </c>
      <c r="D108" s="3091" t="s">
        <v>2727</v>
      </c>
      <c r="E108" s="3117">
        <v>0.15</v>
      </c>
      <c r="F108" s="3117">
        <v>20</v>
      </c>
    </row>
    <row r="109" spans="1:6" ht="13.5">
      <c r="A109" s="3117">
        <v>37</v>
      </c>
      <c r="B109" s="3773"/>
      <c r="C109" s="3117" t="s">
        <v>2728</v>
      </c>
      <c r="D109" s="3091" t="s">
        <v>2729</v>
      </c>
      <c r="E109" s="3117">
        <v>0.15</v>
      </c>
      <c r="F109" s="3117">
        <v>20</v>
      </c>
    </row>
    <row r="110" spans="1:6" ht="13.5">
      <c r="A110" s="3117">
        <v>38</v>
      </c>
      <c r="B110" s="3773"/>
      <c r="C110" s="3117" t="s">
        <v>2730</v>
      </c>
      <c r="D110" s="3091" t="s">
        <v>2731</v>
      </c>
      <c r="E110" s="3117">
        <v>0.1</v>
      </c>
      <c r="F110" s="3117">
        <v>15</v>
      </c>
    </row>
    <row r="111" spans="1:6" ht="24">
      <c r="A111" s="3117">
        <v>39</v>
      </c>
      <c r="B111" s="3773"/>
      <c r="C111" s="3117" t="s">
        <v>2732</v>
      </c>
      <c r="D111" s="3091" t="s">
        <v>2733</v>
      </c>
      <c r="E111" s="3117">
        <v>0.1</v>
      </c>
      <c r="F111" s="3117">
        <v>15</v>
      </c>
    </row>
    <row r="112" spans="1:6" ht="24">
      <c r="A112" s="3117">
        <v>40</v>
      </c>
      <c r="B112" s="3782"/>
      <c r="C112" s="3117" t="s">
        <v>2734</v>
      </c>
      <c r="D112" s="3091" t="s">
        <v>2735</v>
      </c>
      <c r="E112" s="3117">
        <v>0.1</v>
      </c>
      <c r="F112" s="3117">
        <v>15</v>
      </c>
    </row>
    <row r="113" spans="1:6" ht="13.5">
      <c r="A113" s="3117">
        <v>41</v>
      </c>
      <c r="B113" s="3783" t="s">
        <v>2736</v>
      </c>
      <c r="C113" s="3117" t="s">
        <v>2737</v>
      </c>
      <c r="D113" s="3091" t="s">
        <v>2738</v>
      </c>
      <c r="E113" s="3117">
        <v>0.1</v>
      </c>
      <c r="F113" s="3117">
        <v>15</v>
      </c>
    </row>
    <row r="114" spans="1:6" ht="13.5">
      <c r="A114" s="3117">
        <v>42</v>
      </c>
      <c r="B114" s="3783"/>
      <c r="C114" s="3117" t="s">
        <v>2739</v>
      </c>
      <c r="D114" s="3091" t="s">
        <v>2740</v>
      </c>
      <c r="E114" s="3117">
        <v>0.1</v>
      </c>
      <c r="F114" s="3117">
        <v>15</v>
      </c>
    </row>
    <row r="115" spans="1:6" ht="24">
      <c r="A115" s="3117">
        <v>43</v>
      </c>
      <c r="B115" s="3783"/>
      <c r="C115" s="3117" t="s">
        <v>2741</v>
      </c>
      <c r="D115" s="3091" t="s">
        <v>2742</v>
      </c>
      <c r="E115" s="3117">
        <v>0.1</v>
      </c>
      <c r="F115" s="3117">
        <v>15</v>
      </c>
    </row>
    <row r="116" spans="1:6" ht="13.5">
      <c r="A116" s="3117">
        <v>44</v>
      </c>
      <c r="B116" s="3778" t="s">
        <v>2743</v>
      </c>
      <c r="C116" s="3117" t="s">
        <v>2744</v>
      </c>
      <c r="D116" s="3091" t="s">
        <v>2745</v>
      </c>
      <c r="E116" s="3117">
        <v>0.1</v>
      </c>
      <c r="F116" s="3117">
        <v>15</v>
      </c>
    </row>
    <row r="117" spans="1:6" ht="24">
      <c r="A117" s="3117">
        <v>45</v>
      </c>
      <c r="B117" s="3782"/>
      <c r="C117" s="3091" t="s">
        <v>2746</v>
      </c>
      <c r="D117" s="3091" t="s">
        <v>2747</v>
      </c>
      <c r="E117" s="3117">
        <v>0.1</v>
      </c>
      <c r="F117" s="3117">
        <v>15</v>
      </c>
    </row>
    <row r="118" spans="1:6" ht="24">
      <c r="A118" s="3117">
        <v>46</v>
      </c>
      <c r="B118" s="3778" t="s">
        <v>2748</v>
      </c>
      <c r="C118" s="3117" t="s">
        <v>2749</v>
      </c>
      <c r="D118" s="3091" t="s">
        <v>2750</v>
      </c>
      <c r="E118" s="3117">
        <v>0.1</v>
      </c>
      <c r="F118" s="3117">
        <v>15</v>
      </c>
    </row>
    <row r="119" spans="1:6" ht="24">
      <c r="A119" s="3117">
        <v>47</v>
      </c>
      <c r="B119" s="3782"/>
      <c r="C119" s="3117" t="s">
        <v>2751</v>
      </c>
      <c r="D119" s="3091" t="s">
        <v>2752</v>
      </c>
      <c r="E119" s="3117">
        <v>0.1</v>
      </c>
      <c r="F119" s="3117">
        <v>15</v>
      </c>
    </row>
    <row r="120" spans="1:6" ht="13.5">
      <c r="A120" s="3117">
        <v>48</v>
      </c>
      <c r="B120" s="3778" t="s">
        <v>2753</v>
      </c>
      <c r="C120" s="3117" t="s">
        <v>2754</v>
      </c>
      <c r="D120" s="3091" t="s">
        <v>2755</v>
      </c>
      <c r="E120" s="3117">
        <v>0.1</v>
      </c>
      <c r="F120" s="3117">
        <v>15</v>
      </c>
    </row>
    <row r="121" spans="1:6" ht="13.5">
      <c r="A121" s="3117">
        <v>49</v>
      </c>
      <c r="B121" s="3782"/>
      <c r="C121" s="3117" t="s">
        <v>2756</v>
      </c>
      <c r="D121" s="3091" t="s">
        <v>2757</v>
      </c>
      <c r="E121" s="3117">
        <v>0.1</v>
      </c>
      <c r="F121" s="3117">
        <v>15</v>
      </c>
    </row>
    <row r="122" spans="1:6" ht="24">
      <c r="A122" s="3117">
        <v>50</v>
      </c>
      <c r="B122" s="3783" t="s">
        <v>2758</v>
      </c>
      <c r="C122" s="3117" t="s">
        <v>2759</v>
      </c>
      <c r="D122" s="3091" t="s">
        <v>2760</v>
      </c>
      <c r="E122" s="3117">
        <v>0.1</v>
      </c>
      <c r="F122" s="3117">
        <v>15</v>
      </c>
    </row>
    <row r="123" spans="1:6" ht="24">
      <c r="A123" s="3117">
        <v>51</v>
      </c>
      <c r="B123" s="3783"/>
      <c r="C123" s="3117" t="s">
        <v>2761</v>
      </c>
      <c r="D123" s="3091" t="s">
        <v>2762</v>
      </c>
      <c r="E123" s="3117">
        <v>0.1</v>
      </c>
      <c r="F123" s="3117">
        <v>15</v>
      </c>
    </row>
    <row r="124" spans="1:6" ht="24">
      <c r="A124" s="3117">
        <v>52</v>
      </c>
      <c r="B124" s="3783" t="s">
        <v>2763</v>
      </c>
      <c r="C124" s="3117" t="s">
        <v>2764</v>
      </c>
      <c r="D124" s="3091" t="s">
        <v>2765</v>
      </c>
      <c r="E124" s="3117">
        <v>0.1</v>
      </c>
      <c r="F124" s="3117">
        <v>15</v>
      </c>
    </row>
    <row r="125" spans="1:6" ht="24">
      <c r="A125" s="3117">
        <v>53</v>
      </c>
      <c r="B125" s="3783"/>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3" t="s">
        <v>2771</v>
      </c>
      <c r="C127" s="3117" t="s">
        <v>2772</v>
      </c>
      <c r="D127" s="3091" t="s">
        <v>2773</v>
      </c>
      <c r="E127" s="3117">
        <v>0.1</v>
      </c>
      <c r="F127" s="3117">
        <v>15</v>
      </c>
    </row>
    <row r="128" spans="1:6" ht="13.5">
      <c r="A128" s="3117">
        <v>56</v>
      </c>
      <c r="B128" s="3783"/>
      <c r="C128" s="3117" t="s">
        <v>2774</v>
      </c>
      <c r="D128" s="3091" t="s">
        <v>2775</v>
      </c>
      <c r="E128" s="3117">
        <v>0.1</v>
      </c>
      <c r="F128" s="3117">
        <v>15</v>
      </c>
    </row>
    <row r="129" spans="1:6" ht="24">
      <c r="A129" s="3117">
        <v>57</v>
      </c>
      <c r="B129" s="3783"/>
      <c r="C129" s="3117" t="s">
        <v>2776</v>
      </c>
      <c r="D129" s="3091" t="s">
        <v>2777</v>
      </c>
      <c r="E129" s="3117">
        <v>0.1</v>
      </c>
      <c r="F129" s="3117">
        <v>15</v>
      </c>
    </row>
    <row r="130" spans="1:6" ht="24">
      <c r="A130" s="3117">
        <v>58</v>
      </c>
      <c r="B130" s="3783" t="s">
        <v>2778</v>
      </c>
      <c r="C130" s="3117" t="s">
        <v>2779</v>
      </c>
      <c r="D130" s="3091" t="s">
        <v>2780</v>
      </c>
      <c r="E130" s="3117">
        <v>0.1</v>
      </c>
      <c r="F130" s="3117">
        <v>15</v>
      </c>
    </row>
    <row r="131" spans="1:6" ht="13.5">
      <c r="A131" s="3117">
        <v>59</v>
      </c>
      <c r="B131" s="3783"/>
      <c r="C131" s="3117" t="s">
        <v>2781</v>
      </c>
      <c r="D131" s="3091" t="s">
        <v>2782</v>
      </c>
      <c r="E131" s="3117">
        <v>0.1</v>
      </c>
      <c r="F131" s="3117">
        <v>15</v>
      </c>
    </row>
    <row r="132" spans="1:6" ht="13.5">
      <c r="A132" s="3117">
        <v>60</v>
      </c>
      <c r="B132" s="3778" t="s">
        <v>2783</v>
      </c>
      <c r="C132" s="3117" t="s">
        <v>2784</v>
      </c>
      <c r="D132" s="3091" t="s">
        <v>2785</v>
      </c>
      <c r="E132" s="3117">
        <v>0.1</v>
      </c>
      <c r="F132" s="3117">
        <v>15</v>
      </c>
    </row>
    <row r="133" spans="1:6" ht="13.5">
      <c r="A133" s="3117">
        <v>61</v>
      </c>
      <c r="B133" s="378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3" t="s">
        <v>2791</v>
      </c>
      <c r="C135" s="3117" t="s">
        <v>2792</v>
      </c>
      <c r="D135" s="3091" t="s">
        <v>2793</v>
      </c>
      <c r="E135" s="3117">
        <v>0.1</v>
      </c>
      <c r="F135" s="3117">
        <v>15</v>
      </c>
    </row>
    <row r="136" spans="1:6" ht="13.5">
      <c r="A136" s="3117">
        <v>64</v>
      </c>
      <c r="B136" s="3783"/>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2600</v>
      </c>
      <c r="E5" s="1490"/>
    </row>
    <row r="6" spans="1:5" ht="15.75">
      <c r="A6" s="1490"/>
      <c r="B6" s="3465"/>
      <c r="C6" s="1493" t="s">
        <v>911</v>
      </c>
      <c r="D6" s="849" t="str">
        <f ca="1">NUMBERSTRING(INT(D5*10000),2)&amp;"元整"</f>
        <v>贰仟陆佰万元整</v>
      </c>
      <c r="E6" s="1490"/>
    </row>
    <row r="7" spans="1:5" ht="15.75">
      <c r="A7" s="1490"/>
      <c r="B7" s="3470"/>
      <c r="C7" s="1494" t="s">
        <v>912</v>
      </c>
      <c r="D7" s="850">
        <f ca="1">结果表!H102</f>
        <v>32720</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2600</v>
      </c>
      <c r="E13" s="1490"/>
    </row>
    <row r="14" spans="1:5" ht="15.75">
      <c r="A14" s="1490"/>
      <c r="B14" s="3465"/>
      <c r="C14" s="1493" t="s">
        <v>911</v>
      </c>
      <c r="D14" s="849" t="str">
        <f ca="1">NUMBERSTRING(INT(D13*10000),2)&amp;"元整"</f>
        <v>贰仟陆佰万元整</v>
      </c>
      <c r="E14" s="1490"/>
    </row>
    <row r="15" spans="1:5" ht="15">
      <c r="A15" s="1490"/>
      <c r="B15" s="3470"/>
      <c r="C15" s="1494" t="s">
        <v>921</v>
      </c>
      <c r="D15" s="858">
        <f ca="1">结果表!H108</f>
        <v>32720</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28042</v>
      </c>
      <c r="C2" s="2" t="s">
        <v>106</v>
      </c>
      <c r="D2" s="198"/>
      <c r="E2" s="198"/>
      <c r="F2" s="198"/>
      <c r="G2" s="198"/>
    </row>
    <row r="3" spans="1:7" s="199" customFormat="1" ht="18" customHeight="1" thickBot="1">
      <c r="A3" s="202" t="s">
        <v>58</v>
      </c>
      <c r="B3" s="203">
        <f ca="1">ROUND(B2*10000/'数据-汇总表'!E3,0)</f>
        <v>352920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16</v>
      </c>
      <c r="D10" s="844">
        <f>'数据-汇总表'!E6</f>
        <v>794.57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16</v>
      </c>
      <c r="D19" s="848">
        <f>'数据-汇总表'!E3</f>
        <v>794.57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358</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16</v>
      </c>
      <c r="D37" s="216">
        <f>'数据-汇总表'!E3</f>
        <v>794.57</v>
      </c>
      <c r="E37" s="248">
        <f>'数据-取费表'!B35</f>
        <v>200</v>
      </c>
      <c r="F37" s="258"/>
      <c r="G37" s="260" t="s">
        <v>92</v>
      </c>
    </row>
    <row r="38" spans="1:7" ht="13.5" customHeight="1">
      <c r="A38" s="779" t="s">
        <v>354</v>
      </c>
      <c r="B38" s="214" t="s">
        <v>36</v>
      </c>
      <c r="C38" s="219">
        <f>ROUND(C34*F38,0)</f>
        <v>7</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12</v>
      </c>
      <c r="D42" s="237"/>
      <c r="E42" s="237"/>
      <c r="F42" s="238"/>
      <c r="G42" s="3646" t="s">
        <v>94</v>
      </c>
    </row>
    <row r="43" spans="1:7" ht="13.5" customHeight="1">
      <c r="A43" s="779" t="s">
        <v>347</v>
      </c>
      <c r="B43" s="214" t="s">
        <v>426</v>
      </c>
      <c r="C43" s="237">
        <f ca="1">ROUND(IF('数据-取费表'!B22&lt;=1,C39*F22*'数据-取费表'!B21/2,C39*(POWER((1+F22),'数据-取费表'!B21/2)-1)),0)</f>
        <v>0</v>
      </c>
      <c r="D43" s="237"/>
      <c r="E43" s="237"/>
      <c r="F43" s="238"/>
      <c r="G43" s="3647"/>
    </row>
    <row r="44" spans="1:7" ht="13.5" customHeight="1">
      <c r="A44" s="779" t="s">
        <v>348</v>
      </c>
      <c r="B44" s="214" t="s">
        <v>428</v>
      </c>
      <c r="C44" s="237">
        <f ca="1">ROUND(IF('数据-取费表'!B22&lt;=1,C40*F22*'数据-取费表'!B21/2,C40*(POWER((1+F22),'数据-取费表'!B21/2)-1)),4)</f>
        <v>5.9999999999999995E-4</v>
      </c>
      <c r="D44" s="237"/>
      <c r="E44" s="237"/>
      <c r="F44" s="238"/>
      <c r="G44" s="3648"/>
    </row>
    <row r="45" spans="1:7" s="213" customFormat="1" ht="13.5" customHeight="1">
      <c r="A45" s="776" t="s">
        <v>341</v>
      </c>
      <c r="B45" s="243" t="s">
        <v>85</v>
      </c>
      <c r="C45" s="244">
        <f>C46</f>
        <v>60</v>
      </c>
      <c r="D45" s="234">
        <f>C47</f>
        <v>3.0000000000000001E-3</v>
      </c>
      <c r="E45" s="235" t="s">
        <v>102</v>
      </c>
      <c r="F45" s="245"/>
      <c r="G45" s="246" t="s">
        <v>434</v>
      </c>
    </row>
    <row r="46" spans="1:7" s="213" customFormat="1" ht="13.5" customHeight="1">
      <c r="A46" s="779" t="s">
        <v>349</v>
      </c>
      <c r="B46" s="247" t="s">
        <v>427</v>
      </c>
      <c r="C46" s="248">
        <f>ROUND((C33+C39)*F27,0)</f>
        <v>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511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409</v>
      </c>
      <c r="D51" s="231"/>
      <c r="E51" s="231"/>
      <c r="F51" s="263"/>
      <c r="G51" s="233" t="s">
        <v>37</v>
      </c>
    </row>
    <row r="52" spans="1:7" s="207" customFormat="1" ht="16.5" thickBot="1">
      <c r="A52" s="264" t="s">
        <v>38</v>
      </c>
      <c r="B52" s="265"/>
      <c r="C52" s="266">
        <f ca="1">C31+C51</f>
        <v>28042</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2841</v>
      </c>
      <c r="B1" s="3786"/>
      <c r="C1" s="3786"/>
      <c r="D1" s="3786"/>
      <c r="E1" s="3786"/>
      <c r="F1" s="3786"/>
      <c r="G1" s="378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3183</v>
      </c>
      <c r="B1" s="3788"/>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3234</v>
      </c>
      <c r="B1" s="3789"/>
      <c r="C1" s="3789"/>
      <c r="D1" s="3789"/>
      <c r="E1" s="3789"/>
      <c r="F1" s="379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91" t="s">
        <v>2829</v>
      </c>
      <c r="S26" s="3792"/>
      <c r="T26" s="3792"/>
      <c r="U26" s="3792"/>
      <c r="V26" s="3792"/>
      <c r="W26" s="3792"/>
      <c r="X26" s="3164"/>
      <c r="Y26" s="3791" t="s">
        <v>2830</v>
      </c>
      <c r="Z26" s="3792"/>
      <c r="AA26" s="3792"/>
      <c r="AB26" s="3792"/>
      <c r="AC26" s="3792"/>
      <c r="AD26" s="3792"/>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794.57</v>
      </c>
      <c r="C4" s="853">
        <f>项目基本情况!C18</f>
        <v>0</v>
      </c>
      <c r="D4" s="853" t="e">
        <f ca="1">结果表!D118</f>
        <v>#REF!</v>
      </c>
      <c r="E4" s="853" t="e">
        <f ca="1">结果表!E118</f>
        <v>#REF!</v>
      </c>
      <c r="F4" s="853" t="e">
        <f ca="1">结果表!F118</f>
        <v>#REF!</v>
      </c>
      <c r="G4" s="853" t="e">
        <f ca="1">结果表!G118</f>
        <v>#REF!</v>
      </c>
      <c r="H4" s="853">
        <f ca="1">结果表!H118</f>
        <v>2600</v>
      </c>
      <c r="I4" s="853">
        <f ca="1">结果表!I118</f>
        <v>32720</v>
      </c>
    </row>
    <row r="5" spans="1:9" ht="30" customHeight="1">
      <c r="A5" s="3476" t="s">
        <v>927</v>
      </c>
      <c r="B5" s="3476"/>
      <c r="C5" s="3476"/>
      <c r="D5" s="3476" t="e">
        <f ca="1">结果表!D119</f>
        <v>#REF!</v>
      </c>
      <c r="E5" s="3476"/>
      <c r="F5" s="3476" t="e">
        <f ca="1">结果表!F119</f>
        <v>#REF!</v>
      </c>
      <c r="G5" s="3476"/>
      <c r="H5" s="3476" t="str">
        <f ca="1">结果表!H119</f>
        <v>贰仟陆佰万元整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2600</v>
      </c>
      <c r="E8" s="3477"/>
      <c r="F8" s="3477"/>
      <c r="G8" s="3477"/>
      <c r="H8" s="3477"/>
      <c r="I8" s="3477"/>
    </row>
    <row r="9" spans="1:9" ht="15">
      <c r="A9" s="3476" t="s">
        <v>927</v>
      </c>
      <c r="B9" s="3476"/>
      <c r="C9" s="3476"/>
      <c r="D9" s="3476" t="str">
        <f ca="1">结果表!D123</f>
        <v>贰仟陆佰万元整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2024-10-29T01:25:38Z</dcterms:modified>
</cp:coreProperties>
</file>