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505" yWindow="-30" windowWidth="11115" windowHeight="1105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科研" sheetId="15" r:id="rId22"/>
    <sheet name="收益法-车库" sheetId="79"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工程进度及租金案例" sheetId="78"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'收益法-车库'!$A$1:$F$43,'收益法-车库'!$H$3:$M$29,'收益法-车库'!$A$46:$F$71,'收益法-车库'!$I$46:$N$65</definedName>
    <definedName name="_xlnm.Print_Area" localSheetId="21">'收益法-科研'!$A$1:$F$43,'收益法-科研'!$H$3:$M$29,'收益法-科研'!$A$46:$F$71,'收益法-科研'!$I$46:$N$65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P21" i="1"/>
  <c r="P20" i="1"/>
  <c r="M19" i="1"/>
  <c r="M20" i="1"/>
  <c r="M18" i="1"/>
  <c r="M21" i="1" s="1"/>
  <c r="D3" i="4"/>
  <c r="C6" i="68" l="1"/>
  <c r="Q72" i="79" l="1"/>
  <c r="Q59" i="79"/>
  <c r="K59" i="79"/>
  <c r="P74" i="79" s="1"/>
  <c r="F59" i="79"/>
  <c r="Q58" i="79"/>
  <c r="Q51" i="79"/>
  <c r="J50" i="79"/>
  <c r="M47" i="79"/>
  <c r="D46" i="79"/>
  <c r="F33" i="79"/>
  <c r="F61" i="79" s="1"/>
  <c r="F31" i="79"/>
  <c r="F23" i="79"/>
  <c r="D23" i="79" s="1"/>
  <c r="F21" i="79"/>
  <c r="F20" i="79"/>
  <c r="M19" i="79"/>
  <c r="F18" i="79"/>
  <c r="M17" i="79"/>
  <c r="F17" i="79"/>
  <c r="F15" i="79"/>
  <c r="N14" i="1"/>
  <c r="N7" i="1"/>
  <c r="L14" i="1"/>
  <c r="L7" i="1"/>
  <c r="I7" i="1"/>
  <c r="J7" i="1"/>
  <c r="H6" i="1"/>
  <c r="H7" i="1" s="1"/>
  <c r="G13" i="4"/>
  <c r="AT15" i="3"/>
  <c r="AN15" i="3"/>
  <c r="D24" i="79" l="1"/>
  <c r="P61" i="79"/>
  <c r="D22" i="79"/>
  <c r="H13"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c r="N21" i="71"/>
  <c r="Q21" i="71"/>
  <c r="P21" i="71"/>
  <c r="O21" i="71"/>
  <c r="C21" i="71" s="1"/>
  <c r="C20" i="71" s="1"/>
  <c r="Q22" i="71"/>
  <c r="F21" i="71"/>
  <c r="F20" i="71"/>
  <c r="F19" i="71" s="1"/>
  <c r="P22" i="71"/>
  <c r="O22" i="71"/>
  <c r="N22" i="71"/>
  <c r="B21" i="71"/>
  <c r="B20" i="71" s="1"/>
  <c r="B19" i="71" s="1"/>
  <c r="B18" i="71" s="1"/>
  <c r="A2" i="53"/>
  <c r="K59" i="67"/>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0" i="43" s="1"/>
  <c r="AG12" i="43"/>
  <c r="AF9" i="43"/>
  <c r="AE9" i="43"/>
  <c r="AE10" i="43" s="1"/>
  <c r="AE12" i="43"/>
  <c r="AD9" i="43"/>
  <c r="AC9" i="43"/>
  <c r="AC12" i="43"/>
  <c r="AB9" i="43"/>
  <c r="AB12" i="43" s="1"/>
  <c r="AA9" i="43"/>
  <c r="AA10" i="43" s="1"/>
  <c r="Z9" i="43"/>
  <c r="Z12" i="43" s="1"/>
  <c r="AC10" i="43"/>
  <c r="Z10" i="43"/>
  <c r="K49" i="9"/>
  <c r="E107" i="9"/>
  <c r="A122" i="9" s="1"/>
  <c r="A8" i="52" s="1"/>
  <c r="B54" i="72" s="1"/>
  <c r="E111" i="9"/>
  <c r="A126" i="9" s="1"/>
  <c r="E109" i="9"/>
  <c r="A124" i="9" s="1"/>
  <c r="B44" i="72"/>
  <c r="B42" i="72"/>
  <c r="B69" i="72"/>
  <c r="B68" i="72"/>
  <c r="B63" i="72"/>
  <c r="B62" i="72"/>
  <c r="B16" i="72"/>
  <c r="B65" i="72"/>
  <c r="B66" i="72"/>
  <c r="B10" i="72"/>
  <c r="C53" i="10"/>
  <c r="B51" i="10"/>
  <c r="B19" i="72"/>
  <c r="A18" i="51"/>
  <c r="B13" i="72" s="1"/>
  <c r="B49" i="48"/>
  <c r="B5" i="72"/>
  <c r="I19" i="43"/>
  <c r="D86" i="71"/>
  <c r="F85" i="71"/>
  <c r="E85" i="71"/>
  <c r="E84" i="71"/>
  <c r="E83" i="71" s="1"/>
  <c r="C85" i="71"/>
  <c r="D85" i="71" s="1"/>
  <c r="B85" i="71"/>
  <c r="B84" i="71" s="1"/>
  <c r="B83" i="71" s="1"/>
  <c r="F84" i="71"/>
  <c r="F83" i="71" s="1"/>
  <c r="D82" i="71"/>
  <c r="F81" i="71"/>
  <c r="E81" i="71"/>
  <c r="E80" i="71"/>
  <c r="E79" i="71" s="1"/>
  <c r="C81" i="71"/>
  <c r="D81" i="71" s="1"/>
  <c r="B81" i="71"/>
  <c r="F80" i="71"/>
  <c r="F79" i="71" s="1"/>
  <c r="B80" i="71"/>
  <c r="B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V73" i="71" s="1"/>
  <c r="E73" i="71"/>
  <c r="U73" i="71" s="1"/>
  <c r="C73" i="71"/>
  <c r="D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c r="C69" i="71"/>
  <c r="T69" i="71" s="1"/>
  <c r="B69" i="71"/>
  <c r="S69" i="71"/>
  <c r="Q68" i="71"/>
  <c r="P68" i="71"/>
  <c r="O68" i="71"/>
  <c r="N68" i="71"/>
  <c r="B68" i="71"/>
  <c r="B67" i="71" s="1"/>
  <c r="Q67" i="71"/>
  <c r="P67" i="71"/>
  <c r="O67" i="71"/>
  <c r="N67" i="71"/>
  <c r="Q66" i="71"/>
  <c r="P66" i="71"/>
  <c r="O66" i="71"/>
  <c r="N66" i="71"/>
  <c r="D66" i="71"/>
  <c r="F65" i="71"/>
  <c r="V65" i="71" s="1"/>
  <c r="E65" i="71"/>
  <c r="P65" i="71" s="1"/>
  <c r="C65" i="71"/>
  <c r="B65" i="71"/>
  <c r="B64" i="71" s="1"/>
  <c r="S65" i="7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E56" i="71" s="1"/>
  <c r="O55" i="71"/>
  <c r="N55" i="71"/>
  <c r="Q54" i="71"/>
  <c r="F55" i="71" s="1"/>
  <c r="F56" i="71" s="1"/>
  <c r="F57" i="71" s="1"/>
  <c r="V57" i="71" s="1"/>
  <c r="P54" i="71"/>
  <c r="E55" i="71" s="1"/>
  <c r="O54" i="71"/>
  <c r="C55" i="71" s="1"/>
  <c r="C56" i="71" s="1"/>
  <c r="C57" i="71" s="1"/>
  <c r="D57"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c r="B41" i="71" s="1"/>
  <c r="S41" i="71" s="1"/>
  <c r="D38" i="71"/>
  <c r="Q37" i="71"/>
  <c r="P37" i="71"/>
  <c r="O37" i="71"/>
  <c r="N37" i="71"/>
  <c r="Q36" i="71"/>
  <c r="AB36" i="71" s="1"/>
  <c r="P36" i="71"/>
  <c r="AA35" i="71" s="1"/>
  <c r="O36" i="71"/>
  <c r="Y36" i="71" s="1"/>
  <c r="Z36" i="71" s="1"/>
  <c r="N36" i="71"/>
  <c r="X36" i="71"/>
  <c r="Q35" i="71"/>
  <c r="AB35" i="71" s="1"/>
  <c r="P35" i="71"/>
  <c r="O35" i="71"/>
  <c r="Y35" i="71"/>
  <c r="Z35" i="71" s="1"/>
  <c r="N35" i="71"/>
  <c r="Q34" i="71"/>
  <c r="P34" i="71"/>
  <c r="O34" i="71"/>
  <c r="C35" i="71" s="1"/>
  <c r="C36" i="71" s="1"/>
  <c r="C37" i="71" s="1"/>
  <c r="D37" i="71" s="1"/>
  <c r="N34" i="71"/>
  <c r="D34" i="71"/>
  <c r="Q33" i="71"/>
  <c r="AB33" i="71"/>
  <c r="P33" i="71"/>
  <c r="O33" i="71"/>
  <c r="N33" i="71"/>
  <c r="Q32" i="71"/>
  <c r="AB32" i="71" s="1"/>
  <c r="P32" i="71"/>
  <c r="O32" i="71"/>
  <c r="N32" i="71"/>
  <c r="Q31" i="71"/>
  <c r="P31" i="71"/>
  <c r="O31" i="71"/>
  <c r="N31" i="71"/>
  <c r="Q30" i="71"/>
  <c r="AB30" i="71" s="1"/>
  <c r="P30" i="71"/>
  <c r="O30" i="71"/>
  <c r="N30" i="71"/>
  <c r="D30" i="71"/>
  <c r="Q29" i="71"/>
  <c r="P29" i="71"/>
  <c r="O29" i="71"/>
  <c r="N29" i="71"/>
  <c r="Q28" i="71"/>
  <c r="P28" i="71"/>
  <c r="O28" i="71"/>
  <c r="N28" i="71"/>
  <c r="Q27" i="71"/>
  <c r="P27" i="71"/>
  <c r="O27" i="71"/>
  <c r="N27" i="71"/>
  <c r="Q26" i="71"/>
  <c r="P26" i="71"/>
  <c r="O26" i="71"/>
  <c r="C27" i="71" s="1"/>
  <c r="N26" i="71"/>
  <c r="D26" i="71"/>
  <c r="O25" i="71"/>
  <c r="N25" i="71"/>
  <c r="B27" i="71"/>
  <c r="B28" i="71"/>
  <c r="B29" i="71" s="1"/>
  <c r="S29" i="71" s="1"/>
  <c r="E27" i="71"/>
  <c r="E28" i="71"/>
  <c r="E29" i="71" s="1"/>
  <c r="U29" i="71" s="1"/>
  <c r="B31" i="71"/>
  <c r="B32" i="71"/>
  <c r="B33" i="71" s="1"/>
  <c r="S33" i="71" s="1"/>
  <c r="B35" i="71"/>
  <c r="B36" i="71" s="1"/>
  <c r="B37" i="71"/>
  <c r="S37" i="71" s="1"/>
  <c r="X34" i="71"/>
  <c r="N65" i="71"/>
  <c r="E31" i="71"/>
  <c r="E32" i="71"/>
  <c r="E33" i="71" s="1"/>
  <c r="U33" i="71" s="1"/>
  <c r="X33" i="71"/>
  <c r="AA33" i="71"/>
  <c r="X35" i="71"/>
  <c r="C25" i="71"/>
  <c r="T25" i="71" s="1"/>
  <c r="X23" i="71"/>
  <c r="D44" i="71"/>
  <c r="D43" i="71"/>
  <c r="C48" i="71"/>
  <c r="C49" i="71" s="1"/>
  <c r="D49" i="71" s="1"/>
  <c r="P25" i="71"/>
  <c r="E52" i="71"/>
  <c r="E53" i="71" s="1"/>
  <c r="U53" i="71" s="1"/>
  <c r="E57" i="71"/>
  <c r="U57" i="71" s="1"/>
  <c r="Q25" i="71"/>
  <c r="T65" i="71"/>
  <c r="O65" i="71"/>
  <c r="D65" i="71"/>
  <c r="C64" i="71"/>
  <c r="O64" i="71" s="1"/>
  <c r="Q65" i="71"/>
  <c r="C68" i="71"/>
  <c r="C67" i="71" s="1"/>
  <c r="D67" i="71" s="1"/>
  <c r="E68" i="71"/>
  <c r="E67" i="71" s="1"/>
  <c r="D69" i="71"/>
  <c r="E72" i="71"/>
  <c r="E71" i="71" s="1"/>
  <c r="C76" i="71"/>
  <c r="C75" i="71" s="1"/>
  <c r="D75" i="71" s="1"/>
  <c r="E76" i="71"/>
  <c r="E75" i="71" s="1"/>
  <c r="D77" i="71"/>
  <c r="C80" i="71"/>
  <c r="D80" i="71" s="1"/>
  <c r="C84" i="71"/>
  <c r="C24" i="71"/>
  <c r="D24" i="71" s="1"/>
  <c r="F25" i="71"/>
  <c r="F24" i="71" s="1"/>
  <c r="F23" i="71" s="1"/>
  <c r="E25" i="71"/>
  <c r="E24" i="71"/>
  <c r="E23" i="71" s="1"/>
  <c r="D64" i="71"/>
  <c r="C79" i="71"/>
  <c r="D79" i="71" s="1"/>
  <c r="D68" i="71"/>
  <c r="D56" i="71"/>
  <c r="V25" i="71"/>
  <c r="T37" i="71"/>
  <c r="T5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c r="F18" i="35"/>
  <c r="S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C25" i="40" s="1"/>
  <c r="C22" i="20"/>
  <c r="B75" i="43" s="1"/>
  <c r="B66" i="43"/>
  <c r="C29" i="39"/>
  <c r="S25" i="40"/>
  <c r="S18" i="36"/>
  <c r="F94" i="40"/>
  <c r="G94" i="40" s="1"/>
  <c r="H25" i="40"/>
  <c r="AB25" i="40" s="1"/>
  <c r="J25" i="40"/>
  <c r="H29" i="39"/>
  <c r="AB29" i="39" s="1"/>
  <c r="J29" i="39"/>
  <c r="AC29" i="39" s="1"/>
  <c r="J18" i="36"/>
  <c r="AC18" i="36" s="1"/>
  <c r="F68" i="35"/>
  <c r="H18" i="35"/>
  <c r="AB18" i="35" s="1"/>
  <c r="G68" i="35"/>
  <c r="J18" i="35"/>
  <c r="AC18" i="35" s="1"/>
  <c r="F77" i="37"/>
  <c r="G77" i="37" s="1"/>
  <c r="H21" i="37"/>
  <c r="F21" i="37"/>
  <c r="AA21" i="37" s="1"/>
  <c r="H21" i="34"/>
  <c r="U21" i="34" s="1"/>
  <c r="H21" i="33"/>
  <c r="U21" i="33" s="1"/>
  <c r="F21" i="33"/>
  <c r="E83" i="21"/>
  <c r="H1" i="69"/>
  <c r="AC25" i="40"/>
  <c r="W25" i="40"/>
  <c r="U25" i="40"/>
  <c r="U29" i="39"/>
  <c r="W18" i="36"/>
  <c r="AB21" i="37"/>
  <c r="U21" i="37"/>
  <c r="AB21" i="34"/>
  <c r="AB21" i="33"/>
  <c r="U18" i="35"/>
  <c r="W18" i="35"/>
  <c r="J21" i="37"/>
  <c r="W21" i="37" s="1"/>
  <c r="J21" i="34"/>
  <c r="AC21" i="34" s="1"/>
  <c r="J21" i="33"/>
  <c r="F83" i="21"/>
  <c r="G83" i="21" s="1"/>
  <c r="H21" i="21"/>
  <c r="AB21" i="21" s="1"/>
  <c r="F38" i="69"/>
  <c r="E37" i="69"/>
  <c r="F36" i="69"/>
  <c r="F35" i="69"/>
  <c r="F21" i="69"/>
  <c r="F40" i="69" s="1"/>
  <c r="F20" i="69"/>
  <c r="F39" i="69" s="1"/>
  <c r="E10" i="69"/>
  <c r="E9" i="69"/>
  <c r="C7" i="69"/>
  <c r="AC21" i="37"/>
  <c r="W21" i="34"/>
  <c r="U21" i="21"/>
  <c r="J21" i="21"/>
  <c r="W21" i="21" s="1"/>
  <c r="F38" i="68"/>
  <c r="E37" i="68"/>
  <c r="F36" i="68"/>
  <c r="F35" i="68"/>
  <c r="F21" i="68"/>
  <c r="F40" i="68" s="1"/>
  <c r="C21" i="68"/>
  <c r="F20" i="68"/>
  <c r="F39" i="68" s="1"/>
  <c r="E10" i="68"/>
  <c r="E9" i="68"/>
  <c r="C7"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0" i="43" s="1"/>
  <c r="D108" i="43"/>
  <c r="E99" i="43"/>
  <c r="E108" i="43" s="1"/>
  <c r="F99" i="43"/>
  <c r="F108" i="43" s="1"/>
  <c r="G99" i="43"/>
  <c r="G108" i="43" s="1"/>
  <c r="H99" i="43"/>
  <c r="H108" i="43" s="1"/>
  <c r="I99" i="43"/>
  <c r="I108" i="43" s="1"/>
  <c r="J99" i="43"/>
  <c r="J108" i="43" s="1"/>
  <c r="K99" i="43"/>
  <c r="L99" i="43"/>
  <c r="L108" i="43" s="1"/>
  <c r="M99" i="43"/>
  <c r="M100" i="43" s="1"/>
  <c r="M108"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s="1"/>
  <c r="D73" i="43"/>
  <c r="M72" i="43"/>
  <c r="N72" i="43" s="1"/>
  <c r="K72" i="43"/>
  <c r="J72" i="43"/>
  <c r="D72" i="43"/>
  <c r="M71" i="43"/>
  <c r="N71" i="43" s="1"/>
  <c r="K71" i="43"/>
  <c r="J71" i="43" s="1"/>
  <c r="D71" i="43"/>
  <c r="M70" i="43"/>
  <c r="N70" i="43" s="1"/>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c r="K53" i="43"/>
  <c r="J53" i="43" s="1"/>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A49" i="3" s="1"/>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G46" i="3" s="1"/>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D15" i="4"/>
  <c r="L21" i="4"/>
  <c r="F19" i="4"/>
  <c r="F2" i="52"/>
  <c r="B50" i="72" s="1"/>
  <c r="D2" i="52"/>
  <c r="B46" i="72" s="1"/>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c r="C26" i="35"/>
  <c r="C79" i="35" s="1"/>
  <c r="J31" i="35"/>
  <c r="W31" i="35" s="1"/>
  <c r="H31" i="35"/>
  <c r="F31" i="35"/>
  <c r="D87" i="35"/>
  <c r="E87" i="35" s="1"/>
  <c r="F87" i="35"/>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AB42" i="34" s="1"/>
  <c r="J42" i="34"/>
  <c r="W42" i="34"/>
  <c r="F42" i="34"/>
  <c r="J38" i="34"/>
  <c r="W38" i="34" s="1"/>
  <c r="D114" i="34"/>
  <c r="F38" i="34"/>
  <c r="S38" i="34" s="1"/>
  <c r="D112" i="34"/>
  <c r="E112" i="34"/>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B116" i="40"/>
  <c r="H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J27" i="40" s="1"/>
  <c r="AC27" i="40" s="1"/>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W9" i="40" s="1"/>
  <c r="H9" i="40"/>
  <c r="AB9" i="40"/>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B108" i="37"/>
  <c r="J38" i="37" s="1"/>
  <c r="AC38" i="37" s="1"/>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c r="D75" i="37"/>
  <c r="E75" i="37" s="1"/>
  <c r="D73" i="37"/>
  <c r="E73" i="37" s="1"/>
  <c r="F73" i="37"/>
  <c r="D71" i="37"/>
  <c r="H15" i="37"/>
  <c r="AB15" i="37" s="1"/>
  <c r="B68" i="37"/>
  <c r="H14" i="37" s="1"/>
  <c r="AB14" i="37" s="1"/>
  <c r="B66" i="37"/>
  <c r="F13" i="37" s="1"/>
  <c r="S13" i="37" s="1"/>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AB33" i="36" s="1"/>
  <c r="B91" i="36"/>
  <c r="F32" i="36"/>
  <c r="B95" i="36"/>
  <c r="F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B59" i="36"/>
  <c r="B57" i="36"/>
  <c r="B55" i="36"/>
  <c r="F54" i="36"/>
  <c r="G54" i="36" s="1"/>
  <c r="H54" i="36" s="1"/>
  <c r="I54" i="36" s="1"/>
  <c r="C51" i="36"/>
  <c r="P37" i="36"/>
  <c r="P36" i="36"/>
  <c r="V35" i="36"/>
  <c r="T35" i="36"/>
  <c r="R35" i="36"/>
  <c r="P35" i="36"/>
  <c r="Q34" i="36"/>
  <c r="Z34" i="36"/>
  <c r="Q33" i="36"/>
  <c r="Z33" i="36" s="1"/>
  <c r="Q32" i="36"/>
  <c r="Z32" i="36"/>
  <c r="Q31" i="36"/>
  <c r="Z31" i="36" s="1"/>
  <c r="Q30" i="36"/>
  <c r="Z30" i="36" s="1"/>
  <c r="AC30" i="36"/>
  <c r="Q29" i="36"/>
  <c r="Z29" i="36"/>
  <c r="Q28" i="36"/>
  <c r="Z28" i="36"/>
  <c r="J28" i="36"/>
  <c r="AC28" i="36"/>
  <c r="Q27" i="36"/>
  <c r="Z27" i="36"/>
  <c r="Q26" i="36"/>
  <c r="Z26" i="36"/>
  <c r="H26" i="36"/>
  <c r="AB26" i="36"/>
  <c r="Q25" i="36"/>
  <c r="Z25" i="36"/>
  <c r="Q24" i="36"/>
  <c r="Z24" i="36"/>
  <c r="Q23" i="36"/>
  <c r="Z23" i="36" s="1"/>
  <c r="J23" i="36"/>
  <c r="AC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c r="F10" i="36"/>
  <c r="AA10" i="36" s="1"/>
  <c r="Q9" i="36"/>
  <c r="Z9" i="36" s="1"/>
  <c r="J8" i="36"/>
  <c r="W8" i="36" s="1"/>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c r="B73" i="35"/>
  <c r="H23" i="35" s="1"/>
  <c r="U23" i="35"/>
  <c r="B57" i="35"/>
  <c r="B61" i="35"/>
  <c r="B59" i="35"/>
  <c r="B131" i="34"/>
  <c r="J47" i="34" s="1"/>
  <c r="AC47" i="34" s="1"/>
  <c r="B129" i="34"/>
  <c r="B127" i="34"/>
  <c r="B99" i="34"/>
  <c r="B97" i="34"/>
  <c r="J31" i="34" s="1"/>
  <c r="W31" i="34" s="1"/>
  <c r="B95" i="34"/>
  <c r="B93" i="34"/>
  <c r="B75" i="34"/>
  <c r="B73" i="34"/>
  <c r="B71" i="34"/>
  <c r="F12" i="34" s="1"/>
  <c r="S12" i="34" s="1"/>
  <c r="B130" i="33"/>
  <c r="B128" i="33"/>
  <c r="B126" i="33"/>
  <c r="H44" i="33" s="1"/>
  <c r="B98" i="33"/>
  <c r="B96" i="33"/>
  <c r="B94" i="33"/>
  <c r="B74" i="33"/>
  <c r="H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c r="G66" i="35" s="1"/>
  <c r="D64" i="35"/>
  <c r="E64" i="35" s="1"/>
  <c r="F64" i="35"/>
  <c r="G64" i="35" s="1"/>
  <c r="J14" i="35"/>
  <c r="W14" i="35" s="1"/>
  <c r="F56" i="35"/>
  <c r="G56" i="35"/>
  <c r="H56" i="35" s="1"/>
  <c r="I56" i="35" s="1"/>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AA32" i="35" s="1"/>
  <c r="Q31" i="35"/>
  <c r="Z31" i="35" s="1"/>
  <c r="AB31" i="35"/>
  <c r="AA31" i="35"/>
  <c r="Q30" i="35"/>
  <c r="Z30" i="35" s="1"/>
  <c r="Q29" i="35"/>
  <c r="Z29" i="35" s="1"/>
  <c r="Q28" i="35"/>
  <c r="Z28" i="35"/>
  <c r="J28" i="35"/>
  <c r="AC28" i="35" s="1"/>
  <c r="H28" i="35"/>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J12" i="35"/>
  <c r="W12" i="35"/>
  <c r="H12" i="35"/>
  <c r="U12" i="35" s="1"/>
  <c r="F12" i="35"/>
  <c r="Q11" i="35"/>
  <c r="Z11" i="35" s="1"/>
  <c r="Q10" i="35"/>
  <c r="Z10" i="35"/>
  <c r="Q9" i="35"/>
  <c r="Z9" i="35" s="1"/>
  <c r="J8" i="35"/>
  <c r="W8" i="35" s="1"/>
  <c r="H8" i="35"/>
  <c r="AB8" i="35" s="1"/>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s="1"/>
  <c r="Q35" i="34"/>
  <c r="Z35" i="34" s="1"/>
  <c r="Q34" i="34"/>
  <c r="Z34" i="34"/>
  <c r="J34" i="34"/>
  <c r="AC34" i="34" s="1"/>
  <c r="H34" i="34"/>
  <c r="AB34" i="34" s="1"/>
  <c r="F34" i="34"/>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c r="J12" i="34"/>
  <c r="W12" i="34" s="1"/>
  <c r="H12" i="34"/>
  <c r="Q11" i="34"/>
  <c r="Z11" i="34" s="1"/>
  <c r="Q10" i="34"/>
  <c r="Z10" i="34" s="1"/>
  <c r="F10" i="34"/>
  <c r="AA10" i="34" s="1"/>
  <c r="Q9" i="34"/>
  <c r="Z9" i="34"/>
  <c r="J8" i="34"/>
  <c r="AC8" i="34" s="1"/>
  <c r="H8" i="34"/>
  <c r="F8" i="34"/>
  <c r="D121" i="33"/>
  <c r="E121" i="33" s="1"/>
  <c r="F109" i="33"/>
  <c r="E109" i="33"/>
  <c r="D109" i="33"/>
  <c r="C109" i="33"/>
  <c r="D91" i="33"/>
  <c r="E91" i="33" s="1"/>
  <c r="B88" i="33"/>
  <c r="J26"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s="1"/>
  <c r="J39" i="33"/>
  <c r="Q38" i="33"/>
  <c r="Z38" i="33" s="1"/>
  <c r="J38" i="33"/>
  <c r="AC38" i="33"/>
  <c r="H38" i="33"/>
  <c r="AB38" i="33" s="1"/>
  <c r="F38" i="33"/>
  <c r="AA38" i="33" s="1"/>
  <c r="Q37" i="33"/>
  <c r="Z37" i="33" s="1"/>
  <c r="Q36" i="33"/>
  <c r="Z36" i="33"/>
  <c r="Q35" i="33"/>
  <c r="Z35" i="33" s="1"/>
  <c r="H35" i="33"/>
  <c r="Q34" i="33"/>
  <c r="Z34" i="33" s="1"/>
  <c r="Q33" i="33"/>
  <c r="Z33" i="33"/>
  <c r="J33" i="33"/>
  <c r="AC33" i="33" s="1"/>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B85" i="43"/>
  <c r="G16" i="20"/>
  <c r="B82" i="43" s="1"/>
  <c r="G15" i="20"/>
  <c r="B81" i="43" s="1"/>
  <c r="C24" i="20"/>
  <c r="B73" i="43" s="1"/>
  <c r="C21" i="20"/>
  <c r="B74" i="43"/>
  <c r="C20" i="20"/>
  <c r="B77" i="43" s="1"/>
  <c r="C18" i="20"/>
  <c r="B71" i="43" s="1"/>
  <c r="C17" i="20"/>
  <c r="B59" i="43" s="1"/>
  <c r="C16" i="20"/>
  <c r="C17" i="39"/>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F30" i="21" s="1"/>
  <c r="S30" i="21" s="1"/>
  <c r="B94" i="21"/>
  <c r="J29" i="21" s="1"/>
  <c r="AC29" i="21" s="1"/>
  <c r="B92" i="21"/>
  <c r="B90" i="21"/>
  <c r="J27" i="21" s="1"/>
  <c r="W27" i="21" s="1"/>
  <c r="B74" i="21"/>
  <c r="F14" i="21" s="1"/>
  <c r="S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G20" i="6" s="1"/>
  <c r="E20" i="6" s="1"/>
  <c r="D7" i="12" s="1"/>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F43" i="21"/>
  <c r="S43" i="21" s="1"/>
  <c r="H38" i="21"/>
  <c r="H43" i="21"/>
  <c r="AB43" i="21" s="1"/>
  <c r="F38" i="21"/>
  <c r="S38" i="21" s="1"/>
  <c r="F36" i="21"/>
  <c r="S36" i="21" s="1"/>
  <c r="F39" i="21"/>
  <c r="AA39" i="21" s="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c r="J26" i="21"/>
  <c r="W26" i="21"/>
  <c r="F26" i="21"/>
  <c r="S26" i="21"/>
  <c r="S41" i="21"/>
  <c r="AA41" i="21"/>
  <c r="F45" i="39"/>
  <c r="S45" i="39" s="1"/>
  <c r="J44" i="39"/>
  <c r="J35" i="39"/>
  <c r="AC35" i="39" s="1"/>
  <c r="F35" i="39"/>
  <c r="AA35" i="39" s="1"/>
  <c r="U9" i="39"/>
  <c r="W40" i="39"/>
  <c r="W25" i="37"/>
  <c r="U30" i="37"/>
  <c r="W31" i="37"/>
  <c r="E103" i="37"/>
  <c r="F103" i="37"/>
  <c r="G103" i="37" s="1"/>
  <c r="H103" i="37" s="1"/>
  <c r="I103" i="37" s="1"/>
  <c r="J103" i="37" s="1"/>
  <c r="K103" i="37" s="1"/>
  <c r="L103" i="37" s="1"/>
  <c r="M103" i="37" s="1"/>
  <c r="U14" i="37"/>
  <c r="F29" i="36"/>
  <c r="AA29" i="36"/>
  <c r="F16" i="36"/>
  <c r="AA16" i="36" s="1"/>
  <c r="W28" i="36"/>
  <c r="S30" i="36"/>
  <c r="AA31" i="36"/>
  <c r="AC31" i="36"/>
  <c r="W31" i="36"/>
  <c r="J33" i="36"/>
  <c r="H22" i="35"/>
  <c r="AB22" i="35" s="1"/>
  <c r="AC27" i="35"/>
  <c r="W28" i="35"/>
  <c r="U31" i="35"/>
  <c r="W22" i="35"/>
  <c r="S31" i="35"/>
  <c r="F36" i="34"/>
  <c r="J35" i="34"/>
  <c r="U34" i="34"/>
  <c r="H39" i="33"/>
  <c r="AB39" i="33"/>
  <c r="F26" i="33"/>
  <c r="AA26" i="33"/>
  <c r="U33" i="33"/>
  <c r="W33" i="33"/>
  <c r="S27" i="35"/>
  <c r="F11" i="40"/>
  <c r="AA11" i="40" s="1"/>
  <c r="H11" i="40"/>
  <c r="AB11" i="40" s="1"/>
  <c r="W8" i="40"/>
  <c r="AC40" i="40"/>
  <c r="AA9" i="40"/>
  <c r="AC9" i="40"/>
  <c r="U9" i="40"/>
  <c r="S34" i="40"/>
  <c r="W31" i="40"/>
  <c r="U34" i="40"/>
  <c r="F42" i="39"/>
  <c r="F41" i="39"/>
  <c r="S41" i="39" s="1"/>
  <c r="H40" i="39"/>
  <c r="AB40" i="39" s="1"/>
  <c r="H39" i="39"/>
  <c r="U39" i="39" s="1"/>
  <c r="H34" i="39"/>
  <c r="U34" i="39" s="1"/>
  <c r="E108" i="39"/>
  <c r="H31" i="39"/>
  <c r="F31" i="39"/>
  <c r="AA31" i="39" s="1"/>
  <c r="E100" i="39"/>
  <c r="H19" i="39"/>
  <c r="AB19" i="39" s="1"/>
  <c r="F19" i="39"/>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S34" i="21"/>
  <c r="C25" i="39"/>
  <c r="C27" i="39"/>
  <c r="H11" i="39"/>
  <c r="C15" i="39"/>
  <c r="H32" i="33"/>
  <c r="AB32" i="33" s="1"/>
  <c r="H11" i="21"/>
  <c r="J11" i="21"/>
  <c r="W11" i="21" s="1"/>
  <c r="H37" i="40"/>
  <c r="U37" i="40" s="1"/>
  <c r="H36" i="40"/>
  <c r="AB36" i="40" s="1"/>
  <c r="F35" i="40"/>
  <c r="H23" i="40"/>
  <c r="AB23" i="40" s="1"/>
  <c r="H17" i="40"/>
  <c r="U17" i="40" s="1"/>
  <c r="J15" i="40"/>
  <c r="W15" i="40" s="1"/>
  <c r="J11" i="40"/>
  <c r="AB8" i="39"/>
  <c r="AC12" i="34"/>
  <c r="AA12" i="34"/>
  <c r="AB12" i="35"/>
  <c r="W32" i="40"/>
  <c r="J34" i="36"/>
  <c r="U30" i="36"/>
  <c r="J30" i="35"/>
  <c r="W30" i="35" s="1"/>
  <c r="H30" i="35"/>
  <c r="AB30" i="35" s="1"/>
  <c r="F22" i="35"/>
  <c r="AA22" i="35" s="1"/>
  <c r="H10" i="35"/>
  <c r="AC16" i="36"/>
  <c r="W30" i="36"/>
  <c r="H16" i="36"/>
  <c r="AB16" i="36"/>
  <c r="J29" i="36"/>
  <c r="AC29" i="36" s="1"/>
  <c r="F12" i="36"/>
  <c r="AA12" i="36" s="1"/>
  <c r="S34" i="36"/>
  <c r="S10" i="36"/>
  <c r="AB8" i="36"/>
  <c r="S8" i="36"/>
  <c r="F14" i="35"/>
  <c r="AA14" i="35"/>
  <c r="F23" i="35"/>
  <c r="AA23" i="35"/>
  <c r="J32" i="35"/>
  <c r="AC32" i="35"/>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S10" i="37"/>
  <c r="J33" i="37"/>
  <c r="H40" i="34"/>
  <c r="U40" i="34" s="1"/>
  <c r="E114" i="34"/>
  <c r="F114" i="34" s="1"/>
  <c r="G114" i="34" s="1"/>
  <c r="H114" i="34" s="1"/>
  <c r="I114" i="34" s="1"/>
  <c r="J114" i="34" s="1"/>
  <c r="K114" i="34" s="1"/>
  <c r="L114" i="34" s="1"/>
  <c r="M114" i="34" s="1"/>
  <c r="H36" i="34"/>
  <c r="U36" i="34"/>
  <c r="F37" i="34"/>
  <c r="AA37" i="34"/>
  <c r="F28" i="34"/>
  <c r="F25" i="34"/>
  <c r="S25" i="34" s="1"/>
  <c r="H23" i="34"/>
  <c r="U23" i="34" s="1"/>
  <c r="J23" i="34"/>
  <c r="F19" i="34"/>
  <c r="H17" i="34"/>
  <c r="U17" i="34" s="1"/>
  <c r="F15" i="34"/>
  <c r="AA15" i="34" s="1"/>
  <c r="J15" i="34"/>
  <c r="H15" i="34"/>
  <c r="AB15" i="34" s="1"/>
  <c r="J28" i="34"/>
  <c r="F41" i="33"/>
  <c r="AA41" i="33" s="1"/>
  <c r="S38"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AB30" i="36"/>
  <c r="F29" i="35"/>
  <c r="H29" i="35"/>
  <c r="AB29" i="35" s="1"/>
  <c r="H33" i="37"/>
  <c r="AB33" i="37" s="1"/>
  <c r="F33" i="37"/>
  <c r="AA33" i="37" s="1"/>
  <c r="U34" i="37"/>
  <c r="S34" i="37"/>
  <c r="AA34" i="37"/>
  <c r="J43" i="34"/>
  <c r="J40" i="34"/>
  <c r="H38" i="34"/>
  <c r="AB38" i="34"/>
  <c r="J36" i="34"/>
  <c r="W36" i="34"/>
  <c r="H37" i="34"/>
  <c r="U37" i="34"/>
  <c r="H25" i="34"/>
  <c r="AB25" i="34"/>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A38" i="34"/>
  <c r="J37" i="34"/>
  <c r="J11" i="33"/>
  <c r="W11" i="33" s="1"/>
  <c r="U23" i="40"/>
  <c r="J42" i="21"/>
  <c r="AC42" i="21" s="1"/>
  <c r="H42" i="21"/>
  <c r="U42" i="21" s="1"/>
  <c r="J44" i="34"/>
  <c r="W44" i="34" s="1"/>
  <c r="F44" i="34"/>
  <c r="AA44" i="34"/>
  <c r="J10" i="35"/>
  <c r="W10" i="35"/>
  <c r="J14" i="21"/>
  <c r="W14" i="21" s="1"/>
  <c r="H14" i="21"/>
  <c r="U14" i="21" s="1"/>
  <c r="F28" i="21"/>
  <c r="AA28" i="21" s="1"/>
  <c r="H30" i="21"/>
  <c r="U30" i="21" s="1"/>
  <c r="J30" i="21"/>
  <c r="AC30" i="21" s="1"/>
  <c r="J44" i="21"/>
  <c r="AC44" i="21" s="1"/>
  <c r="H44" i="21"/>
  <c r="U44" i="21" s="1"/>
  <c r="F44" i="21"/>
  <c r="AA44" i="21" s="1"/>
  <c r="H26" i="33"/>
  <c r="U26" i="33" s="1"/>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F45" i="21"/>
  <c r="AA45" i="21" s="1"/>
  <c r="J13" i="33"/>
  <c r="H13" i="33"/>
  <c r="U13" i="33" s="1"/>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s="1"/>
  <c r="F13" i="36"/>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U14" i="33"/>
  <c r="F14" i="33"/>
  <c r="S14" i="33"/>
  <c r="J44" i="33"/>
  <c r="F44" i="33"/>
  <c r="H46" i="33"/>
  <c r="H13" i="34"/>
  <c r="U13" i="34" s="1"/>
  <c r="J13" i="34"/>
  <c r="W13" i="34" s="1"/>
  <c r="F13" i="34"/>
  <c r="AA13" i="34" s="1"/>
  <c r="J29" i="34"/>
  <c r="W29" i="34" s="1"/>
  <c r="H31" i="34"/>
  <c r="AB31" i="34" s="1"/>
  <c r="F31" i="34"/>
  <c r="S31" i="34" s="1"/>
  <c r="H45" i="34"/>
  <c r="H47" i="34"/>
  <c r="U47" i="34" s="1"/>
  <c r="F47" i="34"/>
  <c r="S47" i="34" s="1"/>
  <c r="F13" i="35"/>
  <c r="S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F28" i="37"/>
  <c r="AA28" i="37" s="1"/>
  <c r="J28" i="37"/>
  <c r="H28" i="37"/>
  <c r="U28" i="37" s="1"/>
  <c r="H38" i="37"/>
  <c r="AB38" i="37" s="1"/>
  <c r="F38" i="37"/>
  <c r="S38" i="37" s="1"/>
  <c r="H43" i="39"/>
  <c r="J14" i="39"/>
  <c r="AC14" i="39" s="1"/>
  <c r="F14" i="39"/>
  <c r="H14" i="39"/>
  <c r="AB14" i="39"/>
  <c r="F12" i="40"/>
  <c r="S12" i="40"/>
  <c r="H12" i="40"/>
  <c r="U12" i="40" s="1"/>
  <c r="AB12" i="40"/>
  <c r="H30" i="40"/>
  <c r="AB30" i="40"/>
  <c r="J35" i="40"/>
  <c r="AC35" i="40"/>
  <c r="J37" i="40"/>
  <c r="AC37" i="40"/>
  <c r="F14" i="37"/>
  <c r="S14" i="37"/>
  <c r="F27" i="37"/>
  <c r="AA27" i="37"/>
  <c r="J13" i="39"/>
  <c r="W13" i="39" s="1"/>
  <c r="H13" i="39"/>
  <c r="H14" i="40"/>
  <c r="J14" i="40"/>
  <c r="W14" i="40" s="1"/>
  <c r="F14" i="40"/>
  <c r="J14" i="37"/>
  <c r="W14" i="37" s="1"/>
  <c r="J27" i="37"/>
  <c r="AC27" i="37" s="1"/>
  <c r="AA14" i="33"/>
  <c r="J36" i="37"/>
  <c r="AC36" i="37"/>
  <c r="AB11" i="36"/>
  <c r="AB11" i="35"/>
  <c r="J10" i="36"/>
  <c r="AC10" i="36" s="1"/>
  <c r="AB26" i="33"/>
  <c r="AA14" i="37"/>
  <c r="AC13" i="36"/>
  <c r="S11" i="36"/>
  <c r="W11" i="36"/>
  <c r="W11" i="35"/>
  <c r="AB46" i="34"/>
  <c r="AC30" i="34"/>
  <c r="AA14" i="34"/>
  <c r="S45" i="33"/>
  <c r="AB45" i="33"/>
  <c r="AB31" i="33"/>
  <c r="U31" i="33"/>
  <c r="W29" i="33"/>
  <c r="S44" i="34"/>
  <c r="BA586" i="3"/>
  <c r="AZ586" i="3" s="1"/>
  <c r="F17" i="21"/>
  <c r="AA17" i="21" s="1"/>
  <c r="H17" i="21"/>
  <c r="AB17" i="21" s="1"/>
  <c r="F15" i="21"/>
  <c r="S15" i="21" s="1"/>
  <c r="J41" i="39"/>
  <c r="W41" i="39" s="1"/>
  <c r="W35" i="39"/>
  <c r="S35" i="39"/>
  <c r="G540" i="3"/>
  <c r="G536" i="3"/>
  <c r="G535" i="3"/>
  <c r="G531" i="3"/>
  <c r="G528" i="3"/>
  <c r="G527" i="3"/>
  <c r="G518" i="3"/>
  <c r="G514" i="3"/>
  <c r="G510" i="3"/>
  <c r="G504" i="3"/>
  <c r="G500" i="3"/>
  <c r="G496" i="3"/>
  <c r="G584" i="3"/>
  <c r="G580" i="3"/>
  <c r="G576" i="3"/>
  <c r="G572" i="3"/>
  <c r="G564" i="3"/>
  <c r="G560" i="3"/>
  <c r="G554" i="3"/>
  <c r="BL584" i="3"/>
  <c r="BL576" i="3"/>
  <c r="BL568" i="3"/>
  <c r="BL560" i="3"/>
  <c r="BL546" i="3"/>
  <c r="BL538" i="3"/>
  <c r="BL530" i="3"/>
  <c r="BL522" i="3"/>
  <c r="BL512" i="3"/>
  <c r="BL502" i="3"/>
  <c r="BL494" i="3"/>
  <c r="BL578" i="3"/>
  <c r="BL570" i="3"/>
  <c r="BL562" i="3"/>
  <c r="BL552" i="3"/>
  <c r="BL540" i="3"/>
  <c r="G533" i="3"/>
  <c r="G529" i="3"/>
  <c r="G525" i="3"/>
  <c r="BL518" i="3"/>
  <c r="BL510" i="3"/>
  <c r="BL500" i="3"/>
  <c r="AZ500" i="3" s="1"/>
  <c r="G493" i="3"/>
  <c r="BA582" i="3"/>
  <c r="BA580" i="3"/>
  <c r="BA578" i="3"/>
  <c r="AZ578" i="3" s="1"/>
  <c r="BA576" i="3"/>
  <c r="BA574" i="3"/>
  <c r="BA572" i="3"/>
  <c r="BA558" i="3"/>
  <c r="BA554" i="3"/>
  <c r="BA548" i="3"/>
  <c r="BA544" i="3"/>
  <c r="BA540" i="3"/>
  <c r="BA536" i="3"/>
  <c r="BA532" i="3"/>
  <c r="BA528" i="3"/>
  <c r="BA526" i="3"/>
  <c r="BA524" i="3"/>
  <c r="BA522" i="3"/>
  <c r="BA518" i="3"/>
  <c r="AZ518" i="3" s="1"/>
  <c r="BA516" i="3"/>
  <c r="BA512" i="3"/>
  <c r="AZ512" i="3" s="1"/>
  <c r="BA508" i="3"/>
  <c r="BA504" i="3"/>
  <c r="BA500" i="3"/>
  <c r="BA496" i="3"/>
  <c r="BA587" i="3"/>
  <c r="BA581" i="3"/>
  <c r="BA577" i="3"/>
  <c r="BA573" i="3"/>
  <c r="BA569" i="3"/>
  <c r="AZ569" i="3" s="1"/>
  <c r="BA565" i="3"/>
  <c r="BA561" i="3"/>
  <c r="BA555" i="3"/>
  <c r="BA549" i="3"/>
  <c r="BA545" i="3"/>
  <c r="BA541" i="3"/>
  <c r="BA537" i="3"/>
  <c r="BA533" i="3"/>
  <c r="BA529" i="3"/>
  <c r="BA525" i="3"/>
  <c r="BA519" i="3"/>
  <c r="BA515" i="3"/>
  <c r="BA511" i="3"/>
  <c r="BA505" i="3"/>
  <c r="BA501" i="3"/>
  <c r="BA497" i="3"/>
  <c r="BA493" i="3"/>
  <c r="AZ493" i="3" s="1"/>
  <c r="G581" i="3"/>
  <c r="G579" i="3"/>
  <c r="G577" i="3"/>
  <c r="G573" i="3"/>
  <c r="G571" i="3"/>
  <c r="G569" i="3"/>
  <c r="G565" i="3"/>
  <c r="G563" i="3"/>
  <c r="G561" i="3"/>
  <c r="BA557" i="3"/>
  <c r="AC557" i="3"/>
  <c r="G557" i="3"/>
  <c r="BQ557" i="3"/>
  <c r="BL557" i="3"/>
  <c r="AZ557" i="3" s="1"/>
  <c r="BQ583" i="3"/>
  <c r="BL583" i="3"/>
  <c r="BQ581" i="3"/>
  <c r="BQ579" i="3"/>
  <c r="BL579" i="3" s="1"/>
  <c r="BQ577" i="3"/>
  <c r="BL577" i="3"/>
  <c r="BQ575" i="3"/>
  <c r="BQ573" i="3"/>
  <c r="BQ571" i="3"/>
  <c r="BL571" i="3" s="1"/>
  <c r="BQ569" i="3"/>
  <c r="BL569" i="3"/>
  <c r="BQ567" i="3"/>
  <c r="BQ565" i="3"/>
  <c r="BQ563" i="3"/>
  <c r="BL563" i="3" s="1"/>
  <c r="BQ561" i="3"/>
  <c r="BQ559" i="3"/>
  <c r="G559" i="3"/>
  <c r="G555" i="3"/>
  <c r="G553" i="3"/>
  <c r="G547" i="3"/>
  <c r="G545" i="3"/>
  <c r="G543" i="3"/>
  <c r="G539" i="3"/>
  <c r="G537" i="3"/>
  <c r="BQ555" i="3"/>
  <c r="BL555" i="3" s="1"/>
  <c r="BQ553" i="3"/>
  <c r="BL553" i="3"/>
  <c r="BQ551" i="3"/>
  <c r="BQ549" i="3"/>
  <c r="BQ547" i="3"/>
  <c r="BL547" i="3"/>
  <c r="BQ545" i="3"/>
  <c r="BQ543" i="3"/>
  <c r="BQ541" i="3"/>
  <c r="BL541" i="3" s="1"/>
  <c r="BQ539" i="3"/>
  <c r="BL539" i="3"/>
  <c r="BQ537" i="3"/>
  <c r="BQ535" i="3"/>
  <c r="BQ533" i="3"/>
  <c r="BL533" i="3" s="1"/>
  <c r="BQ531" i="3"/>
  <c r="BL531" i="3"/>
  <c r="BQ529" i="3"/>
  <c r="BQ527" i="3"/>
  <c r="BQ525" i="3"/>
  <c r="BL525" i="3" s="1"/>
  <c r="BQ523" i="3"/>
  <c r="BL523" i="3"/>
  <c r="AC521" i="3"/>
  <c r="G521" i="3" s="1"/>
  <c r="BQ521" i="3"/>
  <c r="BL520" i="3"/>
  <c r="G517" i="3"/>
  <c r="G515" i="3"/>
  <c r="G513" i="3"/>
  <c r="BQ519" i="3"/>
  <c r="BQ517" i="3"/>
  <c r="BL517" i="3" s="1"/>
  <c r="BQ515" i="3"/>
  <c r="BL515" i="3"/>
  <c r="BQ513" i="3"/>
  <c r="BQ511" i="3"/>
  <c r="BA509" i="3"/>
  <c r="AC509" i="3"/>
  <c r="BQ509" i="3"/>
  <c r="BL509" i="3" s="1"/>
  <c r="G507" i="3"/>
  <c r="G503" i="3"/>
  <c r="G501" i="3"/>
  <c r="G499" i="3"/>
  <c r="G495" i="3"/>
  <c r="BQ507" i="3"/>
  <c r="BL507" i="3"/>
  <c r="BQ505" i="3"/>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AB43" i="33"/>
  <c r="H17" i="37"/>
  <c r="U17" i="37"/>
  <c r="AB27" i="37"/>
  <c r="U32" i="33"/>
  <c r="F39" i="33"/>
  <c r="AA39" i="33" s="1"/>
  <c r="E123" i="33"/>
  <c r="F42" i="33"/>
  <c r="AA42" i="33" s="1"/>
  <c r="H28" i="34"/>
  <c r="F14" i="36"/>
  <c r="AA14" i="36" s="1"/>
  <c r="F22" i="36"/>
  <c r="S22" i="36" s="1"/>
  <c r="F26" i="36"/>
  <c r="S26" i="36" s="1"/>
  <c r="H35" i="34"/>
  <c r="U35" i="34" s="1"/>
  <c r="F41" i="34"/>
  <c r="H41" i="34"/>
  <c r="U41" i="34" s="1"/>
  <c r="J41" i="34"/>
  <c r="AC41" i="34"/>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c r="U43" i="33"/>
  <c r="S28" i="31"/>
  <c r="S27" i="31"/>
  <c r="S26" i="31"/>
  <c r="AC32" i="36"/>
  <c r="U35" i="35"/>
  <c r="W23" i="35"/>
  <c r="W26" i="37"/>
  <c r="AC8" i="37"/>
  <c r="U26" i="37"/>
  <c r="W47" i="34"/>
  <c r="AB13" i="34"/>
  <c r="AB37" i="34"/>
  <c r="AC36" i="34"/>
  <c r="AA13" i="33"/>
  <c r="AC31" i="33"/>
  <c r="AC45" i="33"/>
  <c r="U11" i="33"/>
  <c r="U19" i="21"/>
  <c r="W44" i="21"/>
  <c r="U26"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c r="L94" i="37" s="1"/>
  <c r="M94" i="37" s="1"/>
  <c r="H31" i="37"/>
  <c r="U31" i="37"/>
  <c r="J15" i="37"/>
  <c r="W15" i="37"/>
  <c r="AA25" i="21"/>
  <c r="C12" i="43"/>
  <c r="H19" i="40"/>
  <c r="U19" i="40" s="1"/>
  <c r="F88" i="40"/>
  <c r="G88" i="40" s="1"/>
  <c r="F19" i="40"/>
  <c r="W23" i="39"/>
  <c r="U45" i="39"/>
  <c r="AB45" i="39"/>
  <c r="H37" i="39"/>
  <c r="AB37" i="39"/>
  <c r="H25" i="39"/>
  <c r="AB25" i="39" s="1"/>
  <c r="J25" i="39"/>
  <c r="W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7" i="34"/>
  <c r="C7" i="36"/>
  <c r="W35" i="40"/>
  <c r="J11" i="39"/>
  <c r="W11" i="39" s="1"/>
  <c r="F11" i="39"/>
  <c r="S11" i="39" s="1"/>
  <c r="AA11" i="39"/>
  <c r="A12" i="52"/>
  <c r="B56" i="72" s="1"/>
  <c r="G4" i="4"/>
  <c r="I4" i="4"/>
  <c r="F59" i="43"/>
  <c r="H62" i="43" s="1"/>
  <c r="AZ20" i="3"/>
  <c r="AZ32" i="3"/>
  <c r="BL549" i="3"/>
  <c r="AZ522" i="3"/>
  <c r="G546" i="3"/>
  <c r="G524" i="3"/>
  <c r="G303" i="3"/>
  <c r="BL304" i="3"/>
  <c r="G305" i="3"/>
  <c r="BL306" i="3"/>
  <c r="BA308" i="3"/>
  <c r="AZ308" i="3"/>
  <c r="BA309" i="3"/>
  <c r="BL309" i="3"/>
  <c r="G310" i="3"/>
  <c r="BA311" i="3"/>
  <c r="AZ311" i="3" s="1"/>
  <c r="G319" i="3"/>
  <c r="BL320" i="3"/>
  <c r="G321" i="3"/>
  <c r="BL322" i="3"/>
  <c r="AZ322" i="3" s="1"/>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G117" i="3"/>
  <c r="BA119" i="3"/>
  <c r="BL120" i="3"/>
  <c r="AZ120" i="3" s="1"/>
  <c r="G121" i="3"/>
  <c r="BA123" i="3"/>
  <c r="BL124" i="3"/>
  <c r="AZ124" i="3" s="1"/>
  <c r="G125" i="3"/>
  <c r="BA127" i="3"/>
  <c r="BL128" i="3"/>
  <c r="G129" i="3"/>
  <c r="BA131" i="3"/>
  <c r="BL132" i="3"/>
  <c r="AZ132" i="3" s="1"/>
  <c r="G133" i="3"/>
  <c r="BA135" i="3"/>
  <c r="AZ135" i="3" s="1"/>
  <c r="BL136" i="3"/>
  <c r="G137" i="3"/>
  <c r="BA139" i="3"/>
  <c r="BL140" i="3"/>
  <c r="G141" i="3"/>
  <c r="BA143" i="3"/>
  <c r="AZ143" i="3"/>
  <c r="BL144" i="3"/>
  <c r="AZ144" i="3" s="1"/>
  <c r="G145" i="3"/>
  <c r="BA147" i="3"/>
  <c r="BL148" i="3"/>
  <c r="G149" i="3"/>
  <c r="BA151" i="3"/>
  <c r="BL152" i="3"/>
  <c r="AZ152" i="3" s="1"/>
  <c r="G153" i="3"/>
  <c r="BA155" i="3"/>
  <c r="BL156" i="3"/>
  <c r="G157" i="3"/>
  <c r="BA159" i="3"/>
  <c r="AZ159" i="3" s="1"/>
  <c r="BL160" i="3"/>
  <c r="G161" i="3"/>
  <c r="BA163" i="3"/>
  <c r="BL164" i="3"/>
  <c r="AZ164" i="3" s="1"/>
  <c r="G165" i="3"/>
  <c r="BA167" i="3"/>
  <c r="BL168" i="3"/>
  <c r="G169" i="3"/>
  <c r="BA171" i="3"/>
  <c r="AZ171" i="3" s="1"/>
  <c r="BL172" i="3"/>
  <c r="G173" i="3"/>
  <c r="BA175" i="3"/>
  <c r="AZ175" i="3" s="1"/>
  <c r="BL176" i="3"/>
  <c r="AZ176" i="3" s="1"/>
  <c r="G177" i="3"/>
  <c r="BA179" i="3"/>
  <c r="BL180" i="3"/>
  <c r="AZ180" i="3" s="1"/>
  <c r="G181" i="3"/>
  <c r="BA183" i="3"/>
  <c r="AZ183" i="3" s="1"/>
  <c r="BL184" i="3"/>
  <c r="G185" i="3"/>
  <c r="BA187" i="3"/>
  <c r="BL188" i="3"/>
  <c r="AZ188" i="3" s="1"/>
  <c r="G189" i="3"/>
  <c r="BA191" i="3"/>
  <c r="BL192" i="3"/>
  <c r="G193" i="3"/>
  <c r="BA195" i="3"/>
  <c r="BL196" i="3"/>
  <c r="AZ196" i="3"/>
  <c r="G197" i="3"/>
  <c r="BA199" i="3"/>
  <c r="AZ199" i="3" s="1"/>
  <c r="BL200" i="3"/>
  <c r="G201" i="3"/>
  <c r="BA203" i="3"/>
  <c r="AZ203" i="3" s="1"/>
  <c r="BL204" i="3"/>
  <c r="AZ204" i="3" s="1"/>
  <c r="AZ136" i="3"/>
  <c r="AZ192" i="3"/>
  <c r="G530" i="3"/>
  <c r="G522" i="3"/>
  <c r="G516" i="3"/>
  <c r="G512" i="3"/>
  <c r="G506" i="3"/>
  <c r="G498" i="3"/>
  <c r="G494" i="3"/>
  <c r="G16" i="3"/>
  <c r="G15" i="3"/>
  <c r="BA304" i="3"/>
  <c r="BA305" i="3"/>
  <c r="BL305" i="3"/>
  <c r="G306" i="3"/>
  <c r="G309" i="3"/>
  <c r="BL310" i="3"/>
  <c r="BA312" i="3"/>
  <c r="AZ312" i="3" s="1"/>
  <c r="BA313" i="3"/>
  <c r="AZ313" i="3" s="1"/>
  <c r="BL313" i="3"/>
  <c r="G314" i="3"/>
  <c r="G317" i="3"/>
  <c r="BL318" i="3"/>
  <c r="BA320" i="3"/>
  <c r="AZ320" i="3" s="1"/>
  <c r="BA321" i="3"/>
  <c r="BL321" i="3"/>
  <c r="G322" i="3"/>
  <c r="G325" i="3"/>
  <c r="BL326" i="3"/>
  <c r="BA328" i="3"/>
  <c r="BA329" i="3"/>
  <c r="BL329" i="3"/>
  <c r="G330" i="3"/>
  <c r="G333" i="3"/>
  <c r="BL334" i="3"/>
  <c r="BA336" i="3"/>
  <c r="BA337" i="3"/>
  <c r="BL337" i="3"/>
  <c r="AZ337" i="3" s="1"/>
  <c r="G338" i="3"/>
  <c r="G341" i="3"/>
  <c r="BA342" i="3"/>
  <c r="BL342" i="3"/>
  <c r="BA344" i="3"/>
  <c r="BL344" i="3"/>
  <c r="BA346" i="3"/>
  <c r="BA347" i="3"/>
  <c r="BL347" i="3"/>
  <c r="G350" i="3"/>
  <c r="BA351" i="3"/>
  <c r="AZ351" i="3" s="1"/>
  <c r="BL351" i="3"/>
  <c r="G352" i="3"/>
  <c r="G354" i="3"/>
  <c r="BA355" i="3"/>
  <c r="BA356" i="3"/>
  <c r="BL356" i="3"/>
  <c r="AZ356" i="3" s="1"/>
  <c r="G357" i="3"/>
  <c r="G360" i="3"/>
  <c r="BL361" i="3"/>
  <c r="BA363" i="3"/>
  <c r="AZ363" i="3" s="1"/>
  <c r="BA364" i="3"/>
  <c r="BL364" i="3"/>
  <c r="AZ364" i="3" s="1"/>
  <c r="G365" i="3"/>
  <c r="G368" i="3"/>
  <c r="BL369" i="3"/>
  <c r="BA371" i="3"/>
  <c r="BA372" i="3"/>
  <c r="BL372" i="3"/>
  <c r="G373" i="3"/>
  <c r="G376" i="3"/>
  <c r="BL377" i="3"/>
  <c r="AZ377" i="3" s="1"/>
  <c r="BL379" i="3"/>
  <c r="BA381" i="3"/>
  <c r="BA382" i="3"/>
  <c r="BL382" i="3"/>
  <c r="AZ382" i="3" s="1"/>
  <c r="G383" i="3"/>
  <c r="G386" i="3"/>
  <c r="BL387" i="3"/>
  <c r="BA389" i="3"/>
  <c r="AZ389" i="3" s="1"/>
  <c r="BA390" i="3"/>
  <c r="BL390" i="3"/>
  <c r="AZ390" i="3" s="1"/>
  <c r="G391" i="3"/>
  <c r="G394" i="3"/>
  <c r="AZ170" i="3"/>
  <c r="AZ186" i="3"/>
  <c r="BA16" i="3"/>
  <c r="BL303" i="3"/>
  <c r="G304" i="3"/>
  <c r="BA306" i="3"/>
  <c r="AZ306" i="3" s="1"/>
  <c r="BL307" i="3"/>
  <c r="G308" i="3"/>
  <c r="BA310" i="3"/>
  <c r="BL311" i="3"/>
  <c r="G312" i="3"/>
  <c r="BA314" i="3"/>
  <c r="BL315" i="3"/>
  <c r="G316" i="3"/>
  <c r="BA318" i="3"/>
  <c r="BL319" i="3"/>
  <c r="AZ319" i="3" s="1"/>
  <c r="G320" i="3"/>
  <c r="BA322" i="3"/>
  <c r="BL323" i="3"/>
  <c r="G324" i="3"/>
  <c r="BA326" i="3"/>
  <c r="AZ326" i="3"/>
  <c r="BL327" i="3"/>
  <c r="AZ327" i="3"/>
  <c r="G328" i="3"/>
  <c r="BA330" i="3"/>
  <c r="BL331" i="3"/>
  <c r="G332" i="3"/>
  <c r="BA334" i="3"/>
  <c r="BL335" i="3"/>
  <c r="AZ335" i="3" s="1"/>
  <c r="G336" i="3"/>
  <c r="BA338" i="3"/>
  <c r="AZ338" i="3"/>
  <c r="BL339" i="3"/>
  <c r="G340" i="3"/>
  <c r="BL343" i="3"/>
  <c r="G344" i="3"/>
  <c r="G348" i="3"/>
  <c r="G355" i="3"/>
  <c r="AZ303" i="3"/>
  <c r="G342" i="3"/>
  <c r="BL345" i="3"/>
  <c r="AZ345" i="3"/>
  <c r="G346" i="3"/>
  <c r="BL349" i="3"/>
  <c r="BL352" i="3"/>
  <c r="G353" i="3"/>
  <c r="BA357" i="3"/>
  <c r="AZ357" i="3" s="1"/>
  <c r="BL358" i="3"/>
  <c r="G359" i="3"/>
  <c r="BA361" i="3"/>
  <c r="AZ361" i="3" s="1"/>
  <c r="BL362" i="3"/>
  <c r="G363" i="3"/>
  <c r="BA365" i="3"/>
  <c r="BL366" i="3"/>
  <c r="AZ366" i="3" s="1"/>
  <c r="G367" i="3"/>
  <c r="BA369" i="3"/>
  <c r="AZ369" i="3" s="1"/>
  <c r="BL370" i="3"/>
  <c r="G371" i="3"/>
  <c r="BA373" i="3"/>
  <c r="BL374" i="3"/>
  <c r="G375" i="3"/>
  <c r="BA377" i="3"/>
  <c r="AZ370" i="3"/>
  <c r="BA379" i="3"/>
  <c r="BL380" i="3"/>
  <c r="G381" i="3"/>
  <c r="BA383" i="3"/>
  <c r="BL384" i="3"/>
  <c r="AZ384" i="3" s="1"/>
  <c r="G385" i="3"/>
  <c r="BA387" i="3"/>
  <c r="AZ387" i="3" s="1"/>
  <c r="BL388" i="3"/>
  <c r="G389" i="3"/>
  <c r="BA391" i="3"/>
  <c r="AZ391" i="3" s="1"/>
  <c r="BL392" i="3"/>
  <c r="AZ392" i="3" s="1"/>
  <c r="G393" i="3"/>
  <c r="AZ283" i="3"/>
  <c r="BO5" i="3"/>
  <c r="BJ5" i="3"/>
  <c r="BH5" i="3"/>
  <c r="BF5" i="3"/>
  <c r="AZ341" i="3"/>
  <c r="AC5" i="3"/>
  <c r="AZ549" i="3"/>
  <c r="G548" i="3"/>
  <c r="G538" i="3"/>
  <c r="G520" i="3"/>
  <c r="BS5" i="3"/>
  <c r="BP5" i="3"/>
  <c r="G29" i="6" s="1"/>
  <c r="BN5" i="3"/>
  <c r="BI5" i="3"/>
  <c r="BG5" i="3"/>
  <c r="BE5" i="3"/>
  <c r="G17" i="3"/>
  <c r="BA17" i="3"/>
  <c r="BT5" i="3"/>
  <c r="AZ360" i="3"/>
  <c r="BA15" i="3"/>
  <c r="BB5" i="3"/>
  <c r="BR5" i="3"/>
  <c r="AZ380" i="3"/>
  <c r="G509" i="3"/>
  <c r="BL493" i="3"/>
  <c r="U36" i="40"/>
  <c r="F36" i="43"/>
  <c r="F81" i="43"/>
  <c r="H113" i="43"/>
  <c r="F48" i="43"/>
  <c r="H52" i="43" s="1"/>
  <c r="F70" i="43"/>
  <c r="H73" i="43" s="1"/>
  <c r="M11" i="43"/>
  <c r="D17" i="43"/>
  <c r="F39" i="43"/>
  <c r="I17" i="43"/>
  <c r="F35" i="43"/>
  <c r="J17" i="43"/>
  <c r="F6" i="1"/>
  <c r="U17" i="39"/>
  <c r="S14" i="35"/>
  <c r="U43" i="21"/>
  <c r="U10" i="21"/>
  <c r="G8" i="1"/>
  <c r="G9" i="1"/>
  <c r="G10" i="1"/>
  <c r="AC11" i="39"/>
  <c r="W37" i="37"/>
  <c r="AC44" i="34"/>
  <c r="S15" i="37"/>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G96" i="37" s="1"/>
  <c r="H96" i="37" s="1"/>
  <c r="I96" i="37" s="1"/>
  <c r="J96" i="37" s="1"/>
  <c r="K96" i="37" s="1"/>
  <c r="L96" i="37" s="1"/>
  <c r="M96" i="37" s="1"/>
  <c r="H27" i="40"/>
  <c r="U27" i="40" s="1"/>
  <c r="F27" i="40"/>
  <c r="S27" i="40" s="1"/>
  <c r="J30" i="40"/>
  <c r="AC30" i="40" s="1"/>
  <c r="F30" i="40"/>
  <c r="AA30" i="40" s="1"/>
  <c r="AC21" i="40"/>
  <c r="S31" i="39"/>
  <c r="E98" i="40"/>
  <c r="F98" i="40"/>
  <c r="G98" i="40"/>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J39" i="39"/>
  <c r="AC39" i="39" s="1"/>
  <c r="E96" i="39"/>
  <c r="F96" i="39" s="1"/>
  <c r="G96" i="39" s="1"/>
  <c r="AZ386" i="3"/>
  <c r="C40" i="11"/>
  <c r="AZ280" i="3"/>
  <c r="AZ296" i="3"/>
  <c r="AZ42" i="3"/>
  <c r="H75" i="43"/>
  <c r="H50" i="43"/>
  <c r="I20" i="43"/>
  <c r="F23" i="39"/>
  <c r="AA23" i="39"/>
  <c r="H27" i="36"/>
  <c r="U27" i="36" s="1"/>
  <c r="F27" i="36"/>
  <c r="AA27" i="36" s="1"/>
  <c r="H33" i="34"/>
  <c r="F32" i="37"/>
  <c r="AA32" i="37"/>
  <c r="F20" i="36"/>
  <c r="AA20" i="36" s="1"/>
  <c r="J33" i="34"/>
  <c r="H23" i="39"/>
  <c r="U23" i="39" s="1"/>
  <c r="D48" i="9"/>
  <c r="M52" i="9" s="1"/>
  <c r="H86" i="43"/>
  <c r="H82" i="43"/>
  <c r="K9" i="1"/>
  <c r="M9" i="1" s="1"/>
  <c r="AE9" i="1"/>
  <c r="D93" i="9"/>
  <c r="K6" i="1"/>
  <c r="M6" i="1" s="1"/>
  <c r="O6" i="1" s="1"/>
  <c r="AC26" i="33"/>
  <c r="W26" i="33"/>
  <c r="U33" i="36"/>
  <c r="AC12" i="39"/>
  <c r="W12" i="39"/>
  <c r="AA32" i="36"/>
  <c r="S32" i="36"/>
  <c r="AA39" i="34"/>
  <c r="BL14" i="3"/>
  <c r="AC13" i="34"/>
  <c r="AA47" i="34"/>
  <c r="H12" i="39"/>
  <c r="AB12" i="39" s="1"/>
  <c r="F39" i="40"/>
  <c r="BA14" i="3"/>
  <c r="AZ14" i="3" s="1"/>
  <c r="S12" i="1"/>
  <c r="AQ12" i="1" s="1"/>
  <c r="R12" i="1"/>
  <c r="B12" i="1"/>
  <c r="E12" i="1" s="1"/>
  <c r="S10" i="1"/>
  <c r="AQ10" i="1" s="1"/>
  <c r="R10" i="1"/>
  <c r="B10" i="1"/>
  <c r="E10" i="1" s="1"/>
  <c r="K12" i="1"/>
  <c r="M12" i="1" s="1"/>
  <c r="S13" i="1"/>
  <c r="AR13" i="1" s="1"/>
  <c r="R13" i="1"/>
  <c r="S11" i="1"/>
  <c r="AQ11" i="1" s="1"/>
  <c r="R11" i="1"/>
  <c r="S9" i="1"/>
  <c r="AR9" i="1" s="1"/>
  <c r="R9" i="1"/>
  <c r="J51" i="67"/>
  <c r="C42" i="1"/>
  <c r="C77" i="9" s="1"/>
  <c r="C74" i="9" s="1"/>
  <c r="H100" i="43"/>
  <c r="AC34" i="33"/>
  <c r="AA34" i="33"/>
  <c r="B41" i="1"/>
  <c r="F53" i="9" s="1"/>
  <c r="S22" i="31"/>
  <c r="J100" i="43"/>
  <c r="AB37" i="40"/>
  <c r="U35" i="40"/>
  <c r="AC36" i="40"/>
  <c r="W38" i="40"/>
  <c r="S17" i="40"/>
  <c r="S23" i="40"/>
  <c r="AC17" i="40"/>
  <c r="AC15" i="40"/>
  <c r="S30" i="40"/>
  <c r="AA27" i="40"/>
  <c r="U21" i="40"/>
  <c r="AB19" i="40"/>
  <c r="U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U12" i="39"/>
  <c r="S23" i="36"/>
  <c r="U13" i="36"/>
  <c r="AC27" i="36"/>
  <c r="AB27" i="36"/>
  <c r="U26" i="36"/>
  <c r="S27" i="36"/>
  <c r="AA26" i="36"/>
  <c r="AA34" i="36"/>
  <c r="S29" i="36"/>
  <c r="AC26" i="36"/>
  <c r="AA22" i="36"/>
  <c r="W14" i="36"/>
  <c r="AB14" i="36"/>
  <c r="U22" i="36"/>
  <c r="S16" i="36"/>
  <c r="AA25" i="36"/>
  <c r="U23" i="36"/>
  <c r="U16" i="36"/>
  <c r="S14" i="36"/>
  <c r="U10" i="36"/>
  <c r="W10" i="36"/>
  <c r="AA25" i="35"/>
  <c r="S23" i="35"/>
  <c r="W24" i="35"/>
  <c r="U29" i="35"/>
  <c r="AB27" i="35"/>
  <c r="U36" i="35"/>
  <c r="U32" i="35"/>
  <c r="AC30" i="35"/>
  <c r="S32" i="35"/>
  <c r="AA36" i="35"/>
  <c r="W32" i="35"/>
  <c r="S28" i="35"/>
  <c r="AB16" i="35"/>
  <c r="U22" i="35"/>
  <c r="S20" i="35"/>
  <c r="AC20" i="35"/>
  <c r="S22" i="35"/>
  <c r="U14" i="35"/>
  <c r="AC10" i="35"/>
  <c r="AA10" i="35"/>
  <c r="AA11" i="35"/>
  <c r="S8" i="35"/>
  <c r="AC9" i="35"/>
  <c r="W9" i="35"/>
  <c r="AC12" i="35"/>
  <c r="F9" i="35"/>
  <c r="S9" i="35" s="1"/>
  <c r="H9" i="35"/>
  <c r="F26" i="35"/>
  <c r="AA26" i="35" s="1"/>
  <c r="J26" i="35"/>
  <c r="H26" i="35"/>
  <c r="AB40" i="37"/>
  <c r="S25" i="37"/>
  <c r="W27" i="37"/>
  <c r="S26" i="37"/>
  <c r="AC9" i="37"/>
  <c r="U29" i="37"/>
  <c r="S32" i="37"/>
  <c r="AB31" i="37"/>
  <c r="W30" i="37"/>
  <c r="S36" i="37"/>
  <c r="AA38" i="37"/>
  <c r="U32" i="37"/>
  <c r="W38" i="37"/>
  <c r="AC35" i="37"/>
  <c r="S30" i="37"/>
  <c r="AC15" i="37"/>
  <c r="J17" i="37"/>
  <c r="W17" i="37" s="1"/>
  <c r="G73" i="37"/>
  <c r="F17" i="37"/>
  <c r="AA17" i="37"/>
  <c r="AB17" i="37"/>
  <c r="F75" i="37"/>
  <c r="G75" i="37" s="1"/>
  <c r="F19" i="37"/>
  <c r="F79" i="37"/>
  <c r="G79" i="37" s="1"/>
  <c r="F23" i="37"/>
  <c r="S23" i="37"/>
  <c r="U23" i="37"/>
  <c r="U15" i="37"/>
  <c r="AA13" i="37"/>
  <c r="AA12" i="37"/>
  <c r="AA9" i="37"/>
  <c r="H10" i="37"/>
  <c r="H60" i="37"/>
  <c r="F63" i="37"/>
  <c r="G63" i="37" s="1"/>
  <c r="F11" i="37"/>
  <c r="S11" i="37"/>
  <c r="W25" i="34"/>
  <c r="AA33" i="34"/>
  <c r="U43" i="34"/>
  <c r="AC39" i="34"/>
  <c r="W41" i="34"/>
  <c r="AC42" i="34"/>
  <c r="AB35" i="34"/>
  <c r="U39" i="34"/>
  <c r="W34" i="34"/>
  <c r="AA25" i="34"/>
  <c r="S17" i="34"/>
  <c r="S23" i="34"/>
  <c r="U15" i="34"/>
  <c r="S10" i="34"/>
  <c r="S13"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W43" i="33"/>
  <c r="S43" i="33"/>
  <c r="F91" i="33"/>
  <c r="G91" i="33" s="1"/>
  <c r="H91" i="33" s="1"/>
  <c r="I91" i="33" s="1"/>
  <c r="J91" i="33" s="1"/>
  <c r="K91" i="33" s="1"/>
  <c r="L91" i="33" s="1"/>
  <c r="M91" i="33" s="1"/>
  <c r="H27" i="33"/>
  <c r="F87" i="33"/>
  <c r="H25" i="33"/>
  <c r="F25" i="33"/>
  <c r="S25" i="33" s="1"/>
  <c r="J23" i="33"/>
  <c r="W23" i="33" s="1"/>
  <c r="F85" i="33"/>
  <c r="G85" i="33" s="1"/>
  <c r="H23" i="33"/>
  <c r="F81" i="33"/>
  <c r="G81" i="33" s="1"/>
  <c r="F19" i="33"/>
  <c r="S19" i="33" s="1"/>
  <c r="W19" i="33"/>
  <c r="J17" i="33"/>
  <c r="F79" i="33"/>
  <c r="G79" i="33" s="1"/>
  <c r="S15" i="33"/>
  <c r="W15" i="33"/>
  <c r="I66" i="33"/>
  <c r="J10" i="33"/>
  <c r="W10" i="33" s="1"/>
  <c r="H10" i="33"/>
  <c r="AA10" i="33"/>
  <c r="AC11" i="33"/>
  <c r="AB14" i="33"/>
  <c r="W43" i="21"/>
  <c r="W36" i="21"/>
  <c r="W41" i="21"/>
  <c r="AA43" i="21"/>
  <c r="S39" i="21"/>
  <c r="AA38" i="21"/>
  <c r="AA36" i="21"/>
  <c r="AC40" i="21"/>
  <c r="J15" i="21"/>
  <c r="W15" i="21"/>
  <c r="F77" i="21"/>
  <c r="G77" i="21"/>
  <c r="F23" i="21"/>
  <c r="S23" i="21" s="1"/>
  <c r="E85" i="21"/>
  <c r="AC11" i="21"/>
  <c r="AA14" i="21"/>
  <c r="AB8" i="21"/>
  <c r="S8" i="21"/>
  <c r="M3" i="43"/>
  <c r="M1" i="43"/>
  <c r="N8" i="43"/>
  <c r="D120" i="9"/>
  <c r="D121" i="9" s="1"/>
  <c r="D7" i="52" s="1"/>
  <c r="F34" i="67"/>
  <c r="F62" i="67" s="1"/>
  <c r="M20" i="67"/>
  <c r="F34" i="15"/>
  <c r="F62" i="15" s="1"/>
  <c r="G13" i="3"/>
  <c r="BA13" i="3"/>
  <c r="BL17" i="3"/>
  <c r="AZ17" i="3"/>
  <c r="BL13" i="3"/>
  <c r="J56" i="9"/>
  <c r="J57" i="9" s="1"/>
  <c r="J59" i="9" s="1"/>
  <c r="J61" i="9" s="1"/>
  <c r="A24" i="51"/>
  <c r="B18" i="72"/>
  <c r="E5" i="6"/>
  <c r="D9" i="11" s="1"/>
  <c r="C9" i="11" s="1"/>
  <c r="E32" i="6"/>
  <c r="L19" i="6"/>
  <c r="G1" i="68"/>
  <c r="K1" i="12"/>
  <c r="E19" i="69"/>
  <c r="E19" i="68"/>
  <c r="E19" i="11"/>
  <c r="E1" i="73"/>
  <c r="G22" i="69"/>
  <c r="G22" i="68"/>
  <c r="G22" i="11"/>
  <c r="C100" i="43"/>
  <c r="E81" i="43"/>
  <c r="B79" i="43"/>
  <c r="E48" i="43"/>
  <c r="B46" i="43"/>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H65" i="43"/>
  <c r="H64" i="43"/>
  <c r="H63" i="43"/>
  <c r="H55" i="43"/>
  <c r="H56" i="43"/>
  <c r="H72" i="43"/>
  <c r="L20" i="6"/>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AA15" i="40"/>
  <c r="U11" i="40"/>
  <c r="S31" i="40"/>
  <c r="U15" i="40"/>
  <c r="AB17" i="40"/>
  <c r="U8" i="40"/>
  <c r="S8" i="40"/>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W22" i="36"/>
  <c r="W23"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U44" i="33"/>
  <c r="AB44" i="33"/>
  <c r="S31" i="33"/>
  <c r="AA31" i="33"/>
  <c r="W13" i="33"/>
  <c r="AC13" i="33"/>
  <c r="U15" i="33"/>
  <c r="S11" i="33"/>
  <c r="U37" i="33"/>
  <c r="AC28" i="33"/>
  <c r="S28" i="33"/>
  <c r="W8" i="33"/>
  <c r="S44" i="21"/>
  <c r="AB42" i="21"/>
  <c r="AA11" i="21"/>
  <c r="S45" i="21"/>
  <c r="I101" i="21"/>
  <c r="J101" i="21" s="1"/>
  <c r="K101" i="21" s="1"/>
  <c r="L101" i="21" s="1"/>
  <c r="M101" i="21" s="1"/>
  <c r="F33" i="21"/>
  <c r="AA33" i="21" s="1"/>
  <c r="J33" i="21"/>
  <c r="H33" i="21"/>
  <c r="AB33" i="21"/>
  <c r="F37" i="21"/>
  <c r="AA37" i="21" s="1"/>
  <c r="AA26" i="21"/>
  <c r="AB14" i="21"/>
  <c r="U40" i="21"/>
  <c r="AC15" i="21"/>
  <c r="U13" i="21"/>
  <c r="AB13" i="21"/>
  <c r="W8" i="21"/>
  <c r="S35" i="21"/>
  <c r="AB37" i="21"/>
  <c r="J37" i="21"/>
  <c r="W37" i="21" s="1"/>
  <c r="H15" i="21"/>
  <c r="J17" i="21"/>
  <c r="W17" i="21" s="1"/>
  <c r="AC17" i="21"/>
  <c r="AC19" i="21"/>
  <c r="W39" i="21"/>
  <c r="AC14" i="21"/>
  <c r="W30" i="21"/>
  <c r="H45" i="21"/>
  <c r="AB45" i="21" s="1"/>
  <c r="U45" i="21"/>
  <c r="F29" i="21"/>
  <c r="AA29" i="21" s="1"/>
  <c r="F13" i="21"/>
  <c r="AA13" i="21"/>
  <c r="AC38" i="21"/>
  <c r="H32" i="21"/>
  <c r="AB32" i="21" s="1"/>
  <c r="H9" i="21"/>
  <c r="J9" i="21"/>
  <c r="J32" i="21"/>
  <c r="W32" i="21" s="1"/>
  <c r="F32" i="21"/>
  <c r="U17" i="21"/>
  <c r="W29" i="21"/>
  <c r="S19" i="21"/>
  <c r="S9" i="21"/>
  <c r="AA9" i="21"/>
  <c r="K141" i="21"/>
  <c r="K144" i="21"/>
  <c r="K143" i="21"/>
  <c r="U27" i="21"/>
  <c r="AB25" i="21"/>
  <c r="AA30" i="21"/>
  <c r="W13" i="21"/>
  <c r="W42" i="21"/>
  <c r="AC45" i="21"/>
  <c r="F10" i="21"/>
  <c r="K145" i="21"/>
  <c r="W25" i="21"/>
  <c r="S27" i="21"/>
  <c r="S17" i="21"/>
  <c r="AA15" i="21"/>
  <c r="AC27" i="21"/>
  <c r="AC26" i="21"/>
  <c r="AB29" i="21"/>
  <c r="AC34" i="21"/>
  <c r="W10" i="21"/>
  <c r="AB36" i="21"/>
  <c r="W30" i="40"/>
  <c r="C19" i="39"/>
  <c r="C15" i="40"/>
  <c r="C17" i="40"/>
  <c r="C23" i="40"/>
  <c r="U30" i="40"/>
  <c r="B54" i="43"/>
  <c r="B65" i="43"/>
  <c r="B49" i="43"/>
  <c r="B52" i="43"/>
  <c r="B56" i="43"/>
  <c r="B60" i="43"/>
  <c r="B63" i="43"/>
  <c r="B67" i="43"/>
  <c r="D23" i="15"/>
  <c r="D22" i="15"/>
  <c r="E4" i="4"/>
  <c r="B5" i="62" s="1"/>
  <c r="B73" i="72" s="1"/>
  <c r="C4" i="4"/>
  <c r="AQ13" i="1"/>
  <c r="F30" i="68"/>
  <c r="F48" i="68" s="1"/>
  <c r="M18" i="15"/>
  <c r="T11" i="1"/>
  <c r="AA39" i="40"/>
  <c r="S39" i="40"/>
  <c r="J32" i="39"/>
  <c r="W32" i="39" s="1"/>
  <c r="H32" i="39"/>
  <c r="AA32" i="39"/>
  <c r="S32" i="39"/>
  <c r="AB21" i="39"/>
  <c r="U21" i="39"/>
  <c r="AA21" i="39"/>
  <c r="S21" i="39"/>
  <c r="U9" i="35"/>
  <c r="AB9" i="35"/>
  <c r="AC26" i="35"/>
  <c r="W26" i="35"/>
  <c r="AB26" i="35"/>
  <c r="U26" i="35"/>
  <c r="AC17" i="37"/>
  <c r="S17" i="37"/>
  <c r="J19" i="37"/>
  <c r="S19" i="37"/>
  <c r="AA19" i="37"/>
  <c r="AA23" i="37"/>
  <c r="J23" i="37"/>
  <c r="AC23" i="37" s="1"/>
  <c r="J10" i="37"/>
  <c r="W10" i="37" s="1"/>
  <c r="I60" i="37"/>
  <c r="H11" i="37"/>
  <c r="AB10" i="37"/>
  <c r="U10" i="37"/>
  <c r="G70" i="34"/>
  <c r="H70" i="34" s="1"/>
  <c r="I70" i="34" s="1"/>
  <c r="H11" i="34"/>
  <c r="AB11" i="34" s="1"/>
  <c r="AB10" i="34"/>
  <c r="U10" i="34"/>
  <c r="J10" i="34"/>
  <c r="W10" i="34" s="1"/>
  <c r="I67" i="34"/>
  <c r="AB41" i="33"/>
  <c r="U41" i="33"/>
  <c r="AC35" i="33"/>
  <c r="H111" i="33"/>
  <c r="I111" i="33" s="1"/>
  <c r="J111" i="33" s="1"/>
  <c r="K111" i="33" s="1"/>
  <c r="L111" i="33" s="1"/>
  <c r="M111" i="33" s="1"/>
  <c r="J36" i="33"/>
  <c r="H36" i="33"/>
  <c r="S36" i="33"/>
  <c r="AA36" i="33"/>
  <c r="AC32" i="33"/>
  <c r="U27" i="33"/>
  <c r="AB27" i="33"/>
  <c r="J27" i="33"/>
  <c r="U25" i="33"/>
  <c r="AB25" i="33"/>
  <c r="G87" i="33"/>
  <c r="H87" i="33" s="1"/>
  <c r="I87" i="33"/>
  <c r="J87" i="33" s="1"/>
  <c r="K87" i="33" s="1"/>
  <c r="L87" i="33" s="1"/>
  <c r="M87" i="33" s="1"/>
  <c r="J25" i="33"/>
  <c r="AB23" i="33"/>
  <c r="U23" i="33"/>
  <c r="F23" i="33"/>
  <c r="S23" i="33" s="1"/>
  <c r="AC23" i="33"/>
  <c r="AA19" i="33"/>
  <c r="H19" i="33"/>
  <c r="U19" i="33" s="1"/>
  <c r="H17" i="33"/>
  <c r="U17" i="33" s="1"/>
  <c r="F17" i="33"/>
  <c r="S17" i="33" s="1"/>
  <c r="W17" i="33"/>
  <c r="AC17" i="33"/>
  <c r="U10" i="33"/>
  <c r="AB10" i="33"/>
  <c r="AC10" i="33"/>
  <c r="AC37" i="21"/>
  <c r="U33" i="21"/>
  <c r="S37" i="21"/>
  <c r="J23" i="21"/>
  <c r="W23" i="21" s="1"/>
  <c r="F85" i="21"/>
  <c r="G85" i="21" s="1"/>
  <c r="H23" i="21"/>
  <c r="AB23" i="21" s="1"/>
  <c r="S13" i="21"/>
  <c r="D6" i="52"/>
  <c r="R22" i="31"/>
  <c r="AP7" i="1"/>
  <c r="AC33" i="21"/>
  <c r="W33" i="21"/>
  <c r="S33" i="21"/>
  <c r="AC32" i="21"/>
  <c r="AB9" i="21"/>
  <c r="U9" i="21"/>
  <c r="W9" i="21"/>
  <c r="AC9" i="21"/>
  <c r="U32" i="21"/>
  <c r="AA10" i="21"/>
  <c r="S10" i="21"/>
  <c r="AC32" i="39"/>
  <c r="W19" i="37"/>
  <c r="AC19" i="37"/>
  <c r="W23" i="37"/>
  <c r="AB11" i="37"/>
  <c r="U11" i="37"/>
  <c r="H63" i="37"/>
  <c r="I63" i="37" s="1"/>
  <c r="J63" i="37" s="1"/>
  <c r="K63" i="37" s="1"/>
  <c r="L63" i="37" s="1"/>
  <c r="M63" i="37" s="1"/>
  <c r="J11" i="37"/>
  <c r="AC10" i="37"/>
  <c r="U11" i="34"/>
  <c r="AC10" i="34"/>
  <c r="J70" i="34"/>
  <c r="K70" i="34" s="1"/>
  <c r="L70" i="34" s="1"/>
  <c r="M70" i="34" s="1"/>
  <c r="J11" i="34"/>
  <c r="AC11" i="34" s="1"/>
  <c r="U36" i="33"/>
  <c r="AB36" i="33"/>
  <c r="W25" i="33"/>
  <c r="AC25" i="33"/>
  <c r="AA23" i="33"/>
  <c r="AB19" i="33"/>
  <c r="AC23" i="21"/>
  <c r="AC11" i="37"/>
  <c r="W11" i="37"/>
  <c r="W11" i="34"/>
  <c r="R8" i="1"/>
  <c r="AE8" i="1"/>
  <c r="AG6" i="1"/>
  <c r="H109" i="9"/>
  <c r="H110" i="9" s="1"/>
  <c r="D18" i="53" s="1"/>
  <c r="B35" i="72" s="1"/>
  <c r="AD3" i="71"/>
  <c r="J1" i="73"/>
  <c r="C13" i="12"/>
  <c r="H77" i="43"/>
  <c r="H76" i="43"/>
  <c r="H51" i="43"/>
  <c r="H67" i="43"/>
  <c r="H59" i="43"/>
  <c r="H60" i="43"/>
  <c r="H61" i="43"/>
  <c r="M4" i="43"/>
  <c r="M5" i="43"/>
  <c r="C6" i="43" s="1"/>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s="1"/>
  <c r="S21" i="71"/>
  <c r="T21" i="71"/>
  <c r="AB19" i="71"/>
  <c r="X17" i="71"/>
  <c r="X16" i="71"/>
  <c r="AA17" i="71"/>
  <c r="AA16" i="71"/>
  <c r="X20" i="71"/>
  <c r="Y16" i="71"/>
  <c r="Z16" i="71" s="1"/>
  <c r="AB17" i="71"/>
  <c r="AB16" i="71"/>
  <c r="F18" i="71"/>
  <c r="F17" i="71" s="1"/>
  <c r="F16" i="71" s="1"/>
  <c r="F15" i="71" s="1"/>
  <c r="F14" i="71" s="1"/>
  <c r="Y17" i="71"/>
  <c r="Z17" i="71" s="1"/>
  <c r="X3" i="71"/>
  <c r="C18" i="71"/>
  <c r="G20" i="43"/>
  <c r="I59" i="34"/>
  <c r="J59" i="34" s="1"/>
  <c r="AO9" i="1"/>
  <c r="AO13" i="1"/>
  <c r="F4" i="73"/>
  <c r="F5" i="73"/>
  <c r="AO11" i="1"/>
  <c r="M6" i="15"/>
  <c r="D2" i="35"/>
  <c r="B7" i="76"/>
  <c r="M8" i="67"/>
  <c r="M28" i="15"/>
  <c r="F20" i="31"/>
  <c r="E10" i="76"/>
  <c r="B8" i="76"/>
  <c r="E9" i="76"/>
  <c r="F6" i="73"/>
  <c r="M24" i="15"/>
  <c r="D2" i="33"/>
  <c r="M22" i="15"/>
  <c r="AO12" i="1"/>
  <c r="F8" i="67"/>
  <c r="B12" i="76"/>
  <c r="M8" i="15"/>
  <c r="L47" i="15"/>
  <c r="AO10" i="1"/>
  <c r="E8" i="76"/>
  <c r="F6" i="15"/>
  <c r="F9" i="67"/>
  <c r="E11" i="76"/>
  <c r="F7" i="73"/>
  <c r="F43" i="15"/>
  <c r="B9" i="76"/>
  <c r="D2" i="21"/>
  <c r="M23" i="15"/>
  <c r="E7" i="76"/>
  <c r="D2" i="37"/>
  <c r="F7" i="15"/>
  <c r="D3" i="73"/>
  <c r="E2" i="69"/>
  <c r="D5" i="73"/>
  <c r="M21" i="67"/>
  <c r="L48" i="15"/>
  <c r="C76" i="15"/>
  <c r="E12" i="76"/>
  <c r="F16" i="67"/>
  <c r="F36" i="15"/>
  <c r="E13" i="76"/>
  <c r="F37" i="15"/>
  <c r="B10" i="76"/>
  <c r="D2" i="34"/>
  <c r="B13" i="76"/>
  <c r="D6" i="73"/>
  <c r="D4" i="73"/>
  <c r="F8" i="15"/>
  <c r="D2" i="36"/>
  <c r="F9" i="15"/>
  <c r="E2" i="68"/>
  <c r="J15" i="67"/>
  <c r="F26" i="15"/>
  <c r="F42" i="15"/>
  <c r="AO8" i="1"/>
  <c r="B11" i="76"/>
  <c r="F3" i="73"/>
  <c r="F38" i="15"/>
  <c r="D7" i="73"/>
  <c r="C18" i="9" l="1"/>
  <c r="D18" i="9" s="1"/>
  <c r="G26" i="12"/>
  <c r="AB27" i="40"/>
  <c r="U20" i="35"/>
  <c r="AB20" i="35"/>
  <c r="AB28" i="34"/>
  <c r="U28" i="34"/>
  <c r="AC44" i="33"/>
  <c r="W44" i="33"/>
  <c r="U23" i="21"/>
  <c r="AA32" i="21"/>
  <c r="S32" i="21"/>
  <c r="C69" i="39"/>
  <c r="D67" i="39"/>
  <c r="D69" i="39" s="1"/>
  <c r="S39" i="39"/>
  <c r="AA39" i="39"/>
  <c r="AB9" i="37"/>
  <c r="U9" i="37"/>
  <c r="AB14" i="40"/>
  <c r="U14" i="40"/>
  <c r="W13" i="37"/>
  <c r="AC13" i="37"/>
  <c r="S29" i="35"/>
  <c r="AA29" i="35"/>
  <c r="W33" i="37"/>
  <c r="AC33" i="37"/>
  <c r="W11" i="40"/>
  <c r="AC11" i="40"/>
  <c r="AA35" i="40"/>
  <c r="S35" i="40"/>
  <c r="U11" i="21"/>
  <c r="AB11" i="21"/>
  <c r="AA21" i="40"/>
  <c r="S21" i="40"/>
  <c r="AA19" i="39"/>
  <c r="S19" i="39"/>
  <c r="AB31" i="39"/>
  <c r="U31" i="39"/>
  <c r="W33" i="34"/>
  <c r="AC33" i="34"/>
  <c r="U33" i="34"/>
  <c r="AB33" i="34"/>
  <c r="S43" i="34"/>
  <c r="AA43" i="34"/>
  <c r="W36" i="33"/>
  <c r="AC36" i="33"/>
  <c r="AA9" i="35"/>
  <c r="AB44" i="21"/>
  <c r="U15" i="21"/>
  <c r="AB15" i="21"/>
  <c r="S19" i="40"/>
  <c r="AA19" i="40"/>
  <c r="AB46" i="33"/>
  <c r="U46" i="33"/>
  <c r="S13" i="36"/>
  <c r="AA13" i="36"/>
  <c r="AC31" i="21"/>
  <c r="W31" i="21"/>
  <c r="S33" i="35"/>
  <c r="AA33" i="35"/>
  <c r="AA28" i="34"/>
  <c r="S28" i="34"/>
  <c r="U10" i="35"/>
  <c r="AB10" i="35"/>
  <c r="J12" i="33"/>
  <c r="H12" i="33"/>
  <c r="F12" i="33"/>
  <c r="F30" i="33"/>
  <c r="H30" i="33"/>
  <c r="J30" i="33"/>
  <c r="J46" i="33"/>
  <c r="F46" i="33"/>
  <c r="F29" i="34"/>
  <c r="H29" i="34"/>
  <c r="J45" i="34"/>
  <c r="F45" i="34"/>
  <c r="J13" i="35"/>
  <c r="H13" i="35"/>
  <c r="H9" i="36"/>
  <c r="J9" i="36"/>
  <c r="AC33" i="36"/>
  <c r="W33" i="36"/>
  <c r="AB17" i="33"/>
  <c r="AA25" i="33"/>
  <c r="AB32" i="39"/>
  <c r="U32" i="39"/>
  <c r="S28" i="21"/>
  <c r="AZ362" i="3"/>
  <c r="AA41" i="34"/>
  <c r="S41" i="34"/>
  <c r="U45" i="34"/>
  <c r="AB45" i="34"/>
  <c r="AC44" i="39"/>
  <c r="W44" i="39"/>
  <c r="U39" i="21"/>
  <c r="AB39" i="21"/>
  <c r="AB35" i="21"/>
  <c r="U35" i="21"/>
  <c r="AB34" i="21"/>
  <c r="U34" i="21"/>
  <c r="G587" i="3"/>
  <c r="H5" i="3"/>
  <c r="H31" i="21"/>
  <c r="F31" i="21"/>
  <c r="J46" i="21"/>
  <c r="H46" i="21"/>
  <c r="F46" i="21"/>
  <c r="B88" i="43"/>
  <c r="C21" i="40"/>
  <c r="AC39" i="33"/>
  <c r="W39" i="33"/>
  <c r="H9" i="33"/>
  <c r="F9" i="33"/>
  <c r="J9" i="33"/>
  <c r="U8" i="34"/>
  <c r="AB8" i="34"/>
  <c r="J27" i="34"/>
  <c r="F27" i="34"/>
  <c r="H27" i="34"/>
  <c r="S12" i="35"/>
  <c r="AA12" i="35"/>
  <c r="AB28" i="35"/>
  <c r="U28" i="35"/>
  <c r="AB36" i="39"/>
  <c r="U36" i="39"/>
  <c r="AB20" i="36"/>
  <c r="U25" i="39"/>
  <c r="H83" i="43"/>
  <c r="H87" i="43"/>
  <c r="AZ373" i="3"/>
  <c r="AZ343" i="3"/>
  <c r="AZ371" i="3"/>
  <c r="AZ347" i="3"/>
  <c r="AZ344" i="3"/>
  <c r="AZ334" i="3"/>
  <c r="AZ329" i="3"/>
  <c r="BQ5" i="3"/>
  <c r="F28" i="6" s="1"/>
  <c r="AZ501" i="3"/>
  <c r="AZ509" i="3"/>
  <c r="AZ547" i="3"/>
  <c r="AZ577" i="3"/>
  <c r="AZ540" i="3"/>
  <c r="AZ576" i="3"/>
  <c r="U31" i="34"/>
  <c r="S44" i="33"/>
  <c r="AA44" i="33"/>
  <c r="AC38" i="34"/>
  <c r="S12" i="36"/>
  <c r="U42" i="34"/>
  <c r="AB33" i="35"/>
  <c r="U33" i="35"/>
  <c r="U8" i="35"/>
  <c r="S38" i="39"/>
  <c r="AA42" i="39"/>
  <c r="S42" i="39"/>
  <c r="S40" i="33"/>
  <c r="AA34" i="34"/>
  <c r="S34" i="34"/>
  <c r="J34" i="35"/>
  <c r="H34" i="35"/>
  <c r="BL559" i="3"/>
  <c r="BL558" i="3"/>
  <c r="AZ558" i="3" s="1"/>
  <c r="BL554" i="3"/>
  <c r="AZ554" i="3" s="1"/>
  <c r="BA543" i="3"/>
  <c r="BA542" i="3"/>
  <c r="AZ542" i="3" s="1"/>
  <c r="BL536" i="3"/>
  <c r="BA535" i="3"/>
  <c r="BA534" i="3"/>
  <c r="BL528" i="3"/>
  <c r="AZ528" i="3" s="1"/>
  <c r="BA527" i="3"/>
  <c r="BA517" i="3"/>
  <c r="AZ517" i="3" s="1"/>
  <c r="BL514" i="3"/>
  <c r="BA510" i="3"/>
  <c r="AZ510" i="3" s="1"/>
  <c r="S26" i="35"/>
  <c r="F30" i="11"/>
  <c r="C48" i="11" s="1"/>
  <c r="AB34" i="33"/>
  <c r="H66" i="43"/>
  <c r="AZ13" i="3"/>
  <c r="AB41" i="34"/>
  <c r="U44" i="34"/>
  <c r="S37" i="37"/>
  <c r="AC29" i="37"/>
  <c r="AC13" i="39"/>
  <c r="S15" i="39"/>
  <c r="S28" i="40"/>
  <c r="AA32" i="40"/>
  <c r="S11" i="40"/>
  <c r="AZ318" i="3"/>
  <c r="AZ310" i="3"/>
  <c r="AB34" i="39"/>
  <c r="U33" i="37"/>
  <c r="AZ555" i="3"/>
  <c r="AZ497" i="3"/>
  <c r="AZ515" i="3"/>
  <c r="AZ587" i="3"/>
  <c r="AC37" i="34"/>
  <c r="W37" i="34"/>
  <c r="U30" i="35"/>
  <c r="W34" i="36"/>
  <c r="AC34" i="36"/>
  <c r="W35" i="21"/>
  <c r="AC35" i="21"/>
  <c r="H28" i="21"/>
  <c r="J28" i="21"/>
  <c r="AA34" i="35"/>
  <c r="S34" i="35"/>
  <c r="H24" i="36"/>
  <c r="J24" i="36"/>
  <c r="F24" i="36"/>
  <c r="J43" i="39"/>
  <c r="F43" i="39"/>
  <c r="J37" i="39"/>
  <c r="F37" i="39"/>
  <c r="J13" i="40"/>
  <c r="H13" i="40"/>
  <c r="F13" i="40"/>
  <c r="AB38" i="40"/>
  <c r="U38" i="40"/>
  <c r="BA560" i="3"/>
  <c r="AZ560" i="3" s="1"/>
  <c r="BA559" i="3"/>
  <c r="AZ559" i="3" s="1"/>
  <c r="BL556" i="3"/>
  <c r="BA556" i="3"/>
  <c r="AZ556" i="3" s="1"/>
  <c r="BA553" i="3"/>
  <c r="AZ553" i="3" s="1"/>
  <c r="BA552" i="3"/>
  <c r="AZ552" i="3" s="1"/>
  <c r="BA547" i="3"/>
  <c r="BA546" i="3"/>
  <c r="AZ546" i="3" s="1"/>
  <c r="BL544" i="3"/>
  <c r="AZ544" i="3" s="1"/>
  <c r="BL543" i="3"/>
  <c r="AZ543" i="3" s="1"/>
  <c r="BL542" i="3"/>
  <c r="BA539" i="3"/>
  <c r="BA538" i="3"/>
  <c r="AZ538" i="3" s="1"/>
  <c r="BL535" i="3"/>
  <c r="AZ535" i="3" s="1"/>
  <c r="BL534" i="3"/>
  <c r="BL532" i="3"/>
  <c r="AZ532" i="3" s="1"/>
  <c r="BA531" i="3"/>
  <c r="AZ531" i="3" s="1"/>
  <c r="BA530" i="3"/>
  <c r="AZ530" i="3" s="1"/>
  <c r="BL527" i="3"/>
  <c r="BL526" i="3"/>
  <c r="AZ526" i="3" s="1"/>
  <c r="BL524" i="3"/>
  <c r="BA523" i="3"/>
  <c r="AZ523" i="3" s="1"/>
  <c r="BA521" i="3"/>
  <c r="BA520" i="3"/>
  <c r="AZ520" i="3" s="1"/>
  <c r="BL519" i="3"/>
  <c r="BL516" i="3"/>
  <c r="AZ516" i="3" s="1"/>
  <c r="BA514" i="3"/>
  <c r="AZ514" i="3" s="1"/>
  <c r="BA513" i="3"/>
  <c r="BL511" i="3"/>
  <c r="AZ511" i="3" s="1"/>
  <c r="BL508" i="3"/>
  <c r="AZ508" i="3" s="1"/>
  <c r="BA507" i="3"/>
  <c r="BL506" i="3"/>
  <c r="BA506" i="3"/>
  <c r="AZ506" i="3" s="1"/>
  <c r="BL504" i="3"/>
  <c r="AZ504" i="3" s="1"/>
  <c r="BL503" i="3"/>
  <c r="BA503" i="3"/>
  <c r="AZ503" i="3" s="1"/>
  <c r="BA502" i="3"/>
  <c r="AZ502" i="3" s="1"/>
  <c r="BA499" i="3"/>
  <c r="BL498" i="3"/>
  <c r="BA498" i="3"/>
  <c r="AZ498" i="3" s="1"/>
  <c r="BL496" i="3"/>
  <c r="AZ496" i="3" s="1"/>
  <c r="BA495" i="3"/>
  <c r="BM5" i="3"/>
  <c r="BA494" i="3"/>
  <c r="AZ494" i="3" s="1"/>
  <c r="BD5" i="3"/>
  <c r="BK5" i="3"/>
  <c r="BC5" i="3"/>
  <c r="E13" i="6" s="1"/>
  <c r="F48" i="9"/>
  <c r="O52" i="9" s="1"/>
  <c r="F28" i="79"/>
  <c r="C28" i="79" s="1"/>
  <c r="F32" i="79"/>
  <c r="F60" i="79" s="1"/>
  <c r="M18" i="79"/>
  <c r="AZ330" i="3"/>
  <c r="AZ507" i="3"/>
  <c r="AZ539" i="3"/>
  <c r="AZ579" i="3"/>
  <c r="AZ519" i="3"/>
  <c r="AZ524" i="3"/>
  <c r="AZ536" i="3"/>
  <c r="AA14" i="40"/>
  <c r="S14" i="40"/>
  <c r="AC28" i="37"/>
  <c r="W28" i="37"/>
  <c r="W28" i="34"/>
  <c r="AC28" i="34"/>
  <c r="U38" i="21"/>
  <c r="AB38" i="21"/>
  <c r="BA585" i="3"/>
  <c r="AZ585" i="3" s="1"/>
  <c r="AB35" i="33"/>
  <c r="U35" i="33"/>
  <c r="AB40" i="33"/>
  <c r="U40" i="33"/>
  <c r="J39" i="37"/>
  <c r="F39" i="37"/>
  <c r="H39" i="37"/>
  <c r="J33" i="40"/>
  <c r="H33" i="40"/>
  <c r="F33" i="40"/>
  <c r="F36" i="39"/>
  <c r="J36" i="39"/>
  <c r="BA584" i="3"/>
  <c r="AZ584" i="3" s="1"/>
  <c r="BA583" i="3"/>
  <c r="AZ583" i="3" s="1"/>
  <c r="BL582" i="3"/>
  <c r="AZ582" i="3" s="1"/>
  <c r="BL580" i="3"/>
  <c r="AZ580" i="3" s="1"/>
  <c r="BA579" i="3"/>
  <c r="BA575" i="3"/>
  <c r="BL574" i="3"/>
  <c r="AZ574" i="3" s="1"/>
  <c r="BL573" i="3"/>
  <c r="AZ573" i="3" s="1"/>
  <c r="BL572" i="3"/>
  <c r="AZ572" i="3" s="1"/>
  <c r="BA571" i="3"/>
  <c r="AZ571" i="3" s="1"/>
  <c r="BA570" i="3"/>
  <c r="AZ570" i="3" s="1"/>
  <c r="BA568" i="3"/>
  <c r="AZ568" i="3" s="1"/>
  <c r="BA567" i="3"/>
  <c r="BL566" i="3"/>
  <c r="BA566" i="3"/>
  <c r="AZ566" i="3" s="1"/>
  <c r="BL565" i="3"/>
  <c r="AZ565" i="3" s="1"/>
  <c r="BL564" i="3"/>
  <c r="AZ564" i="3" s="1"/>
  <c r="BA563" i="3"/>
  <c r="AZ563" i="3" s="1"/>
  <c r="BA562" i="3"/>
  <c r="AZ562" i="3" s="1"/>
  <c r="BL499" i="3"/>
  <c r="BL505" i="3"/>
  <c r="AZ505" i="3" s="1"/>
  <c r="BL513" i="3"/>
  <c r="AZ513" i="3" s="1"/>
  <c r="BL521" i="3"/>
  <c r="BL529" i="3"/>
  <c r="AZ529" i="3" s="1"/>
  <c r="BL545" i="3"/>
  <c r="AZ545" i="3" s="1"/>
  <c r="BL551" i="3"/>
  <c r="BL561" i="3"/>
  <c r="AZ561" i="3" s="1"/>
  <c r="BL567" i="3"/>
  <c r="AZ567" i="3" s="1"/>
  <c r="W8" i="34"/>
  <c r="S35" i="34"/>
  <c r="AC8" i="35"/>
  <c r="F33" i="36"/>
  <c r="C21" i="39"/>
  <c r="S34" i="39"/>
  <c r="W36" i="35"/>
  <c r="J45" i="39"/>
  <c r="AB41" i="21"/>
  <c r="BL585" i="3"/>
  <c r="AC31" i="35"/>
  <c r="H34" i="36"/>
  <c r="F40" i="40"/>
  <c r="J39" i="40"/>
  <c r="H39" i="40"/>
  <c r="G582" i="3"/>
  <c r="AZ406" i="3"/>
  <c r="AZ323" i="3"/>
  <c r="AZ381" i="3"/>
  <c r="AZ355" i="3"/>
  <c r="AZ321" i="3"/>
  <c r="AZ305" i="3"/>
  <c r="AZ309" i="3"/>
  <c r="AB28" i="37"/>
  <c r="BL495" i="3"/>
  <c r="AZ495" i="3" s="1"/>
  <c r="BL537" i="3"/>
  <c r="AZ537" i="3" s="1"/>
  <c r="BL575" i="3"/>
  <c r="BL581" i="3"/>
  <c r="AZ581" i="3" s="1"/>
  <c r="J14" i="33"/>
  <c r="S15" i="34"/>
  <c r="S40" i="39"/>
  <c r="U40" i="40"/>
  <c r="U31" i="36"/>
  <c r="G586" i="3"/>
  <c r="F9" i="34"/>
  <c r="G578" i="3"/>
  <c r="G570" i="3"/>
  <c r="AZ469" i="3"/>
  <c r="BL16" i="3"/>
  <c r="AZ16" i="3" s="1"/>
  <c r="A15" i="62"/>
  <c r="B61" i="72" s="1"/>
  <c r="BL398" i="3"/>
  <c r="G399" i="3"/>
  <c r="G400" i="3"/>
  <c r="BL400" i="3"/>
  <c r="BL401" i="3"/>
  <c r="G402" i="3"/>
  <c r="BL403" i="3"/>
  <c r="BL404" i="3"/>
  <c r="G405" i="3"/>
  <c r="G407" i="3"/>
  <c r="BL407" i="3"/>
  <c r="G409" i="3"/>
  <c r="BL410" i="3"/>
  <c r="BL411" i="3"/>
  <c r="G412" i="3"/>
  <c r="BL413" i="3"/>
  <c r="AZ413" i="3" s="1"/>
  <c r="BL414" i="3"/>
  <c r="G415" i="3"/>
  <c r="BL415" i="3"/>
  <c r="G417" i="3"/>
  <c r="BA417" i="3"/>
  <c r="BA418" i="3"/>
  <c r="BA421" i="3"/>
  <c r="BA422" i="3"/>
  <c r="BL426" i="3"/>
  <c r="G427" i="3"/>
  <c r="G428" i="3"/>
  <c r="BA429" i="3"/>
  <c r="AZ429" i="3" s="1"/>
  <c r="BA430" i="3"/>
  <c r="AZ430" i="3" s="1"/>
  <c r="BA432" i="3"/>
  <c r="BA433" i="3"/>
  <c r="AZ433" i="3" s="1"/>
  <c r="G437" i="3"/>
  <c r="BL437" i="3"/>
  <c r="AZ437" i="3" s="1"/>
  <c r="BL438" i="3"/>
  <c r="G439" i="3"/>
  <c r="BA440" i="3"/>
  <c r="AZ440" i="3" s="1"/>
  <c r="BA441" i="3"/>
  <c r="BA445" i="3"/>
  <c r="BL450" i="3"/>
  <c r="G451" i="3"/>
  <c r="BL454" i="3"/>
  <c r="G455" i="3"/>
  <c r="G456" i="3"/>
  <c r="BL456" i="3"/>
  <c r="G458" i="3"/>
  <c r="BL459" i="3"/>
  <c r="BL460" i="3"/>
  <c r="G461" i="3"/>
  <c r="BL461" i="3"/>
  <c r="BL463" i="3"/>
  <c r="AZ463" i="3" s="1"/>
  <c r="BL464" i="3"/>
  <c r="G465" i="3"/>
  <c r="BL466" i="3"/>
  <c r="BL467" i="3"/>
  <c r="G468" i="3"/>
  <c r="BL468" i="3"/>
  <c r="AZ468" i="3" s="1"/>
  <c r="BL470" i="3"/>
  <c r="BL471" i="3"/>
  <c r="G472" i="3"/>
  <c r="BL472" i="3"/>
  <c r="AZ472" i="3" s="1"/>
  <c r="BA475" i="3"/>
  <c r="BA485" i="3"/>
  <c r="BA486" i="3"/>
  <c r="AZ486" i="3" s="1"/>
  <c r="BA487" i="3"/>
  <c r="G311" i="3"/>
  <c r="BL314" i="3"/>
  <c r="AZ314" i="3" s="1"/>
  <c r="G315" i="3"/>
  <c r="BA317" i="3"/>
  <c r="BA323" i="3"/>
  <c r="G327" i="3"/>
  <c r="BL330" i="3"/>
  <c r="G331" i="3"/>
  <c r="BA332" i="3"/>
  <c r="BL346" i="3"/>
  <c r="AZ346" i="3" s="1"/>
  <c r="BA352" i="3"/>
  <c r="AZ352" i="3" s="1"/>
  <c r="BL354" i="3"/>
  <c r="BA367" i="3"/>
  <c r="G369" i="3"/>
  <c r="BL381" i="3"/>
  <c r="G387" i="3"/>
  <c r="G395" i="3"/>
  <c r="BA397" i="3"/>
  <c r="BA208" i="3"/>
  <c r="AZ208" i="3" s="1"/>
  <c r="G211" i="3"/>
  <c r="BL212" i="3"/>
  <c r="G214" i="3"/>
  <c r="BL214" i="3"/>
  <c r="AZ214" i="3" s="1"/>
  <c r="G216" i="3"/>
  <c r="BL217" i="3"/>
  <c r="G219" i="3"/>
  <c r="BL223" i="3"/>
  <c r="G224" i="3"/>
  <c r="BL225" i="3"/>
  <c r="BL226" i="3"/>
  <c r="G227" i="3"/>
  <c r="BL228" i="3"/>
  <c r="G230" i="3"/>
  <c r="BL231" i="3"/>
  <c r="G233" i="3"/>
  <c r="BL233" i="3"/>
  <c r="AZ233" i="3" s="1"/>
  <c r="G235" i="3"/>
  <c r="BL235" i="3"/>
  <c r="AZ235" i="3" s="1"/>
  <c r="BL236" i="3"/>
  <c r="G237" i="3"/>
  <c r="BA245" i="3"/>
  <c r="G268" i="3"/>
  <c r="BL272" i="3"/>
  <c r="G122" i="3"/>
  <c r="G138" i="3"/>
  <c r="AZ399" i="3"/>
  <c r="AZ400" i="3"/>
  <c r="AZ402" i="3"/>
  <c r="AZ407" i="3"/>
  <c r="AZ410" i="3"/>
  <c r="AZ415" i="3"/>
  <c r="AZ416" i="3"/>
  <c r="AZ427" i="3"/>
  <c r="AZ451" i="3"/>
  <c r="AZ455" i="3"/>
  <c r="AZ456" i="3"/>
  <c r="AZ458" i="3"/>
  <c r="AZ461" i="3"/>
  <c r="AZ466" i="3"/>
  <c r="AZ470" i="3"/>
  <c r="AZ474" i="3"/>
  <c r="G566" i="3"/>
  <c r="G558" i="3"/>
  <c r="G551" i="3"/>
  <c r="BL548" i="3"/>
  <c r="AZ548" i="3" s="1"/>
  <c r="BA398" i="3"/>
  <c r="BA401" i="3"/>
  <c r="AZ401" i="3" s="1"/>
  <c r="BA403" i="3"/>
  <c r="BA404" i="3"/>
  <c r="BA408" i="3"/>
  <c r="AZ408" i="3" s="1"/>
  <c r="BA409" i="3"/>
  <c r="AZ409" i="3" s="1"/>
  <c r="BA411" i="3"/>
  <c r="BA412" i="3"/>
  <c r="AZ412" i="3" s="1"/>
  <c r="BA414" i="3"/>
  <c r="BL417" i="3"/>
  <c r="G418" i="3"/>
  <c r="BL418" i="3"/>
  <c r="BL420" i="3"/>
  <c r="BL421" i="3"/>
  <c r="G422" i="3"/>
  <c r="BL422" i="3"/>
  <c r="G424" i="3"/>
  <c r="BA426" i="3"/>
  <c r="G430" i="3"/>
  <c r="G431" i="3"/>
  <c r="BL431" i="3"/>
  <c r="BL432" i="3"/>
  <c r="G433" i="3"/>
  <c r="BA436" i="3"/>
  <c r="BA438" i="3"/>
  <c r="AZ438" i="3" s="1"/>
  <c r="BL441" i="3"/>
  <c r="G442" i="3"/>
  <c r="G444" i="3"/>
  <c r="BL444" i="3"/>
  <c r="BL445" i="3"/>
  <c r="G446" i="3"/>
  <c r="BA447" i="3"/>
  <c r="AZ447" i="3" s="1"/>
  <c r="BA450" i="3"/>
  <c r="BA454" i="3"/>
  <c r="BA457" i="3"/>
  <c r="AZ457" i="3" s="1"/>
  <c r="G459" i="3"/>
  <c r="BA459" i="3"/>
  <c r="BA460" i="3"/>
  <c r="BA464" i="3"/>
  <c r="AZ464" i="3" s="1"/>
  <c r="BA465" i="3"/>
  <c r="AZ465" i="3" s="1"/>
  <c r="BA467" i="3"/>
  <c r="BA471" i="3"/>
  <c r="AZ471" i="3" s="1"/>
  <c r="BL475" i="3"/>
  <c r="G476" i="3"/>
  <c r="G477" i="3"/>
  <c r="G479" i="3"/>
  <c r="BA479" i="3"/>
  <c r="BA480" i="3"/>
  <c r="AZ480" i="3" s="1"/>
  <c r="BL482" i="3"/>
  <c r="AZ482" i="3" s="1"/>
  <c r="BL484" i="3"/>
  <c r="BL485" i="3"/>
  <c r="G486" i="3"/>
  <c r="BL487" i="3"/>
  <c r="G489" i="3"/>
  <c r="G491" i="3"/>
  <c r="BL491" i="3"/>
  <c r="BL317" i="3"/>
  <c r="G318" i="3"/>
  <c r="BL328" i="3"/>
  <c r="AZ328" i="3" s="1"/>
  <c r="G329" i="3"/>
  <c r="BA331" i="3"/>
  <c r="AZ331" i="3" s="1"/>
  <c r="BA350" i="3"/>
  <c r="AZ350" i="3" s="1"/>
  <c r="BL353" i="3"/>
  <c r="BA354" i="3"/>
  <c r="BA368" i="3"/>
  <c r="AZ368" i="3" s="1"/>
  <c r="G378" i="3"/>
  <c r="BL383" i="3"/>
  <c r="AZ383" i="3" s="1"/>
  <c r="G392" i="3"/>
  <c r="BA395" i="3"/>
  <c r="AZ395" i="3" s="1"/>
  <c r="G208" i="3"/>
  <c r="BA210" i="3"/>
  <c r="AZ210" i="3" s="1"/>
  <c r="BA211" i="3"/>
  <c r="AZ211" i="3" s="1"/>
  <c r="BA213" i="3"/>
  <c r="AZ213" i="3" s="1"/>
  <c r="BA215" i="3"/>
  <c r="AZ215" i="3" s="1"/>
  <c r="BA216" i="3"/>
  <c r="AZ216" i="3" s="1"/>
  <c r="BA218" i="3"/>
  <c r="AZ218" i="3" s="1"/>
  <c r="G223" i="3"/>
  <c r="BA223" i="3"/>
  <c r="AZ223" i="3" s="1"/>
  <c r="BA224" i="3"/>
  <c r="AZ224" i="3" s="1"/>
  <c r="BA226" i="3"/>
  <c r="BA227" i="3"/>
  <c r="AZ227" i="3" s="1"/>
  <c r="BA229" i="3"/>
  <c r="AZ229" i="3" s="1"/>
  <c r="BA230" i="3"/>
  <c r="AZ230" i="3" s="1"/>
  <c r="BA232" i="3"/>
  <c r="AZ232" i="3" s="1"/>
  <c r="BA234" i="3"/>
  <c r="AZ234" i="3" s="1"/>
  <c r="BA236" i="3"/>
  <c r="BA237" i="3"/>
  <c r="AZ237" i="3" s="1"/>
  <c r="G240" i="3"/>
  <c r="BL240" i="3"/>
  <c r="AZ240" i="3" s="1"/>
  <c r="G242" i="3"/>
  <c r="G243" i="3"/>
  <c r="BA243" i="3"/>
  <c r="G246" i="3"/>
  <c r="BA257" i="3"/>
  <c r="AZ257" i="3" s="1"/>
  <c r="G266" i="3"/>
  <c r="BL269" i="3"/>
  <c r="G270" i="3"/>
  <c r="AZ276" i="3"/>
  <c r="G292" i="3"/>
  <c r="BL119" i="3"/>
  <c r="AZ119" i="3" s="1"/>
  <c r="AZ121" i="3"/>
  <c r="BL131" i="3"/>
  <c r="AZ131" i="3" s="1"/>
  <c r="BA141" i="3"/>
  <c r="AZ141" i="3" s="1"/>
  <c r="M20" i="15"/>
  <c r="M20" i="79"/>
  <c r="F34" i="79"/>
  <c r="F62" i="79" s="1"/>
  <c r="BL405" i="3"/>
  <c r="AZ405" i="3" s="1"/>
  <c r="BA423" i="3"/>
  <c r="AZ423" i="3" s="1"/>
  <c r="BA425" i="3"/>
  <c r="BL428" i="3"/>
  <c r="AZ428" i="3" s="1"/>
  <c r="BL429" i="3"/>
  <c r="BA434" i="3"/>
  <c r="BA435" i="3"/>
  <c r="BL439" i="3"/>
  <c r="AZ439" i="3" s="1"/>
  <c r="BA442" i="3"/>
  <c r="BA446" i="3"/>
  <c r="BA449" i="3"/>
  <c r="BA453" i="3"/>
  <c r="BL473" i="3"/>
  <c r="AZ473" i="3" s="1"/>
  <c r="BL474" i="3"/>
  <c r="BA476" i="3"/>
  <c r="AZ476" i="3" s="1"/>
  <c r="BA477" i="3"/>
  <c r="BA478" i="3"/>
  <c r="BL481" i="3"/>
  <c r="BL483" i="3"/>
  <c r="BA488" i="3"/>
  <c r="AZ488" i="3" s="1"/>
  <c r="BA491" i="3"/>
  <c r="AZ491" i="3" s="1"/>
  <c r="BA315" i="3"/>
  <c r="AZ315" i="3" s="1"/>
  <c r="BL332" i="3"/>
  <c r="BA333" i="3"/>
  <c r="AZ333" i="3" s="1"/>
  <c r="BA339" i="3"/>
  <c r="AZ339" i="3" s="1"/>
  <c r="BA348" i="3"/>
  <c r="AZ348" i="3" s="1"/>
  <c r="BA349" i="3"/>
  <c r="AZ349" i="3" s="1"/>
  <c r="BA353" i="3"/>
  <c r="AZ353" i="3" s="1"/>
  <c r="BA358" i="3"/>
  <c r="AZ358" i="3" s="1"/>
  <c r="BL365" i="3"/>
  <c r="AZ365" i="3" s="1"/>
  <c r="BL367" i="3"/>
  <c r="BA374" i="3"/>
  <c r="AZ374" i="3" s="1"/>
  <c r="BL385" i="3"/>
  <c r="AZ385" i="3" s="1"/>
  <c r="BA388" i="3"/>
  <c r="AZ388" i="3" s="1"/>
  <c r="BL396" i="3"/>
  <c r="AZ396" i="3" s="1"/>
  <c r="BL397" i="3"/>
  <c r="BA209" i="3"/>
  <c r="AZ209" i="3" s="1"/>
  <c r="BA219" i="3"/>
  <c r="AZ219" i="3" s="1"/>
  <c r="BA221" i="3"/>
  <c r="AZ221" i="3" s="1"/>
  <c r="BA222" i="3"/>
  <c r="AZ222" i="3" s="1"/>
  <c r="BA255" i="3"/>
  <c r="AZ255" i="3" s="1"/>
  <c r="BL248" i="3"/>
  <c r="AZ248" i="3" s="1"/>
  <c r="BL250" i="3"/>
  <c r="AZ250" i="3" s="1"/>
  <c r="G255" i="3"/>
  <c r="BL256" i="3"/>
  <c r="G260" i="3"/>
  <c r="BL261" i="3"/>
  <c r="G263" i="3"/>
  <c r="BA263" i="3"/>
  <c r="BA267" i="3"/>
  <c r="AZ267" i="3" s="1"/>
  <c r="BA269" i="3"/>
  <c r="AZ269" i="3" s="1"/>
  <c r="BA271" i="3"/>
  <c r="AZ271" i="3" s="1"/>
  <c r="BL271" i="3"/>
  <c r="BA273" i="3"/>
  <c r="G278" i="3"/>
  <c r="BL279" i="3"/>
  <c r="G280" i="3"/>
  <c r="BL281" i="3"/>
  <c r="G282" i="3"/>
  <c r="BA285" i="3"/>
  <c r="AZ285" i="3" s="1"/>
  <c r="BL285" i="3"/>
  <c r="BA287" i="3"/>
  <c r="AZ287" i="3" s="1"/>
  <c r="BL287" i="3"/>
  <c r="BA289" i="3"/>
  <c r="G294" i="3"/>
  <c r="BL295" i="3"/>
  <c r="G296" i="3"/>
  <c r="BL297" i="3"/>
  <c r="G298" i="3"/>
  <c r="BA299" i="3"/>
  <c r="G302" i="3"/>
  <c r="BL302" i="3"/>
  <c r="BL114" i="3"/>
  <c r="BA118" i="3"/>
  <c r="BL123" i="3"/>
  <c r="AZ123" i="3" s="1"/>
  <c r="BL125" i="3"/>
  <c r="G130" i="3"/>
  <c r="G134" i="3"/>
  <c r="G135" i="3"/>
  <c r="BA138" i="3"/>
  <c r="AZ138" i="3" s="1"/>
  <c r="G140" i="3"/>
  <c r="G143" i="3"/>
  <c r="BA146" i="3"/>
  <c r="BL147" i="3"/>
  <c r="AZ147" i="3" s="1"/>
  <c r="BL149" i="3"/>
  <c r="BA150" i="3"/>
  <c r="AZ150" i="3" s="1"/>
  <c r="BA157" i="3"/>
  <c r="AZ157" i="3" s="1"/>
  <c r="BL187" i="3"/>
  <c r="AZ187" i="3" s="1"/>
  <c r="BL197" i="3"/>
  <c r="AZ99" i="3"/>
  <c r="BA239" i="3"/>
  <c r="BA241" i="3"/>
  <c r="AZ241" i="3" s="1"/>
  <c r="BA242" i="3"/>
  <c r="AZ242" i="3" s="1"/>
  <c r="G245" i="3"/>
  <c r="BL245" i="3"/>
  <c r="BL246" i="3"/>
  <c r="G247" i="3"/>
  <c r="BL247" i="3"/>
  <c r="BL249" i="3"/>
  <c r="BL251" i="3"/>
  <c r="G253" i="3"/>
  <c r="BA253" i="3"/>
  <c r="AZ253" i="3" s="1"/>
  <c r="BA254" i="3"/>
  <c r="AZ254" i="3" s="1"/>
  <c r="BA256" i="3"/>
  <c r="AZ256" i="3" s="1"/>
  <c r="BA258" i="3"/>
  <c r="AZ258" i="3" s="1"/>
  <c r="BA259" i="3"/>
  <c r="AZ259" i="3" s="1"/>
  <c r="BA261" i="3"/>
  <c r="AZ261" i="3" s="1"/>
  <c r="BA262" i="3"/>
  <c r="AZ262" i="3" s="1"/>
  <c r="G265" i="3"/>
  <c r="BL265" i="3"/>
  <c r="AZ265" i="3" s="1"/>
  <c r="G267" i="3"/>
  <c r="BL268" i="3"/>
  <c r="AZ268" i="3" s="1"/>
  <c r="G269" i="3"/>
  <c r="BA272" i="3"/>
  <c r="AZ272" i="3" s="1"/>
  <c r="G275" i="3"/>
  <c r="BL275" i="3"/>
  <c r="AZ275" i="3" s="1"/>
  <c r="BL276" i="3"/>
  <c r="G277" i="3"/>
  <c r="BA282" i="3"/>
  <c r="BL282" i="3"/>
  <c r="BA284" i="3"/>
  <c r="G291" i="3"/>
  <c r="BL291" i="3"/>
  <c r="AZ291" i="3" s="1"/>
  <c r="BL292" i="3"/>
  <c r="G293" i="3"/>
  <c r="BL293" i="3"/>
  <c r="BA298" i="3"/>
  <c r="BL298" i="3"/>
  <c r="BL300" i="3"/>
  <c r="G301" i="3"/>
  <c r="BL301" i="3"/>
  <c r="BA113" i="3"/>
  <c r="BA114" i="3"/>
  <c r="G116" i="3"/>
  <c r="BA117" i="3"/>
  <c r="AZ117" i="3" s="1"/>
  <c r="BL121" i="3"/>
  <c r="G123" i="3"/>
  <c r="BA125" i="3"/>
  <c r="AZ125" i="3" s="1"/>
  <c r="BA126" i="3"/>
  <c r="G128" i="3"/>
  <c r="BA130" i="3"/>
  <c r="BL133" i="3"/>
  <c r="BL137" i="3"/>
  <c r="BL138" i="3"/>
  <c r="BL139" i="3"/>
  <c r="AZ139" i="3" s="1"/>
  <c r="BA140" i="3"/>
  <c r="AZ140" i="3" s="1"/>
  <c r="BL145" i="3"/>
  <c r="BL151" i="3"/>
  <c r="AZ151" i="3" s="1"/>
  <c r="BA166" i="3"/>
  <c r="BL166" i="3"/>
  <c r="BA168" i="3"/>
  <c r="AZ168" i="3" s="1"/>
  <c r="BL169" i="3"/>
  <c r="BA173" i="3"/>
  <c r="BA178" i="3"/>
  <c r="BA182" i="3"/>
  <c r="AZ182" i="3" s="1"/>
  <c r="BA184" i="3"/>
  <c r="AZ184" i="3" s="1"/>
  <c r="G192" i="3"/>
  <c r="BA193" i="3"/>
  <c r="AZ193" i="3" s="1"/>
  <c r="BA194" i="3"/>
  <c r="AZ194" i="3" s="1"/>
  <c r="BA205" i="3"/>
  <c r="AZ205" i="3" s="1"/>
  <c r="BA238" i="3"/>
  <c r="AZ238" i="3" s="1"/>
  <c r="BL243" i="3"/>
  <c r="G244" i="3"/>
  <c r="BL244" i="3"/>
  <c r="AZ244" i="3" s="1"/>
  <c r="BA247" i="3"/>
  <c r="BA249" i="3"/>
  <c r="AZ249" i="3" s="1"/>
  <c r="BA251" i="3"/>
  <c r="AZ251" i="3" s="1"/>
  <c r="BA252" i="3"/>
  <c r="AZ252" i="3" s="1"/>
  <c r="BL263" i="3"/>
  <c r="G264" i="3"/>
  <c r="BL264" i="3"/>
  <c r="AZ264" i="3" s="1"/>
  <c r="BL266" i="3"/>
  <c r="AZ266" i="3" s="1"/>
  <c r="BL270" i="3"/>
  <c r="G272" i="3"/>
  <c r="BL273" i="3"/>
  <c r="G274" i="3"/>
  <c r="BA277" i="3"/>
  <c r="AZ277" i="3" s="1"/>
  <c r="BL277" i="3"/>
  <c r="BA279" i="3"/>
  <c r="BA281" i="3"/>
  <c r="G286" i="3"/>
  <c r="BL286" i="3"/>
  <c r="AZ286" i="3" s="1"/>
  <c r="G288" i="3"/>
  <c r="BL288" i="3"/>
  <c r="AZ288" i="3" s="1"/>
  <c r="BL289" i="3"/>
  <c r="G290" i="3"/>
  <c r="BA293" i="3"/>
  <c r="BA295" i="3"/>
  <c r="BA297" i="3"/>
  <c r="AZ297" i="3" s="1"/>
  <c r="BL299" i="3"/>
  <c r="G300" i="3"/>
  <c r="BA301" i="3"/>
  <c r="BL115" i="3"/>
  <c r="AZ115" i="3" s="1"/>
  <c r="BA116" i="3"/>
  <c r="AZ116" i="3" s="1"/>
  <c r="BL118" i="3"/>
  <c r="G119" i="3"/>
  <c r="G120" i="3"/>
  <c r="BL122" i="3"/>
  <c r="BL126" i="3"/>
  <c r="BL127" i="3"/>
  <c r="AZ127" i="3" s="1"/>
  <c r="BA128" i="3"/>
  <c r="AZ128" i="3" s="1"/>
  <c r="BA129" i="3"/>
  <c r="AZ129" i="3" s="1"/>
  <c r="BL130" i="3"/>
  <c r="G132" i="3"/>
  <c r="BA133" i="3"/>
  <c r="AZ133" i="3" s="1"/>
  <c r="BA134" i="3"/>
  <c r="AZ134" i="3" s="1"/>
  <c r="G136" i="3"/>
  <c r="BA142" i="3"/>
  <c r="AZ142" i="3" s="1"/>
  <c r="G144" i="3"/>
  <c r="BA148" i="3"/>
  <c r="AZ148" i="3" s="1"/>
  <c r="G151" i="3"/>
  <c r="BA153" i="3"/>
  <c r="G156" i="3"/>
  <c r="BA158" i="3"/>
  <c r="G162" i="3"/>
  <c r="G163" i="3"/>
  <c r="BL174" i="3"/>
  <c r="G175" i="3"/>
  <c r="G180" i="3"/>
  <c r="G186" i="3"/>
  <c r="BL189" i="3"/>
  <c r="BL190" i="3"/>
  <c r="G191" i="3"/>
  <c r="BA197" i="3"/>
  <c r="BA202" i="3"/>
  <c r="AZ202" i="3" s="1"/>
  <c r="G206" i="3"/>
  <c r="BL165" i="3"/>
  <c r="AZ165" i="3" s="1"/>
  <c r="G167" i="3"/>
  <c r="BL173" i="3"/>
  <c r="G174" i="3"/>
  <c r="BL178" i="3"/>
  <c r="G179" i="3"/>
  <c r="BA181" i="3"/>
  <c r="AZ181" i="3" s="1"/>
  <c r="BL181" i="3"/>
  <c r="BA189" i="3"/>
  <c r="AZ189" i="3" s="1"/>
  <c r="BL191" i="3"/>
  <c r="AZ191" i="3" s="1"/>
  <c r="BA198" i="3"/>
  <c r="AZ198" i="3" s="1"/>
  <c r="BL198" i="3"/>
  <c r="BA200" i="3"/>
  <c r="AZ200" i="3" s="1"/>
  <c r="BL201" i="3"/>
  <c r="AZ201" i="3" s="1"/>
  <c r="BA207" i="3"/>
  <c r="AZ207" i="3" s="1"/>
  <c r="BL207" i="3"/>
  <c r="BA19" i="3"/>
  <c r="BA21" i="3"/>
  <c r="BA23" i="3"/>
  <c r="AZ23" i="3" s="1"/>
  <c r="G26" i="3"/>
  <c r="BL26" i="3"/>
  <c r="AZ26" i="3" s="1"/>
  <c r="BL27" i="3"/>
  <c r="G28" i="3"/>
  <c r="BL29" i="3"/>
  <c r="G30" i="3"/>
  <c r="BL36" i="3"/>
  <c r="AZ36" i="3" s="1"/>
  <c r="G38" i="3"/>
  <c r="BL39" i="3"/>
  <c r="G40" i="3"/>
  <c r="BL46" i="3"/>
  <c r="AZ46" i="3" s="1"/>
  <c r="G48" i="3"/>
  <c r="G54" i="3"/>
  <c r="BL54" i="3"/>
  <c r="AZ54" i="3" s="1"/>
  <c r="G56" i="3"/>
  <c r="BL57" i="3"/>
  <c r="G59" i="3"/>
  <c r="BL59" i="3"/>
  <c r="AZ59" i="3" s="1"/>
  <c r="BA61" i="3"/>
  <c r="BA63" i="3"/>
  <c r="AZ63" i="3" s="1"/>
  <c r="BA73" i="3"/>
  <c r="G78" i="3"/>
  <c r="BL78" i="3"/>
  <c r="BL79" i="3"/>
  <c r="BL80" i="3"/>
  <c r="AZ80" i="3" s="1"/>
  <c r="G82" i="3"/>
  <c r="BA83" i="3"/>
  <c r="BL87" i="3"/>
  <c r="AZ87" i="3" s="1"/>
  <c r="BL94" i="3"/>
  <c r="G95" i="3"/>
  <c r="BL95" i="3"/>
  <c r="G97" i="3"/>
  <c r="BL99" i="3"/>
  <c r="BA102" i="3"/>
  <c r="E59" i="43"/>
  <c r="B57" i="43" s="1"/>
  <c r="K108" i="43"/>
  <c r="K100" i="43"/>
  <c r="N64" i="71"/>
  <c r="B63" i="71"/>
  <c r="N63" i="71" s="1"/>
  <c r="D39" i="71"/>
  <c r="C40" i="71"/>
  <c r="BL19" i="3"/>
  <c r="BL21" i="3"/>
  <c r="BA25" i="3"/>
  <c r="AZ25" i="3" s="1"/>
  <c r="BL25" i="3"/>
  <c r="BA27" i="3"/>
  <c r="AZ27" i="3" s="1"/>
  <c r="BA29" i="3"/>
  <c r="AZ29" i="3" s="1"/>
  <c r="BA35" i="3"/>
  <c r="AZ35" i="3" s="1"/>
  <c r="BA37" i="3"/>
  <c r="BL37" i="3"/>
  <c r="BA39" i="3"/>
  <c r="AZ39" i="3" s="1"/>
  <c r="BA45" i="3"/>
  <c r="AZ45" i="3" s="1"/>
  <c r="BA47" i="3"/>
  <c r="BL47" i="3"/>
  <c r="BA52" i="3"/>
  <c r="BA55" i="3"/>
  <c r="AZ55" i="3" s="1"/>
  <c r="BL55" i="3"/>
  <c r="BA64" i="3"/>
  <c r="BA66" i="3"/>
  <c r="AZ66" i="3" s="1"/>
  <c r="BL68" i="3"/>
  <c r="AZ68" i="3" s="1"/>
  <c r="BL70" i="3"/>
  <c r="AZ70" i="3" s="1"/>
  <c r="BA71" i="3"/>
  <c r="AZ71" i="3" s="1"/>
  <c r="BL73" i="3"/>
  <c r="BL74" i="3"/>
  <c r="AZ74" i="3" s="1"/>
  <c r="BL76" i="3"/>
  <c r="AZ76" i="3" s="1"/>
  <c r="BA77" i="3"/>
  <c r="AZ77" i="3" s="1"/>
  <c r="BA81" i="3"/>
  <c r="BL91" i="3"/>
  <c r="AZ91" i="3" s="1"/>
  <c r="BL93" i="3"/>
  <c r="BA96" i="3"/>
  <c r="AZ96" i="3" s="1"/>
  <c r="BL108" i="3"/>
  <c r="BL109" i="3"/>
  <c r="AZ109" i="3" s="1"/>
  <c r="BL110" i="3"/>
  <c r="AZ110" i="3" s="1"/>
  <c r="BL111" i="3"/>
  <c r="AZ111" i="3" s="1"/>
  <c r="AC21" i="33"/>
  <c r="W21" i="33"/>
  <c r="AA21" i="33"/>
  <c r="S21" i="33"/>
  <c r="BL154" i="3"/>
  <c r="BA156" i="3"/>
  <c r="AZ156" i="3" s="1"/>
  <c r="G159" i="3"/>
  <c r="BA161" i="3"/>
  <c r="G168" i="3"/>
  <c r="G172" i="3"/>
  <c r="BA172" i="3"/>
  <c r="AZ172" i="3" s="1"/>
  <c r="BA174" i="3"/>
  <c r="BA177" i="3"/>
  <c r="AZ177" i="3" s="1"/>
  <c r="BL179" i="3"/>
  <c r="AZ179" i="3" s="1"/>
  <c r="BL185" i="3"/>
  <c r="BA190" i="3"/>
  <c r="AZ190" i="3" s="1"/>
  <c r="BL193" i="3"/>
  <c r="BL195" i="3"/>
  <c r="AZ195" i="3" s="1"/>
  <c r="G202" i="3"/>
  <c r="BL202" i="3"/>
  <c r="BL206" i="3"/>
  <c r="AZ206" i="3" s="1"/>
  <c r="BA22" i="3"/>
  <c r="AZ22" i="3" s="1"/>
  <c r="BL22" i="3"/>
  <c r="BA24" i="3"/>
  <c r="AZ24" i="3" s="1"/>
  <c r="BA28" i="3"/>
  <c r="AZ28" i="3" s="1"/>
  <c r="BL31" i="3"/>
  <c r="AZ31" i="3" s="1"/>
  <c r="BL33" i="3"/>
  <c r="AZ33" i="3" s="1"/>
  <c r="BL34" i="3"/>
  <c r="AZ34" i="3" s="1"/>
  <c r="BA38" i="3"/>
  <c r="AZ38" i="3" s="1"/>
  <c r="BL41" i="3"/>
  <c r="AZ41" i="3" s="1"/>
  <c r="BL43" i="3"/>
  <c r="AZ43" i="3" s="1"/>
  <c r="BL44" i="3"/>
  <c r="AZ44" i="3" s="1"/>
  <c r="BA48" i="3"/>
  <c r="AZ48" i="3" s="1"/>
  <c r="BA50" i="3"/>
  <c r="AZ50" i="3" s="1"/>
  <c r="BL50" i="3"/>
  <c r="BA53" i="3"/>
  <c r="AZ53" i="3" s="1"/>
  <c r="BL56" i="3"/>
  <c r="BA62" i="3"/>
  <c r="AZ62" i="3" s="1"/>
  <c r="G70" i="3"/>
  <c r="BA70" i="3"/>
  <c r="BL82" i="3"/>
  <c r="AZ82" i="3" s="1"/>
  <c r="BL83" i="3"/>
  <c r="BA84" i="3"/>
  <c r="AZ84" i="3" s="1"/>
  <c r="BA85" i="3"/>
  <c r="AZ85" i="3" s="1"/>
  <c r="BA88" i="3"/>
  <c r="BL89" i="3"/>
  <c r="AZ89" i="3" s="1"/>
  <c r="G92" i="3"/>
  <c r="BA93" i="3"/>
  <c r="AZ93" i="3" s="1"/>
  <c r="BL97" i="3"/>
  <c r="BL98" i="3"/>
  <c r="BA105" i="3"/>
  <c r="AZ105" i="3" s="1"/>
  <c r="G109" i="3"/>
  <c r="G111" i="3"/>
  <c r="BL112" i="3"/>
  <c r="E100" i="43"/>
  <c r="L100" i="43"/>
  <c r="W29" i="39"/>
  <c r="B55" i="43"/>
  <c r="D48" i="71"/>
  <c r="D76" i="71"/>
  <c r="C63" i="71"/>
  <c r="E64" i="71"/>
  <c r="AA32" i="71"/>
  <c r="AB27" i="71"/>
  <c r="AB29" i="71"/>
  <c r="Y28" i="71"/>
  <c r="Z28" i="71" s="1"/>
  <c r="Y31" i="71"/>
  <c r="Z31" i="71" s="1"/>
  <c r="Y33" i="71"/>
  <c r="Z33" i="71" s="1"/>
  <c r="AB34" i="71"/>
  <c r="F76" i="71"/>
  <c r="F75" i="71" s="1"/>
  <c r="AJ10" i="43"/>
  <c r="BL51" i="3"/>
  <c r="AZ51" i="3" s="1"/>
  <c r="BL52" i="3"/>
  <c r="G53" i="3"/>
  <c r="BA56" i="3"/>
  <c r="AZ56" i="3" s="1"/>
  <c r="BA58" i="3"/>
  <c r="AZ58" i="3" s="1"/>
  <c r="BL58" i="3"/>
  <c r="BA60" i="3"/>
  <c r="AZ60" i="3" s="1"/>
  <c r="G63" i="3"/>
  <c r="G65" i="3"/>
  <c r="BL65" i="3"/>
  <c r="AZ65" i="3" s="1"/>
  <c r="G72" i="3"/>
  <c r="BL72" i="3"/>
  <c r="AZ72" i="3" s="1"/>
  <c r="G76" i="3"/>
  <c r="BA76" i="3"/>
  <c r="BA79" i="3"/>
  <c r="AZ79" i="3" s="1"/>
  <c r="G84" i="3"/>
  <c r="G85" i="3"/>
  <c r="BL85" i="3"/>
  <c r="G89" i="3"/>
  <c r="BL90" i="3"/>
  <c r="AZ90" i="3" s="1"/>
  <c r="BL100" i="3"/>
  <c r="BL101" i="3"/>
  <c r="AZ101" i="3" s="1"/>
  <c r="BL102" i="3"/>
  <c r="G104" i="3"/>
  <c r="BL104" i="3"/>
  <c r="BL105" i="3"/>
  <c r="G107" i="3"/>
  <c r="BL107" i="3"/>
  <c r="AZ107" i="3" s="1"/>
  <c r="BA112" i="3"/>
  <c r="F3" i="35"/>
  <c r="G1" i="79"/>
  <c r="J51" i="15"/>
  <c r="C40" i="68"/>
  <c r="C40" i="69"/>
  <c r="AB18" i="36"/>
  <c r="T49" i="71"/>
  <c r="AA23" i="71"/>
  <c r="C72" i="71"/>
  <c r="U65" i="71"/>
  <c r="AA28" i="71"/>
  <c r="AA26" i="71"/>
  <c r="T73" i="71"/>
  <c r="AH10" i="43"/>
  <c r="AA12" i="43"/>
  <c r="AI12" i="43"/>
  <c r="AB23" i="71"/>
  <c r="AA22" i="71"/>
  <c r="X32" i="71"/>
  <c r="O7" i="1"/>
  <c r="K5" i="4"/>
  <c r="B47" i="48" s="1"/>
  <c r="P61" i="15"/>
  <c r="C94" i="9"/>
  <c r="C92" i="9"/>
  <c r="D68" i="9"/>
  <c r="F30" i="69"/>
  <c r="F48" i="69" s="1"/>
  <c r="M18" i="67"/>
  <c r="F54" i="9"/>
  <c r="F28" i="15"/>
  <c r="C28" i="15" s="1"/>
  <c r="F52" i="9"/>
  <c r="F32" i="15"/>
  <c r="F60" i="15" s="1"/>
  <c r="F31" i="12"/>
  <c r="C30" i="11"/>
  <c r="C30" i="69"/>
  <c r="C48" i="68"/>
  <c r="C30" i="68"/>
  <c r="F32" i="67"/>
  <c r="F60" i="67" s="1"/>
  <c r="F28" i="67"/>
  <c r="C28" i="67" s="1"/>
  <c r="C21" i="69"/>
  <c r="C5" i="11"/>
  <c r="D22" i="67"/>
  <c r="L27" i="6"/>
  <c r="G28" i="6"/>
  <c r="F29" i="6"/>
  <c r="F30" i="6" s="1"/>
  <c r="BL15" i="3"/>
  <c r="AZ15" i="3" s="1"/>
  <c r="T10" i="1"/>
  <c r="E11" i="6"/>
  <c r="E60" i="39" s="1"/>
  <c r="E15" i="6"/>
  <c r="AR12" i="1"/>
  <c r="E12" i="6"/>
  <c r="E57" i="40" s="1"/>
  <c r="E8" i="6"/>
  <c r="Q16" i="1"/>
  <c r="F27" i="11" s="1"/>
  <c r="H16" i="1"/>
  <c r="T13" i="1"/>
  <c r="T12" i="1"/>
  <c r="AR10" i="1"/>
  <c r="D9" i="69"/>
  <c r="C9" i="69" s="1"/>
  <c r="D9" i="68"/>
  <c r="C9" i="68" s="1"/>
  <c r="AR11" i="1"/>
  <c r="T8" i="1"/>
  <c r="AQ8" i="1"/>
  <c r="E28" i="6"/>
  <c r="K14" i="1" s="1"/>
  <c r="G30" i="6"/>
  <c r="G31" i="6" s="1"/>
  <c r="O12" i="1"/>
  <c r="P12" i="1" s="1"/>
  <c r="C36" i="69"/>
  <c r="T9" i="1"/>
  <c r="AQ9" i="1"/>
  <c r="D19" i="12"/>
  <c r="C19" i="12" s="1"/>
  <c r="K101" i="43"/>
  <c r="H101" i="43"/>
  <c r="I101" i="43"/>
  <c r="AF11" i="43"/>
  <c r="AC11" i="43"/>
  <c r="AC13" i="43" s="1"/>
  <c r="F22" i="43"/>
  <c r="E22" i="43"/>
  <c r="J101" i="43"/>
  <c r="D101" i="43"/>
  <c r="AJ11" i="43"/>
  <c r="AJ13" i="43" s="1"/>
  <c r="AD11" i="43"/>
  <c r="Z7" i="43"/>
  <c r="AG11" i="43"/>
  <c r="AG13" i="43" s="1"/>
  <c r="AA11" i="43"/>
  <c r="AA13" i="43" s="1"/>
  <c r="J22" i="43"/>
  <c r="B113" i="43"/>
  <c r="F101" i="43"/>
  <c r="G101" i="43"/>
  <c r="N104" i="46"/>
  <c r="H22" i="43"/>
  <c r="E101" i="43"/>
  <c r="AH11" i="43"/>
  <c r="AH13" i="43" s="1"/>
  <c r="AB11" i="43"/>
  <c r="AB13" i="43" s="1"/>
  <c r="AE11" i="43"/>
  <c r="AE13" i="43" s="1"/>
  <c r="N101" i="43"/>
  <c r="C101" i="43"/>
  <c r="L101" i="43"/>
  <c r="L106" i="43" s="1"/>
  <c r="M101" i="43"/>
  <c r="G22" i="43"/>
  <c r="Z11" i="43"/>
  <c r="Z13" i="43" s="1"/>
  <c r="AI11" i="43"/>
  <c r="AI13" i="43" s="1"/>
  <c r="Y11" i="43"/>
  <c r="Y13" i="43" s="1"/>
  <c r="D124" i="9"/>
  <c r="D10" i="52" s="1"/>
  <c r="A118" i="9"/>
  <c r="A2" i="9"/>
  <c r="A4" i="52"/>
  <c r="B41" i="72" s="1"/>
  <c r="C20" i="43"/>
  <c r="C17" i="71"/>
  <c r="D18" i="71"/>
  <c r="E41" i="43"/>
  <c r="C41" i="43" s="1"/>
  <c r="P7" i="1"/>
  <c r="AA17" i="33"/>
  <c r="AC27" i="33"/>
  <c r="W27" i="33"/>
  <c r="D16" i="53"/>
  <c r="S29" i="21"/>
  <c r="P11" i="1"/>
  <c r="O9" i="1"/>
  <c r="P9" i="1" s="1"/>
  <c r="C48" i="69"/>
  <c r="P6" i="1"/>
  <c r="E102" i="43"/>
  <c r="E103" i="43"/>
  <c r="AZ336" i="3"/>
  <c r="AZ304" i="3"/>
  <c r="AZ325" i="3"/>
  <c r="AA23" i="21"/>
  <c r="AB12" i="21"/>
  <c r="U12" i="21"/>
  <c r="AZ342" i="3"/>
  <c r="AZ394" i="3"/>
  <c r="AZ525" i="3"/>
  <c r="AZ533" i="3"/>
  <c r="AZ541" i="3"/>
  <c r="AZ379" i="3"/>
  <c r="AZ372" i="3"/>
  <c r="AB12" i="37"/>
  <c r="U12" i="37"/>
  <c r="J9" i="34"/>
  <c r="F38" i="40"/>
  <c r="BA551" i="3"/>
  <c r="AZ551" i="3" s="1"/>
  <c r="BA550" i="3"/>
  <c r="AZ398" i="3"/>
  <c r="AZ403" i="3"/>
  <c r="AZ404" i="3"/>
  <c r="AZ411" i="3"/>
  <c r="AZ414" i="3"/>
  <c r="AZ424" i="3"/>
  <c r="AZ426" i="3"/>
  <c r="AZ436" i="3"/>
  <c r="AZ448" i="3"/>
  <c r="AZ450" i="3"/>
  <c r="AZ452" i="3"/>
  <c r="AZ454" i="3"/>
  <c r="AZ459" i="3"/>
  <c r="AZ460" i="3"/>
  <c r="AZ467" i="3"/>
  <c r="AZ479" i="3"/>
  <c r="AZ489" i="3"/>
  <c r="AB30" i="21"/>
  <c r="AA13" i="35"/>
  <c r="AC14" i="37"/>
  <c r="AC31" i="34"/>
  <c r="S41" i="33"/>
  <c r="J12" i="21"/>
  <c r="F12" i="21"/>
  <c r="H44" i="39"/>
  <c r="F44" i="39"/>
  <c r="O8" i="1"/>
  <c r="AZ420" i="3"/>
  <c r="AZ425" i="3"/>
  <c r="AZ431" i="3"/>
  <c r="AZ434" i="3"/>
  <c r="AZ435" i="3"/>
  <c r="AZ442" i="3"/>
  <c r="AZ444" i="3"/>
  <c r="AZ446" i="3"/>
  <c r="AZ449" i="3"/>
  <c r="AZ453" i="3"/>
  <c r="AZ477" i="3"/>
  <c r="AZ484" i="3"/>
  <c r="F9" i="36"/>
  <c r="J12" i="36"/>
  <c r="H12" i="36"/>
  <c r="BL550" i="3"/>
  <c r="AZ418" i="3"/>
  <c r="AZ421" i="3"/>
  <c r="AZ422" i="3"/>
  <c r="AZ432" i="3"/>
  <c r="AZ445" i="3"/>
  <c r="AZ475" i="3"/>
  <c r="AZ485" i="3"/>
  <c r="AZ487" i="3"/>
  <c r="AZ481" i="3"/>
  <c r="AZ226" i="3"/>
  <c r="AZ236" i="3"/>
  <c r="AZ246" i="3"/>
  <c r="AZ270" i="3"/>
  <c r="AZ292" i="3"/>
  <c r="AZ300" i="3"/>
  <c r="AZ122" i="3"/>
  <c r="BL478" i="3"/>
  <c r="AZ478" i="3" s="1"/>
  <c r="AZ118" i="3"/>
  <c r="G484" i="3"/>
  <c r="BA490" i="3"/>
  <c r="AZ490" i="3" s="1"/>
  <c r="BA307" i="3"/>
  <c r="AZ307" i="3" s="1"/>
  <c r="BA316" i="3"/>
  <c r="AZ316" i="3" s="1"/>
  <c r="AZ239" i="3"/>
  <c r="AZ284" i="3"/>
  <c r="AZ302" i="3"/>
  <c r="AZ113" i="3"/>
  <c r="AZ126" i="3"/>
  <c r="G480" i="3"/>
  <c r="BA483" i="3"/>
  <c r="AZ483" i="3" s="1"/>
  <c r="G488" i="3"/>
  <c r="BL492" i="3"/>
  <c r="AZ492" i="3" s="1"/>
  <c r="AZ212" i="3"/>
  <c r="AZ217" i="3"/>
  <c r="AZ225" i="3"/>
  <c r="AZ228" i="3"/>
  <c r="AZ231" i="3"/>
  <c r="AZ247" i="3"/>
  <c r="AZ137" i="3"/>
  <c r="AZ145" i="3"/>
  <c r="AZ153" i="3"/>
  <c r="BL146" i="3"/>
  <c r="AZ146" i="3" s="1"/>
  <c r="BL153" i="3"/>
  <c r="BL155" i="3"/>
  <c r="AZ155" i="3" s="1"/>
  <c r="BL158" i="3"/>
  <c r="AZ158" i="3" s="1"/>
  <c r="BA162" i="3"/>
  <c r="AZ162" i="3" s="1"/>
  <c r="BL167" i="3"/>
  <c r="AZ167" i="3" s="1"/>
  <c r="BA169" i="3"/>
  <c r="AZ169" i="3" s="1"/>
  <c r="AZ49" i="3"/>
  <c r="G155" i="3"/>
  <c r="BA160" i="3"/>
  <c r="AZ160" i="3" s="1"/>
  <c r="G164" i="3"/>
  <c r="G176" i="3"/>
  <c r="AZ52" i="3"/>
  <c r="AZ64" i="3"/>
  <c r="BA149" i="3"/>
  <c r="AZ149" i="3" s="1"/>
  <c r="BA154" i="3"/>
  <c r="AZ154" i="3" s="1"/>
  <c r="BL161" i="3"/>
  <c r="AZ161" i="3" s="1"/>
  <c r="BL163" i="3"/>
  <c r="AZ163" i="3" s="1"/>
  <c r="G170" i="3"/>
  <c r="AZ185" i="3"/>
  <c r="AZ57" i="3"/>
  <c r="G60" i="3"/>
  <c r="BA86" i="3"/>
  <c r="AZ86" i="3" s="1"/>
  <c r="BA92" i="3"/>
  <c r="AZ92" i="3" s="1"/>
  <c r="AZ100" i="3"/>
  <c r="BA106" i="3"/>
  <c r="AZ106" i="3" s="1"/>
  <c r="AZ108" i="3"/>
  <c r="AZ73" i="3"/>
  <c r="AZ78" i="3"/>
  <c r="BL61" i="3"/>
  <c r="AZ61" i="3" s="1"/>
  <c r="BL64" i="3"/>
  <c r="BA67" i="3"/>
  <c r="AZ67" i="3" s="1"/>
  <c r="BL69" i="3"/>
  <c r="AZ69" i="3" s="1"/>
  <c r="BL75" i="3"/>
  <c r="AZ75" i="3" s="1"/>
  <c r="AZ81" i="3"/>
  <c r="BL88" i="3"/>
  <c r="AZ88" i="3" s="1"/>
  <c r="BA94" i="3"/>
  <c r="AZ94" i="3" s="1"/>
  <c r="AZ95" i="3"/>
  <c r="BA97" i="3"/>
  <c r="AZ97" i="3" s="1"/>
  <c r="AZ98" i="3"/>
  <c r="BA103" i="3"/>
  <c r="AZ103" i="3" s="1"/>
  <c r="AZ104" i="3"/>
  <c r="AZ112" i="3"/>
  <c r="I100" i="43"/>
  <c r="AB5" i="71"/>
  <c r="X5" i="71"/>
  <c r="Y5" i="71"/>
  <c r="Z5" i="71" s="1"/>
  <c r="AA5" i="71"/>
  <c r="D55" i="71"/>
  <c r="Y30" i="71"/>
  <c r="Z30" i="71" s="1"/>
  <c r="C28" i="71"/>
  <c r="D27" i="71"/>
  <c r="X29" i="71"/>
  <c r="X27" i="71"/>
  <c r="X28" i="71"/>
  <c r="G100" i="43"/>
  <c r="N100" i="43"/>
  <c r="AA18" i="35"/>
  <c r="AB24" i="71"/>
  <c r="AB25" i="71"/>
  <c r="AB22" i="71"/>
  <c r="Q63" i="71"/>
  <c r="Q62" i="71"/>
  <c r="AB14" i="71"/>
  <c r="AA21" i="21"/>
  <c r="S21" i="21"/>
  <c r="N62" i="71"/>
  <c r="F27" i="71"/>
  <c r="F28" i="71" s="1"/>
  <c r="F29" i="71" s="1"/>
  <c r="V29" i="71" s="1"/>
  <c r="AB26" i="71"/>
  <c r="C52" i="71"/>
  <c r="D51" i="71"/>
  <c r="X24" i="71"/>
  <c r="S21" i="37"/>
  <c r="S21" i="34"/>
  <c r="B86" i="43"/>
  <c r="P27" i="6"/>
  <c r="D84" i="71"/>
  <c r="C83" i="71"/>
  <c r="D83" i="71" s="1"/>
  <c r="Y27" i="71"/>
  <c r="Z27" i="71" s="1"/>
  <c r="C31" i="71"/>
  <c r="Y24" i="71"/>
  <c r="Z24" i="71" s="1"/>
  <c r="Y19" i="71"/>
  <c r="Z19" i="71" s="1"/>
  <c r="AB6" i="71"/>
  <c r="C60" i="71"/>
  <c r="D59" i="71"/>
  <c r="AB20" i="71"/>
  <c r="AB18" i="71"/>
  <c r="X18" i="71"/>
  <c r="AA18" i="71"/>
  <c r="X15" i="71"/>
  <c r="Y15" i="71"/>
  <c r="Z15" i="71" s="1"/>
  <c r="AA14" i="71"/>
  <c r="AB11" i="71"/>
  <c r="C23" i="71"/>
  <c r="D23" i="71" s="1"/>
  <c r="D25" i="71"/>
  <c r="U25" i="71" s="1"/>
  <c r="X22" i="71"/>
  <c r="Y22" i="71"/>
  <c r="Z22" i="71" s="1"/>
  <c r="Y34" i="71"/>
  <c r="Z34" i="71" s="1"/>
  <c r="AA31" i="71"/>
  <c r="F31" i="71"/>
  <c r="F32" i="71" s="1"/>
  <c r="F33" i="71" s="1"/>
  <c r="V33" i="71" s="1"/>
  <c r="E35" i="71"/>
  <c r="E36" i="71" s="1"/>
  <c r="E37" i="71" s="1"/>
  <c r="U37" i="71" s="1"/>
  <c r="AA34" i="71"/>
  <c r="F35" i="71"/>
  <c r="F36" i="71" s="1"/>
  <c r="F37" i="71" s="1"/>
  <c r="V37" i="71" s="1"/>
  <c r="Y7" i="71"/>
  <c r="Z7" i="71" s="1"/>
  <c r="Y6" i="71"/>
  <c r="Z6" i="71" s="1"/>
  <c r="Y20" i="71"/>
  <c r="Z20" i="71" s="1"/>
  <c r="Y18" i="71"/>
  <c r="Z18" i="71" s="1"/>
  <c r="AB15" i="71"/>
  <c r="Y11" i="71"/>
  <c r="Z11" i="71" s="1"/>
  <c r="X10" i="71"/>
  <c r="D36" i="71"/>
  <c r="AA25" i="71"/>
  <c r="AA3" i="71"/>
  <c r="X31" i="71"/>
  <c r="AA30" i="71"/>
  <c r="X30" i="71"/>
  <c r="X25" i="71"/>
  <c r="Y26" i="71"/>
  <c r="Z26" i="71" s="1"/>
  <c r="AA27" i="71"/>
  <c r="Y29" i="71"/>
  <c r="Z29" i="71" s="1"/>
  <c r="AB31" i="71"/>
  <c r="Y32" i="71"/>
  <c r="Z32" i="71" s="1"/>
  <c r="AA6" i="71"/>
  <c r="AA7" i="71"/>
  <c r="AA36" i="71"/>
  <c r="F68" i="71"/>
  <c r="F67" i="71" s="1"/>
  <c r="AB10" i="43"/>
  <c r="AF12" i="43"/>
  <c r="AF13" i="43" s="1"/>
  <c r="AF10" i="43"/>
  <c r="AB21" i="71"/>
  <c r="B17" i="71"/>
  <c r="AA21" i="71"/>
  <c r="X19" i="71"/>
  <c r="AA15" i="71"/>
  <c r="AA11" i="71"/>
  <c r="Y14" i="71"/>
  <c r="Z14" i="71" s="1"/>
  <c r="AA10" i="71"/>
  <c r="AA24" i="71"/>
  <c r="Q64" i="71"/>
  <c r="D35" i="71"/>
  <c r="B25" i="71"/>
  <c r="Y23" i="71"/>
  <c r="Z23" i="71" s="1"/>
  <c r="Y25" i="71"/>
  <c r="Z25" i="71" s="1"/>
  <c r="X26" i="71"/>
  <c r="AB28" i="71"/>
  <c r="AA29" i="71"/>
  <c r="AD12" i="43"/>
  <c r="AD10" i="43"/>
  <c r="N56" i="9"/>
  <c r="M56" i="9"/>
  <c r="X21" i="71"/>
  <c r="P61" i="67"/>
  <c r="P74" i="67"/>
  <c r="AA19" i="71"/>
  <c r="AA20" i="71"/>
  <c r="X14" i="71"/>
  <c r="AB12" i="71"/>
  <c r="AB7" i="71"/>
  <c r="AB9" i="71"/>
  <c r="AB8" i="71"/>
  <c r="AB10" i="71"/>
  <c r="Y9" i="71"/>
  <c r="Z9" i="71" s="1"/>
  <c r="X6" i="71"/>
  <c r="Y21" i="71"/>
  <c r="Z21" i="71" s="1"/>
  <c r="E21" i="71"/>
  <c r="X12" i="71"/>
  <c r="X7" i="71"/>
  <c r="X11" i="71"/>
  <c r="Y10" i="71"/>
  <c r="Z10" i="71" s="1"/>
  <c r="X9" i="71"/>
  <c r="AA8" i="71"/>
  <c r="Y8" i="71"/>
  <c r="Z8" i="71" s="1"/>
  <c r="AA12" i="71"/>
  <c r="X8" i="71"/>
  <c r="AA9" i="71"/>
  <c r="E67" i="39"/>
  <c r="AC21" i="39"/>
  <c r="AB23" i="39"/>
  <c r="AB15" i="39"/>
  <c r="AC15" i="39"/>
  <c r="S25" i="39"/>
  <c r="W39" i="39"/>
  <c r="W42" i="39"/>
  <c r="W14" i="39"/>
  <c r="S29" i="39"/>
  <c r="G17" i="43"/>
  <c r="C16" i="43" s="1"/>
  <c r="C5" i="43" s="1"/>
  <c r="E11" i="43"/>
  <c r="E9" i="43"/>
  <c r="E10" i="43"/>
  <c r="E8" i="43"/>
  <c r="G16" i="1"/>
  <c r="F10" i="40"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7" i="15"/>
  <c r="J55" i="15" s="1"/>
  <c r="J58" i="15" s="1"/>
  <c r="Q50" i="15" s="1"/>
  <c r="I54" i="15"/>
  <c r="K1" i="73"/>
  <c r="B20" i="31"/>
  <c r="B21" i="31" s="1"/>
  <c r="I1" i="73"/>
  <c r="B39" i="1" s="1"/>
  <c r="F51" i="67"/>
  <c r="J20" i="67"/>
  <c r="B12" i="70"/>
  <c r="M7" i="15"/>
  <c r="F50" i="15"/>
  <c r="F51" i="15"/>
  <c r="F71" i="15"/>
  <c r="C6" i="15"/>
  <c r="B11" i="70"/>
  <c r="N59" i="15"/>
  <c r="L58" i="15"/>
  <c r="B8" i="70"/>
  <c r="F66" i="15"/>
  <c r="F64" i="15"/>
  <c r="C27" i="15"/>
  <c r="F65" i="15"/>
  <c r="B9" i="70"/>
  <c r="B13" i="70"/>
  <c r="L48" i="67"/>
  <c r="F36" i="67"/>
  <c r="F26" i="67"/>
  <c r="C76" i="67"/>
  <c r="M29" i="67"/>
  <c r="M27" i="15"/>
  <c r="F13" i="15"/>
  <c r="M9" i="15"/>
  <c r="M22" i="67"/>
  <c r="F40" i="67"/>
  <c r="J15" i="15"/>
  <c r="M28" i="67"/>
  <c r="M26" i="15"/>
  <c r="F13" i="67"/>
  <c r="F16" i="15"/>
  <c r="M26" i="67"/>
  <c r="F40" i="15"/>
  <c r="M9" i="67"/>
  <c r="M6" i="67"/>
  <c r="F42" i="67"/>
  <c r="F7" i="67"/>
  <c r="M24" i="67"/>
  <c r="F38" i="67"/>
  <c r="F41" i="67"/>
  <c r="M29" i="15"/>
  <c r="F37" i="67"/>
  <c r="M27" i="67"/>
  <c r="M23" i="67"/>
  <c r="G1" i="73"/>
  <c r="L47" i="67"/>
  <c r="F43" i="67"/>
  <c r="F6" i="67"/>
  <c r="F35" i="67"/>
  <c r="L59" i="67" l="1"/>
  <c r="Q61" i="67" s="1"/>
  <c r="L58" i="67"/>
  <c r="Q60" i="67" s="1"/>
  <c r="N59" i="67"/>
  <c r="F65" i="67"/>
  <c r="F68" i="67"/>
  <c r="F68" i="15"/>
  <c r="F63" i="67"/>
  <c r="C62" i="67" s="1"/>
  <c r="C34" i="67"/>
  <c r="F69" i="67"/>
  <c r="Q71" i="67"/>
  <c r="F66" i="67"/>
  <c r="C6" i="67"/>
  <c r="C32" i="67" s="1"/>
  <c r="C27" i="67"/>
  <c r="F50" i="67"/>
  <c r="C49" i="67" s="1"/>
  <c r="M7" i="67"/>
  <c r="J6" i="67" s="1"/>
  <c r="J18" i="67" s="1"/>
  <c r="F70" i="67"/>
  <c r="F71" i="67"/>
  <c r="F64" i="67"/>
  <c r="J57" i="67"/>
  <c r="J55" i="67" s="1"/>
  <c r="J58" i="67" s="1"/>
  <c r="Q50" i="67" s="1"/>
  <c r="L56" i="67"/>
  <c r="I54" i="67"/>
  <c r="E58" i="40"/>
  <c r="E62" i="39"/>
  <c r="E29" i="6"/>
  <c r="P64" i="71"/>
  <c r="E63" i="71"/>
  <c r="AZ102" i="3"/>
  <c r="AZ19" i="3"/>
  <c r="AZ178" i="3"/>
  <c r="AZ289" i="3"/>
  <c r="AZ317" i="3"/>
  <c r="AC14" i="33"/>
  <c r="W14" i="33"/>
  <c r="U39" i="40"/>
  <c r="AB39" i="40"/>
  <c r="S36" i="39"/>
  <c r="AA36" i="39"/>
  <c r="AB39" i="37"/>
  <c r="U39" i="37"/>
  <c r="U13" i="40"/>
  <c r="AB13" i="40"/>
  <c r="AA43" i="39"/>
  <c r="S43" i="39"/>
  <c r="AB24" i="36"/>
  <c r="U24" i="36"/>
  <c r="AB28" i="21"/>
  <c r="U28" i="21"/>
  <c r="W27" i="34"/>
  <c r="AC27" i="34"/>
  <c r="AA9" i="33"/>
  <c r="S9" i="33"/>
  <c r="W46" i="21"/>
  <c r="AC46" i="21"/>
  <c r="E14" i="6"/>
  <c r="AC9" i="36"/>
  <c r="W9" i="36"/>
  <c r="S45" i="34"/>
  <c r="AA45" i="34"/>
  <c r="AA46" i="33"/>
  <c r="S46" i="33"/>
  <c r="AA30" i="33"/>
  <c r="S30" i="33"/>
  <c r="D72" i="71"/>
  <c r="C71" i="71"/>
  <c r="D71" i="71" s="1"/>
  <c r="O62" i="71"/>
  <c r="O63" i="71"/>
  <c r="D63" i="71"/>
  <c r="AZ47" i="3"/>
  <c r="AZ37" i="3"/>
  <c r="AZ5" i="3" s="1"/>
  <c r="C41" i="71"/>
  <c r="D40" i="71"/>
  <c r="AZ197" i="3"/>
  <c r="AZ301" i="3"/>
  <c r="AZ295" i="3"/>
  <c r="AZ281" i="3"/>
  <c r="AZ173" i="3"/>
  <c r="AZ166" i="3"/>
  <c r="AZ130" i="3"/>
  <c r="AZ114" i="3"/>
  <c r="AZ243" i="3"/>
  <c r="AZ354" i="3"/>
  <c r="AC39" i="40"/>
  <c r="W39" i="40"/>
  <c r="AA33" i="40"/>
  <c r="S33" i="40"/>
  <c r="S39" i="37"/>
  <c r="AA39" i="37"/>
  <c r="AC13" i="40"/>
  <c r="W13" i="40"/>
  <c r="AC43" i="39"/>
  <c r="W43" i="39"/>
  <c r="AB9" i="33"/>
  <c r="U9" i="33"/>
  <c r="S31" i="21"/>
  <c r="AA31" i="21"/>
  <c r="AB9" i="36"/>
  <c r="U9" i="36"/>
  <c r="W45" i="34"/>
  <c r="AC45" i="34"/>
  <c r="AC46" i="33"/>
  <c r="W46" i="33"/>
  <c r="S12" i="33"/>
  <c r="AA12" i="33"/>
  <c r="J6" i="15"/>
  <c r="J18" i="15" s="1"/>
  <c r="J7" i="36"/>
  <c r="AC7" i="36" s="1"/>
  <c r="V36" i="36" s="1"/>
  <c r="I36" i="36" s="1"/>
  <c r="H7" i="34"/>
  <c r="U7" i="34" s="1"/>
  <c r="AZ174" i="3"/>
  <c r="AZ293" i="3"/>
  <c r="AZ279" i="3"/>
  <c r="AZ299" i="3"/>
  <c r="AZ273" i="3"/>
  <c r="AZ397" i="3"/>
  <c r="AA9" i="34"/>
  <c r="S9" i="34"/>
  <c r="AZ575" i="3"/>
  <c r="AA40" i="40"/>
  <c r="S40" i="40"/>
  <c r="U33" i="40"/>
  <c r="AB33" i="40"/>
  <c r="AC39" i="37"/>
  <c r="W39" i="37"/>
  <c r="AZ521" i="3"/>
  <c r="AZ527" i="3"/>
  <c r="AA37" i="39"/>
  <c r="S37" i="39"/>
  <c r="S24" i="36"/>
  <c r="AA24" i="36"/>
  <c r="AZ534" i="3"/>
  <c r="AB34" i="35"/>
  <c r="U34" i="35"/>
  <c r="AB27" i="34"/>
  <c r="U27" i="34"/>
  <c r="AA46" i="21"/>
  <c r="S46" i="21"/>
  <c r="U31" i="21"/>
  <c r="AB31" i="21"/>
  <c r="U13" i="35"/>
  <c r="AB13" i="35"/>
  <c r="AB29" i="34"/>
  <c r="U29" i="34"/>
  <c r="W30" i="33"/>
  <c r="AC30" i="33"/>
  <c r="U12" i="33"/>
  <c r="AB12" i="33"/>
  <c r="E10" i="6"/>
  <c r="E16" i="6" s="1"/>
  <c r="J7" i="34"/>
  <c r="AC7" i="34" s="1"/>
  <c r="V49" i="34" s="1"/>
  <c r="I49" i="34" s="1"/>
  <c r="AZ83" i="3"/>
  <c r="AZ21" i="3"/>
  <c r="AZ298" i="3"/>
  <c r="AZ282" i="3"/>
  <c r="AZ263" i="3"/>
  <c r="AZ245" i="3"/>
  <c r="AZ367" i="3"/>
  <c r="AZ332" i="3"/>
  <c r="AZ441" i="3"/>
  <c r="AZ417" i="3"/>
  <c r="AB34" i="36"/>
  <c r="U34" i="36"/>
  <c r="W45" i="39"/>
  <c r="AC45" i="39"/>
  <c r="AA33" i="36"/>
  <c r="S33" i="36"/>
  <c r="AC36" i="39"/>
  <c r="W36" i="39"/>
  <c r="W33" i="40"/>
  <c r="AC33" i="40"/>
  <c r="AZ499" i="3"/>
  <c r="AA13" i="40"/>
  <c r="S13" i="40"/>
  <c r="W37" i="39"/>
  <c r="AC37" i="39"/>
  <c r="AC24" i="36"/>
  <c r="W24" i="36"/>
  <c r="W28" i="21"/>
  <c r="AC28" i="21"/>
  <c r="AC34" i="35"/>
  <c r="W34" i="35"/>
  <c r="AA27" i="34"/>
  <c r="S27" i="34"/>
  <c r="AC9" i="33"/>
  <c r="W9" i="33"/>
  <c r="U46" i="21"/>
  <c r="AB46" i="21"/>
  <c r="AC13" i="35"/>
  <c r="W13" i="35"/>
  <c r="S29" i="34"/>
  <c r="AA29" i="34"/>
  <c r="AB30" i="33"/>
  <c r="U30" i="33"/>
  <c r="AC12" i="33"/>
  <c r="W12" i="33"/>
  <c r="F11" i="79"/>
  <c r="M11" i="79"/>
  <c r="E56" i="40"/>
  <c r="E60" i="40"/>
  <c r="E64" i="39"/>
  <c r="AD13" i="43"/>
  <c r="F27" i="68"/>
  <c r="E61" i="39"/>
  <c r="F27" i="6"/>
  <c r="F31" i="6" s="1"/>
  <c r="E56" i="39"/>
  <c r="E51" i="40"/>
  <c r="F27" i="69"/>
  <c r="F28" i="12"/>
  <c r="C47" i="11"/>
  <c r="D45" i="11" s="1"/>
  <c r="E30" i="6"/>
  <c r="K15" i="1"/>
  <c r="K16" i="1" s="1"/>
  <c r="L103" i="43"/>
  <c r="F10" i="39"/>
  <c r="S10" i="39" s="1"/>
  <c r="C34" i="69"/>
  <c r="M14" i="1"/>
  <c r="N102" i="43"/>
  <c r="N105" i="43"/>
  <c r="N109" i="43"/>
  <c r="N106" i="43"/>
  <c r="N104" i="43"/>
  <c r="N103" i="43"/>
  <c r="N107" i="43"/>
  <c r="M102" i="43"/>
  <c r="M105" i="43"/>
  <c r="M104" i="43"/>
  <c r="M107" i="43"/>
  <c r="M103" i="43"/>
  <c r="M109" i="43"/>
  <c r="C104" i="43"/>
  <c r="C107" i="43"/>
  <c r="C106" i="43"/>
  <c r="C105" i="43"/>
  <c r="C102" i="43"/>
  <c r="C103" i="43"/>
  <c r="C109" i="43"/>
  <c r="E104" i="43"/>
  <c r="E109" i="43"/>
  <c r="E106" i="43"/>
  <c r="E107" i="43"/>
  <c r="E105" i="43"/>
  <c r="F104" i="43"/>
  <c r="F105" i="43"/>
  <c r="F109" i="43"/>
  <c r="F107" i="43"/>
  <c r="F102" i="43"/>
  <c r="F106" i="43"/>
  <c r="F103" i="43"/>
  <c r="G118" i="43"/>
  <c r="H118" i="43" s="1"/>
  <c r="I118" i="43"/>
  <c r="J118" i="43" s="1"/>
  <c r="K118" i="43" s="1"/>
  <c r="L118" i="43" s="1"/>
  <c r="M118"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D118" i="43"/>
  <c r="E118" i="43" s="1"/>
  <c r="F118" i="43" s="1"/>
  <c r="B116" i="43"/>
  <c r="C116" i="43" s="1"/>
  <c r="B115" i="43"/>
  <c r="B118" i="43"/>
  <c r="C118" i="43" s="1"/>
  <c r="B117" i="43"/>
  <c r="C117" i="43" s="1"/>
  <c r="D115" i="43"/>
  <c r="E115" i="43" s="1"/>
  <c r="F115" i="43" s="1"/>
  <c r="G115" i="43" s="1"/>
  <c r="H115" i="43" s="1"/>
  <c r="D103" i="43"/>
  <c r="D107" i="43"/>
  <c r="D105" i="43"/>
  <c r="D102" i="43"/>
  <c r="D109" i="43"/>
  <c r="D104" i="43"/>
  <c r="D106" i="43"/>
  <c r="I106" i="43"/>
  <c r="I109" i="43"/>
  <c r="I107" i="43"/>
  <c r="I102" i="43"/>
  <c r="I103" i="43"/>
  <c r="I104" i="43"/>
  <c r="I105" i="43"/>
  <c r="J104" i="43"/>
  <c r="J102" i="43"/>
  <c r="J105" i="43"/>
  <c r="J106" i="43"/>
  <c r="J107" i="43"/>
  <c r="J103" i="43"/>
  <c r="J109" i="43"/>
  <c r="H106" i="43"/>
  <c r="H102" i="43"/>
  <c r="H104" i="43"/>
  <c r="H109" i="43"/>
  <c r="H107" i="43"/>
  <c r="H105" i="43"/>
  <c r="H103" i="43"/>
  <c r="M106" i="43"/>
  <c r="L109" i="43"/>
  <c r="L107" i="43"/>
  <c r="L104" i="43"/>
  <c r="L102" i="43"/>
  <c r="L105" i="43"/>
  <c r="G105" i="43"/>
  <c r="G102" i="43"/>
  <c r="G104" i="43"/>
  <c r="G107" i="43"/>
  <c r="G106" i="43"/>
  <c r="G103" i="43"/>
  <c r="G109" i="43"/>
  <c r="D22" i="43"/>
  <c r="K102" i="43"/>
  <c r="K105" i="43"/>
  <c r="K103" i="43"/>
  <c r="K104" i="43"/>
  <c r="K109" i="43"/>
  <c r="K107" i="43"/>
  <c r="K106" i="43"/>
  <c r="H14" i="74"/>
  <c r="B7" i="74" s="1"/>
  <c r="D125" i="9"/>
  <c r="D11" i="52" s="1"/>
  <c r="H10" i="40"/>
  <c r="U10" i="40" s="1"/>
  <c r="J10" i="40"/>
  <c r="W10" i="40" s="1"/>
  <c r="J10" i="39"/>
  <c r="W10" i="39" s="1"/>
  <c r="H10" i="39"/>
  <c r="U10" i="39" s="1"/>
  <c r="V21" i="71"/>
  <c r="E20" i="71"/>
  <c r="E19" i="71" s="1"/>
  <c r="E18" i="71" s="1"/>
  <c r="E17" i="71" s="1"/>
  <c r="B24" i="71"/>
  <c r="B23" i="71" s="1"/>
  <c r="S25" i="71"/>
  <c r="C53" i="71"/>
  <c r="D52" i="71"/>
  <c r="AB12" i="36"/>
  <c r="U12" i="36"/>
  <c r="P8" i="1"/>
  <c r="S12" i="21"/>
  <c r="AA12" i="21"/>
  <c r="AZ550" i="3"/>
  <c r="B34" i="72"/>
  <c r="D17" i="53"/>
  <c r="B36" i="72" s="1"/>
  <c r="J7" i="37"/>
  <c r="AC7" i="37" s="1"/>
  <c r="V42" i="37" s="1"/>
  <c r="I42" i="37" s="1"/>
  <c r="D60" i="71"/>
  <c r="C61" i="71"/>
  <c r="C32" i="71"/>
  <c r="D31" i="71"/>
  <c r="AC12" i="36"/>
  <c r="W12" i="36"/>
  <c r="AC12" i="21"/>
  <c r="W12" i="21"/>
  <c r="C16" i="71"/>
  <c r="T17" i="71"/>
  <c r="D17" i="71"/>
  <c r="U17" i="71" s="1"/>
  <c r="B16" i="71"/>
  <c r="B15" i="71" s="1"/>
  <c r="B14" i="71" s="1"/>
  <c r="B13" i="71" s="1"/>
  <c r="S17" i="71"/>
  <c r="AA9" i="36"/>
  <c r="S9" i="36"/>
  <c r="AA44" i="39"/>
  <c r="S44" i="39"/>
  <c r="AA38" i="40"/>
  <c r="S38" i="40"/>
  <c r="BL5" i="3"/>
  <c r="BA5" i="3"/>
  <c r="E27" i="6" s="1"/>
  <c r="C7" i="43"/>
  <c r="C29" i="71"/>
  <c r="D28" i="71"/>
  <c r="G5" i="3"/>
  <c r="B3" i="3" s="1"/>
  <c r="U44" i="39"/>
  <c r="AB44" i="39"/>
  <c r="AC9" i="34"/>
  <c r="W9"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9" s="1"/>
  <c r="H7" i="33"/>
  <c r="J7" i="33"/>
  <c r="D65" i="40"/>
  <c r="E63" i="40"/>
  <c r="F48" i="35"/>
  <c r="S7" i="36"/>
  <c r="AA7" i="36"/>
  <c r="R36" i="36" s="1"/>
  <c r="AB7" i="36"/>
  <c r="T36" i="36" s="1"/>
  <c r="G36" i="36" s="1"/>
  <c r="U7" i="36"/>
  <c r="AB7" i="34"/>
  <c r="T49" i="34" s="1"/>
  <c r="G49" i="34" s="1"/>
  <c r="AA7" i="34"/>
  <c r="R49" i="34" s="1"/>
  <c r="S7" i="34"/>
  <c r="AA10" i="40"/>
  <c r="S10" i="40"/>
  <c r="F7" i="33"/>
  <c r="E58" i="21"/>
  <c r="F7" i="37"/>
  <c r="W7" i="34"/>
  <c r="M17" i="67"/>
  <c r="M17" i="15"/>
  <c r="F59" i="15"/>
  <c r="P24" i="43"/>
  <c r="B66" i="40" s="1"/>
  <c r="P21" i="43"/>
  <c r="P25" i="43"/>
  <c r="P23" i="43"/>
  <c r="B70" i="39" s="1"/>
  <c r="C49" i="15"/>
  <c r="M28" i="43"/>
  <c r="N28" i="43"/>
  <c r="O28" i="43"/>
  <c r="P28" i="43"/>
  <c r="M11" i="67"/>
  <c r="J10" i="67" s="1"/>
  <c r="F11" i="15"/>
  <c r="M11" i="15"/>
  <c r="F11" i="67"/>
  <c r="C32" i="15"/>
  <c r="Q60" i="15"/>
  <c r="Q73" i="15"/>
  <c r="M29" i="79"/>
  <c r="M22" i="79"/>
  <c r="M6" i="79"/>
  <c r="F37" i="79"/>
  <c r="F7" i="79"/>
  <c r="M23" i="79"/>
  <c r="L47" i="79"/>
  <c r="M26" i="79"/>
  <c r="F6" i="79"/>
  <c r="F43" i="79"/>
  <c r="M24" i="79"/>
  <c r="F26" i="79"/>
  <c r="C76" i="79"/>
  <c r="M28" i="79"/>
  <c r="F8" i="79"/>
  <c r="M27" i="79"/>
  <c r="F38" i="79"/>
  <c r="F9" i="79"/>
  <c r="C14" i="67"/>
  <c r="F36" i="79"/>
  <c r="L48" i="79"/>
  <c r="C17" i="67"/>
  <c r="C16" i="15"/>
  <c r="M9" i="79"/>
  <c r="F13" i="79"/>
  <c r="M8" i="79"/>
  <c r="F16" i="79"/>
  <c r="F42" i="79"/>
  <c r="F40" i="79"/>
  <c r="J15" i="79"/>
  <c r="C16" i="67"/>
  <c r="W7" i="36" l="1"/>
  <c r="W7" i="37"/>
  <c r="AA10" i="39"/>
  <c r="AC10" i="40"/>
  <c r="Q73" i="67"/>
  <c r="Q74" i="67"/>
  <c r="J10" i="15"/>
  <c r="J5" i="15" s="1"/>
  <c r="J26" i="15" s="1"/>
  <c r="J5" i="67"/>
  <c r="J24" i="67" s="1"/>
  <c r="F64" i="79"/>
  <c r="C27" i="79"/>
  <c r="N59" i="79"/>
  <c r="L58" i="79"/>
  <c r="L57" i="79"/>
  <c r="L56" i="79"/>
  <c r="L60" i="79"/>
  <c r="J57" i="79"/>
  <c r="J55" i="79" s="1"/>
  <c r="J58" i="79" s="1"/>
  <c r="Q50" i="79" s="1"/>
  <c r="I54" i="79"/>
  <c r="J59" i="79"/>
  <c r="J60" i="79"/>
  <c r="Q48" i="79" s="1"/>
  <c r="C15" i="67"/>
  <c r="C18" i="67"/>
  <c r="F68" i="79"/>
  <c r="M7" i="79"/>
  <c r="J6" i="79" s="1"/>
  <c r="J18" i="79" s="1"/>
  <c r="F50" i="79"/>
  <c r="F66" i="79"/>
  <c r="F65" i="79"/>
  <c r="F71" i="79"/>
  <c r="F51" i="79"/>
  <c r="C6" i="79"/>
  <c r="C32" i="79" s="1"/>
  <c r="Q71" i="79"/>
  <c r="U7" i="37"/>
  <c r="T41" i="71"/>
  <c r="D41" i="71"/>
  <c r="E63" i="39"/>
  <c r="E59" i="40"/>
  <c r="P62" i="71"/>
  <c r="P63" i="71"/>
  <c r="C24" i="79"/>
  <c r="C53" i="79"/>
  <c r="C10" i="79"/>
  <c r="F45" i="68"/>
  <c r="C47" i="68"/>
  <c r="D45" i="68" s="1"/>
  <c r="E65" i="39"/>
  <c r="E155" i="3"/>
  <c r="AT6" i="3"/>
  <c r="E484" i="3"/>
  <c r="F45" i="69"/>
  <c r="C29" i="69"/>
  <c r="D27" i="69" s="1"/>
  <c r="C47" i="69"/>
  <c r="D45" i="69" s="1"/>
  <c r="AC10" i="39"/>
  <c r="O14" i="1"/>
  <c r="O16" i="1" s="1"/>
  <c r="M16" i="1"/>
  <c r="C35" i="69"/>
  <c r="C38" i="69"/>
  <c r="C115" i="43"/>
  <c r="D113" i="43" s="1"/>
  <c r="C23" i="43"/>
  <c r="C21" i="43" s="1"/>
  <c r="C29" i="43" s="1"/>
  <c r="C30" i="43" s="1"/>
  <c r="E30" i="43" s="1"/>
  <c r="S2" i="43"/>
  <c r="T2" i="43" s="1"/>
  <c r="V2" i="43" s="1"/>
  <c r="S4" i="43"/>
  <c r="T4" i="43" s="1"/>
  <c r="V4" i="43" s="1"/>
  <c r="S3" i="43"/>
  <c r="T3" i="43" s="1"/>
  <c r="V3" i="43" s="1"/>
  <c r="S6" i="43"/>
  <c r="T6" i="43" s="1"/>
  <c r="V6" i="43" s="1"/>
  <c r="S7" i="43"/>
  <c r="T7" i="43" s="1"/>
  <c r="V7" i="43" s="1"/>
  <c r="S5" i="43"/>
  <c r="T5" i="43" s="1"/>
  <c r="V5" i="43" s="1"/>
  <c r="AB10" i="39"/>
  <c r="AB10" i="40"/>
  <c r="D29" i="71"/>
  <c r="T29" i="71"/>
  <c r="E164" i="3"/>
  <c r="C33" i="71"/>
  <c r="D32" i="71"/>
  <c r="E488" i="3"/>
  <c r="E60" i="3"/>
  <c r="E170" i="3"/>
  <c r="AY6" i="3"/>
  <c r="E3" i="6"/>
  <c r="T61" i="71"/>
  <c r="D61"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37" i="3"/>
  <c r="E194" i="3"/>
  <c r="E234" i="3"/>
  <c r="E219" i="3"/>
  <c r="E299" i="3"/>
  <c r="E339" i="3"/>
  <c r="E325" i="3"/>
  <c r="E392" i="3"/>
  <c r="AQ6" i="3"/>
  <c r="E52" i="3"/>
  <c r="E36" i="3"/>
  <c r="E112" i="3"/>
  <c r="E123" i="3"/>
  <c r="E147" i="3"/>
  <c r="E289" i="3"/>
  <c r="E340" i="3"/>
  <c r="E364" i="3"/>
  <c r="E50" i="3"/>
  <c r="E20" i="3"/>
  <c r="E62" i="3"/>
  <c r="E218" i="3"/>
  <c r="E265" i="3"/>
  <c r="E365" i="3"/>
  <c r="E524" i="3"/>
  <c r="E101" i="3"/>
  <c r="E69" i="3"/>
  <c r="E175" i="3"/>
  <c r="E304" i="3"/>
  <c r="E563" i="3"/>
  <c r="E343" i="3"/>
  <c r="E213" i="3"/>
  <c r="E445" i="3"/>
  <c r="E508" i="3"/>
  <c r="E302" i="3"/>
  <c r="E53" i="3"/>
  <c r="E261" i="3"/>
  <c r="E415" i="3"/>
  <c r="E501" i="3"/>
  <c r="E183" i="3"/>
  <c r="E260" i="3"/>
  <c r="E426" i="3"/>
  <c r="E503" i="3"/>
  <c r="E388" i="3"/>
  <c r="E516" i="3"/>
  <c r="E567" i="3"/>
  <c r="E410" i="3"/>
  <c r="E396" i="3"/>
  <c r="E227" i="3"/>
  <c r="E143" i="3"/>
  <c r="E151" i="3"/>
  <c r="E314" i="3"/>
  <c r="E514" i="3"/>
  <c r="E518" i="3"/>
  <c r="E16" i="3"/>
  <c r="M6" i="3"/>
  <c r="E578" i="3"/>
  <c r="E434" i="3"/>
  <c r="E387" i="3"/>
  <c r="E382" i="3"/>
  <c r="E296" i="3"/>
  <c r="E215" i="3"/>
  <c r="E245" i="3"/>
  <c r="E136" i="3"/>
  <c r="E134" i="3"/>
  <c r="E188" i="3"/>
  <c r="E269" i="3"/>
  <c r="E180" i="3"/>
  <c r="E85" i="3"/>
  <c r="E212" i="3"/>
  <c r="E224" i="3"/>
  <c r="E116" i="3"/>
  <c r="E141" i="3"/>
  <c r="E286" i="3"/>
  <c r="E379" i="3"/>
  <c r="E525" i="3"/>
  <c r="E499" i="3"/>
  <c r="U6" i="3"/>
  <c r="T6" i="3"/>
  <c r="E502" i="3"/>
  <c r="E411" i="3"/>
  <c r="E456" i="3"/>
  <c r="E466" i="3"/>
  <c r="E548" i="3"/>
  <c r="E512" i="3"/>
  <c r="E430" i="3"/>
  <c r="E432" i="3"/>
  <c r="E451" i="3"/>
  <c r="E255" i="3"/>
  <c r="E367" i="3"/>
  <c r="E556" i="3"/>
  <c r="AP6" i="3"/>
  <c r="E547" i="3"/>
  <c r="E13" i="3"/>
  <c r="E517" i="3"/>
  <c r="E403" i="3"/>
  <c r="E452" i="3"/>
  <c r="E491" i="3"/>
  <c r="E546" i="3"/>
  <c r="E420" i="3"/>
  <c r="E479" i="3"/>
  <c r="E71" i="3"/>
  <c r="E104" i="3"/>
  <c r="E37" i="3"/>
  <c r="E92" i="3"/>
  <c r="E115" i="3"/>
  <c r="E152" i="3"/>
  <c r="E126" i="3"/>
  <c r="E139" i="3"/>
  <c r="E192" i="3"/>
  <c r="E272" i="3"/>
  <c r="E281" i="3"/>
  <c r="E241" i="3"/>
  <c r="E291" i="3"/>
  <c r="E332" i="3"/>
  <c r="E363" i="3"/>
  <c r="E317" i="3"/>
  <c r="E356" i="3"/>
  <c r="E389" i="3"/>
  <c r="AM6" i="3"/>
  <c r="E42" i="3"/>
  <c r="E76" i="3"/>
  <c r="E29" i="3"/>
  <c r="E462" i="3"/>
  <c r="E425" i="3"/>
  <c r="E18" i="3"/>
  <c r="E98" i="3"/>
  <c r="E103" i="3"/>
  <c r="E190" i="3"/>
  <c r="E163" i="3"/>
  <c r="E267" i="3"/>
  <c r="E235" i="3"/>
  <c r="E307" i="3"/>
  <c r="E310" i="3"/>
  <c r="E522" i="3"/>
  <c r="E66" i="3"/>
  <c r="E67" i="3"/>
  <c r="E49" i="3"/>
  <c r="E127" i="3"/>
  <c r="E233" i="3"/>
  <c r="E370" i="3"/>
  <c r="Y6" i="3"/>
  <c r="E63" i="3"/>
  <c r="E113" i="3"/>
  <c r="E179" i="3"/>
  <c r="E283" i="3"/>
  <c r="E326" i="3"/>
  <c r="E82" i="3"/>
  <c r="E237" i="3"/>
  <c r="E278" i="3"/>
  <c r="E530" i="3"/>
  <c r="E565" i="3"/>
  <c r="E172" i="3"/>
  <c r="E305" i="3"/>
  <c r="E17" i="3"/>
  <c r="E535" i="3"/>
  <c r="E509" i="3"/>
  <c r="E545" i="3"/>
  <c r="E574" i="3"/>
  <c r="E431" i="3"/>
  <c r="E352" i="3"/>
  <c r="E285" i="3"/>
  <c r="E201" i="3"/>
  <c r="E128" i="3"/>
  <c r="E397" i="3"/>
  <c r="E358" i="3"/>
  <c r="E495" i="3"/>
  <c r="I6" i="3"/>
  <c r="E551" i="3"/>
  <c r="E586" i="3"/>
  <c r="E549" i="3"/>
  <c r="E407" i="3"/>
  <c r="E350" i="3"/>
  <c r="E368" i="3"/>
  <c r="E294" i="3"/>
  <c r="E301" i="3"/>
  <c r="E196" i="3"/>
  <c r="E130" i="3"/>
  <c r="E99" i="3"/>
  <c r="E148" i="3"/>
  <c r="E221" i="3"/>
  <c r="E157" i="3"/>
  <c r="E140" i="3"/>
  <c r="E77"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70" i="3"/>
  <c r="E108" i="3"/>
  <c r="E131" i="3"/>
  <c r="E182" i="3"/>
  <c r="E119" i="3"/>
  <c r="E211" i="3"/>
  <c r="E242" i="3"/>
  <c r="E297" i="3"/>
  <c r="E273" i="3"/>
  <c r="E276" i="3"/>
  <c r="E348" i="3"/>
  <c r="E377" i="3"/>
  <c r="E333" i="3"/>
  <c r="E375" i="3"/>
  <c r="E572" i="3"/>
  <c r="L6" i="3"/>
  <c r="E58" i="3"/>
  <c r="E109" i="3"/>
  <c r="E114" i="3"/>
  <c r="E319" i="3"/>
  <c r="E528" i="3"/>
  <c r="E395" i="3"/>
  <c r="E153" i="3"/>
  <c r="E361" i="3"/>
  <c r="E550" i="3"/>
  <c r="E328" i="3"/>
  <c r="O6" i="3"/>
  <c r="E510" i="3"/>
  <c r="E247" i="3"/>
  <c r="E97" i="3"/>
  <c r="E353" i="3"/>
  <c r="E559" i="3"/>
  <c r="E536" i="3"/>
  <c r="E402" i="3"/>
  <c r="E320" i="3"/>
  <c r="E244" i="3"/>
  <c r="E159" i="3"/>
  <c r="E254" i="3"/>
  <c r="E122" i="3"/>
  <c r="E120" i="3"/>
  <c r="E253" i="3"/>
  <c r="E173" i="3"/>
  <c r="E312" i="3"/>
  <c r="E493" i="3"/>
  <c r="AG6" i="3"/>
  <c r="E421" i="3"/>
  <c r="E486" i="3"/>
  <c r="P6" i="3"/>
  <c r="E416" i="3"/>
  <c r="E490" i="3"/>
  <c r="E558" i="3"/>
  <c r="E500" i="3"/>
  <c r="E498" i="3"/>
  <c r="E444" i="3"/>
  <c r="E520" i="3"/>
  <c r="E463" i="3"/>
  <c r="E88" i="3"/>
  <c r="E57" i="3"/>
  <c r="E178" i="3"/>
  <c r="E166" i="3"/>
  <c r="E240" i="3"/>
  <c r="E226" i="3"/>
  <c r="E316" i="3"/>
  <c r="E378" i="3"/>
  <c r="E372" i="3"/>
  <c r="E30" i="3"/>
  <c r="E110" i="3"/>
  <c r="E540" i="3"/>
  <c r="E482" i="3"/>
  <c r="E467" i="3"/>
  <c r="E46" i="3"/>
  <c r="E138" i="3"/>
  <c r="E174" i="3"/>
  <c r="E275" i="3"/>
  <c r="E300" i="3"/>
  <c r="E386" i="3"/>
  <c r="E584" i="3"/>
  <c r="E86" i="3"/>
  <c r="E33" i="3"/>
  <c r="E184" i="3"/>
  <c r="E284" i="3"/>
  <c r="AF6" i="3"/>
  <c r="E80" i="3"/>
  <c r="E118" i="3"/>
  <c r="E222" i="3"/>
  <c r="E373" i="3"/>
  <c r="E83" i="3"/>
  <c r="E239" i="3"/>
  <c r="E555" i="3"/>
  <c r="E461" i="3"/>
  <c r="E229" i="3"/>
  <c r="E385" i="3"/>
  <c r="E570" i="3"/>
  <c r="AK6" i="3"/>
  <c r="E423" i="3"/>
  <c r="E335" i="3"/>
  <c r="E262" i="3"/>
  <c r="E191" i="3"/>
  <c r="E91" i="3"/>
  <c r="E89" i="3"/>
  <c r="E45" i="3"/>
  <c r="E167" i="3"/>
  <c r="E105" i="3"/>
  <c r="E575" i="3"/>
  <c r="E534" i="3"/>
  <c r="E515" i="3"/>
  <c r="E442" i="3"/>
  <c r="E469" i="3"/>
  <c r="E414" i="3"/>
  <c r="E449" i="3"/>
  <c r="E360" i="3"/>
  <c r="E505" i="3"/>
  <c r="E554" i="3"/>
  <c r="E494" i="3"/>
  <c r="E476" i="3"/>
  <c r="E417" i="3"/>
  <c r="E26" i="3"/>
  <c r="E27" i="3"/>
  <c r="E95" i="3"/>
  <c r="E198" i="3"/>
  <c r="E186" i="3"/>
  <c r="E258" i="3"/>
  <c r="E243" i="3"/>
  <c r="E331" i="3"/>
  <c r="E349" i="3"/>
  <c r="AL6" i="3"/>
  <c r="E44" i="3"/>
  <c r="E43" i="3"/>
  <c r="E441" i="3"/>
  <c r="E521" i="3"/>
  <c r="E47" i="3"/>
  <c r="E78" i="3"/>
  <c r="E160" i="3"/>
  <c r="E200" i="3"/>
  <c r="E209" i="3"/>
  <c r="E324" i="3"/>
  <c r="E342" i="3"/>
  <c r="E23" i="3"/>
  <c r="E24" i="3"/>
  <c r="E87" i="3"/>
  <c r="E232" i="3"/>
  <c r="E355" i="3"/>
  <c r="E68" i="3"/>
  <c r="E19" i="3"/>
  <c r="E158" i="3"/>
  <c r="E308" i="3"/>
  <c r="E513" i="3"/>
  <c r="E329" i="3"/>
  <c r="E579" i="3"/>
  <c r="E359" i="3"/>
  <c r="E205" i="3"/>
  <c r="E568" i="3"/>
  <c r="AN6" i="3"/>
  <c r="V6" i="3"/>
  <c r="E453" i="3"/>
  <c r="E303" i="3"/>
  <c r="E230" i="3"/>
  <c r="E156"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59" i="3"/>
  <c r="E428" i="3"/>
  <c r="E412" i="3"/>
  <c r="E64" i="3"/>
  <c r="E65" i="3"/>
  <c r="E195" i="3"/>
  <c r="E220" i="3"/>
  <c r="E249" i="3"/>
  <c r="E371" i="3"/>
  <c r="E354" i="3"/>
  <c r="E35" i="3"/>
  <c r="E34" i="3"/>
  <c r="E144" i="3"/>
  <c r="E250" i="3"/>
  <c r="E341" i="3"/>
  <c r="E102" i="3"/>
  <c r="E81" i="3"/>
  <c r="E264" i="3"/>
  <c r="E323" i="3"/>
  <c r="E22" i="3"/>
  <c r="E539" i="3"/>
  <c r="E569" i="3"/>
  <c r="E337" i="3"/>
  <c r="E165" i="3"/>
  <c r="E311" i="3"/>
  <c r="E511" i="3"/>
  <c r="AI6" i="3"/>
  <c r="AB6" i="3"/>
  <c r="E306" i="3"/>
  <c r="E263" i="3"/>
  <c r="E189" i="3"/>
  <c r="E236" i="3"/>
  <c r="E181" i="3"/>
  <c r="E149" i="3"/>
  <c r="E238" i="3"/>
  <c r="E193" i="3"/>
  <c r="E369" i="3"/>
  <c r="E585" i="3"/>
  <c r="R6" i="3"/>
  <c r="E405" i="3"/>
  <c r="E478" i="3"/>
  <c r="E541" i="3"/>
  <c r="E408" i="3"/>
  <c r="E477" i="3"/>
  <c r="I3" i="6"/>
  <c r="E497" i="3"/>
  <c r="AS6" i="3"/>
  <c r="E435" i="3"/>
  <c r="E470" i="3"/>
  <c r="E447" i="3"/>
  <c r="E56" i="3"/>
  <c r="E41" i="3"/>
  <c r="E162" i="3"/>
  <c r="E132" i="3"/>
  <c r="E225" i="3"/>
  <c r="E210" i="3"/>
  <c r="E292" i="3"/>
  <c r="E391" i="3"/>
  <c r="E384" i="3"/>
  <c r="E544" i="3"/>
  <c r="E94" i="3"/>
  <c r="E446" i="3"/>
  <c r="E96" i="3"/>
  <c r="E129" i="3"/>
  <c r="E142" i="3"/>
  <c r="E248" i="3"/>
  <c r="E266" i="3"/>
  <c r="E383" i="3"/>
  <c r="E492" i="3"/>
  <c r="E84" i="3"/>
  <c r="E48" i="3"/>
  <c r="E206" i="3"/>
  <c r="E251" i="3"/>
  <c r="E381" i="3"/>
  <c r="E51" i="3"/>
  <c r="E154" i="3"/>
  <c r="E287" i="3"/>
  <c r="E309" i="3"/>
  <c r="E21" i="3"/>
  <c r="C15" i="71"/>
  <c r="D16" i="71"/>
  <c r="E176" i="3"/>
  <c r="E16" i="71"/>
  <c r="E15" i="71" s="1"/>
  <c r="E14" i="71" s="1"/>
  <c r="E13" i="71" s="1"/>
  <c r="V17" i="71"/>
  <c r="K24" i="6"/>
  <c r="M24" i="6" s="1"/>
  <c r="I24" i="6" s="1"/>
  <c r="S24" i="6" s="1"/>
  <c r="K23" i="6"/>
  <c r="M23" i="6" s="1"/>
  <c r="I23" i="6" s="1"/>
  <c r="S23" i="6" s="1"/>
  <c r="K20" i="6"/>
  <c r="K22" i="6"/>
  <c r="M22" i="6" s="1"/>
  <c r="I22" i="6" s="1"/>
  <c r="S22" i="6" s="1"/>
  <c r="K25" i="6"/>
  <c r="M25" i="6" s="1"/>
  <c r="I25" i="6" s="1"/>
  <c r="S25" i="6" s="1"/>
  <c r="K19" i="6"/>
  <c r="S6" i="1" s="1"/>
  <c r="E31" i="6"/>
  <c r="K21" i="6"/>
  <c r="M21" i="6" s="1"/>
  <c r="I21" i="6" s="1"/>
  <c r="S21" i="6" s="1"/>
  <c r="K26" i="6"/>
  <c r="M26" i="6" s="1"/>
  <c r="I26" i="6" s="1"/>
  <c r="S26" i="6" s="1"/>
  <c r="E480" i="3"/>
  <c r="B12" i="71"/>
  <c r="B11" i="71" s="1"/>
  <c r="B10" i="71" s="1"/>
  <c r="B9" i="71" s="1"/>
  <c r="S13" i="71"/>
  <c r="T53" i="71"/>
  <c r="D53"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C53" i="67"/>
  <c r="C48" i="67" s="1"/>
  <c r="C10" i="67"/>
  <c r="C5" i="67" s="1"/>
  <c r="C53" i="15"/>
  <c r="C48" i="15" s="1"/>
  <c r="C10" i="15"/>
  <c r="C5" i="15" s="1"/>
  <c r="F25" i="12"/>
  <c r="F22" i="69"/>
  <c r="F41" i="69" s="1"/>
  <c r="F24" i="67"/>
  <c r="C24" i="67" s="1"/>
  <c r="F22" i="11"/>
  <c r="F22" i="68"/>
  <c r="F24" i="15"/>
  <c r="C24" i="15" s="1"/>
  <c r="C17" i="15"/>
  <c r="C16" i="79"/>
  <c r="J24" i="15" l="1"/>
  <c r="C19" i="67"/>
  <c r="C20" i="67" s="1"/>
  <c r="C26" i="67" s="1"/>
  <c r="J10" i="79"/>
  <c r="J5" i="79" s="1"/>
  <c r="J26" i="79" s="1"/>
  <c r="L46" i="79"/>
  <c r="Q60" i="79"/>
  <c r="Q73" i="79"/>
  <c r="C49" i="79"/>
  <c r="C48" i="79" s="1"/>
  <c r="Q66" i="79"/>
  <c r="Q57" i="79"/>
  <c r="E6" i="70"/>
  <c r="C5" i="79"/>
  <c r="C38" i="79" s="1"/>
  <c r="C33" i="79"/>
  <c r="M20" i="6"/>
  <c r="I20" i="6" s="1"/>
  <c r="S20" i="6" s="1"/>
  <c r="S7" i="1"/>
  <c r="AQ6" i="1"/>
  <c r="AR6" i="1"/>
  <c r="T6" i="1"/>
  <c r="H6" i="3"/>
  <c r="AC6" i="3"/>
  <c r="E6" i="3" s="1"/>
  <c r="N16" i="1"/>
  <c r="B21" i="1" s="1"/>
  <c r="C44" i="11" s="1"/>
  <c r="D41" i="11" s="1"/>
  <c r="L16" i="1"/>
  <c r="P14" i="1"/>
  <c r="P16" i="1" s="1"/>
  <c r="C11" i="12" s="1"/>
  <c r="E12" i="71"/>
  <c r="E11" i="71" s="1"/>
  <c r="E10" i="71" s="1"/>
  <c r="E9" i="71" s="1"/>
  <c r="V13" i="71"/>
  <c r="T33" i="71"/>
  <c r="D33" i="71"/>
  <c r="B8" i="71"/>
  <c r="B7" i="71" s="1"/>
  <c r="B6" i="71" s="1"/>
  <c r="B5" i="71" s="1"/>
  <c r="S9" i="71"/>
  <c r="D3" i="21"/>
  <c r="D37" i="11"/>
  <c r="M18" i="9"/>
  <c r="B118" i="9" s="1"/>
  <c r="B14" i="74" s="1"/>
  <c r="B1" i="74" s="1"/>
  <c r="D3" i="34"/>
  <c r="C17" i="4"/>
  <c r="B4" i="52" s="1"/>
  <c r="B43" i="72" s="1"/>
  <c r="D14" i="12"/>
  <c r="E6" i="6"/>
  <c r="L18" i="9"/>
  <c r="D19" i="11"/>
  <c r="C19" i="11" s="1"/>
  <c r="D3" i="37"/>
  <c r="D3" i="33"/>
  <c r="M19" i="6"/>
  <c r="K27" i="6"/>
  <c r="C14" i="71"/>
  <c r="D15"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98" i="3"/>
  <c r="AY50" i="3"/>
  <c r="AY207" i="3"/>
  <c r="AY171" i="3"/>
  <c r="AY289" i="3"/>
  <c r="AY42" i="3"/>
  <c r="AY163" i="3"/>
  <c r="AY261" i="3"/>
  <c r="AY168" i="3"/>
  <c r="AY237" i="3"/>
  <c r="AY209" i="3"/>
  <c r="AY366" i="3"/>
  <c r="AY334" i="3"/>
  <c r="AY455" i="3"/>
  <c r="AY441" i="3"/>
  <c r="AY526" i="3"/>
  <c r="AY116" i="3"/>
  <c r="AY260" i="3"/>
  <c r="AY390" i="3"/>
  <c r="AY343" i="3"/>
  <c r="AY310" i="3"/>
  <c r="AY447" i="3"/>
  <c r="AY417" i="3"/>
  <c r="AY549" i="3"/>
  <c r="AY574" i="3"/>
  <c r="AY539" i="3"/>
  <c r="AY97" i="3"/>
  <c r="AY85" i="3"/>
  <c r="AY84" i="3"/>
  <c r="AY44" i="3"/>
  <c r="AY87" i="3"/>
  <c r="AY34" i="3"/>
  <c r="AY160" i="3"/>
  <c r="AY132" i="3"/>
  <c r="AY31" i="3"/>
  <c r="AY281" i="3"/>
  <c r="AY204" i="3"/>
  <c r="AY252" i="3"/>
  <c r="AY387" i="3"/>
  <c r="AY303" i="3"/>
  <c r="AY460" i="3"/>
  <c r="AY497" i="3"/>
  <c r="AY199" i="3"/>
  <c r="AY244" i="3"/>
  <c r="AY372" i="3"/>
  <c r="AY326" i="3"/>
  <c r="AY436" i="3"/>
  <c r="AY535" i="3"/>
  <c r="AY544" i="3"/>
  <c r="BE6" i="3"/>
  <c r="AY100" i="3"/>
  <c r="AY53"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7" i="3"/>
  <c r="AY18" i="3"/>
  <c r="AY144" i="3"/>
  <c r="AY95" i="3"/>
  <c r="AY183" i="3"/>
  <c r="AY292" i="3"/>
  <c r="AY147" i="3"/>
  <c r="AY236" i="3"/>
  <c r="AY363" i="3"/>
  <c r="AY489" i="3"/>
  <c r="AY444" i="3"/>
  <c r="AY529" i="3"/>
  <c r="AY300" i="3"/>
  <c r="AY212" i="3"/>
  <c r="AY355" i="3"/>
  <c r="AY481" i="3"/>
  <c r="AY420" i="3"/>
  <c r="AY557" i="3"/>
  <c r="AY540" i="3"/>
  <c r="AY555" i="3"/>
  <c r="AY92" i="3"/>
  <c r="AY76" i="3"/>
  <c r="AY20" i="3"/>
  <c r="AY190" i="3"/>
  <c r="AY178" i="3"/>
  <c r="AY173" i="3"/>
  <c r="AY133" i="3"/>
  <c r="AY117" i="3"/>
  <c r="AY286" i="3"/>
  <c r="AY247" i="3"/>
  <c r="AY254" i="3"/>
  <c r="AY227" i="3"/>
  <c r="AY397" i="3"/>
  <c r="AY365" i="3"/>
  <c r="AY507" i="3"/>
  <c r="AY109"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196" i="3"/>
  <c r="AY139" i="3"/>
  <c r="AY90" i="3"/>
  <c r="AY152" i="3"/>
  <c r="AY111" i="3"/>
  <c r="AY284" i="3"/>
  <c r="AY220" i="3"/>
  <c r="AY350" i="3"/>
  <c r="AY473" i="3"/>
  <c r="AY412" i="3"/>
  <c r="AY43" i="3"/>
  <c r="AY269" i="3"/>
  <c r="AY217" i="3"/>
  <c r="AY327" i="3"/>
  <c r="AY478" i="3"/>
  <c r="AY404" i="3"/>
  <c r="AY562" i="3"/>
  <c r="AY533" i="3"/>
  <c r="AY105" i="3"/>
  <c r="AY69" i="3"/>
  <c r="AY68"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82" i="3"/>
  <c r="AY191" i="3"/>
  <c r="AY124" i="3"/>
  <c r="AY74" i="3"/>
  <c r="AY123" i="3"/>
  <c r="AY75" i="3"/>
  <c r="AY253" i="3"/>
  <c r="AY382" i="3"/>
  <c r="AY319" i="3"/>
  <c r="AY486" i="3"/>
  <c r="AY425" i="3"/>
  <c r="AY26" i="3"/>
  <c r="AY229" i="3"/>
  <c r="AY379" i="3"/>
  <c r="AY311" i="3"/>
  <c r="AY463" i="3"/>
  <c r="AY401" i="3"/>
  <c r="AY573" i="3"/>
  <c r="BO6" i="3"/>
  <c r="AY89" i="3"/>
  <c r="AY61" i="3"/>
  <c r="AY52" i="3"/>
  <c r="AY25" i="3"/>
  <c r="AY193" i="3"/>
  <c r="AY154" i="3"/>
  <c r="AY157" i="3"/>
  <c r="AY134" i="3"/>
  <c r="AY283" i="3"/>
  <c r="AY271" i="3"/>
  <c r="AY270" i="3"/>
  <c r="AY230" i="3"/>
  <c r="AY211" i="3"/>
  <c r="AY373" i="3"/>
  <c r="AY360" i="3"/>
  <c r="BI6" i="3"/>
  <c r="AY88"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164" i="3"/>
  <c r="AY240" i="3"/>
  <c r="AY477" i="3"/>
  <c r="AY566" i="3"/>
  <c r="AY143" i="3"/>
  <c r="AY386" i="3"/>
  <c r="AY443" i="3"/>
  <c r="BT6" i="3"/>
  <c r="AY293" i="3"/>
  <c r="AY351" i="3"/>
  <c r="AY400" i="3"/>
  <c r="AY200" i="3"/>
  <c r="AY257" i="3"/>
  <c r="AY307" i="3"/>
  <c r="AY521"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38" i="67"/>
  <c r="C38" i="15"/>
  <c r="C66" i="67"/>
  <c r="C60" i="67"/>
  <c r="C14" i="15"/>
  <c r="C17" i="79"/>
  <c r="E6" i="76"/>
  <c r="B6" i="76"/>
  <c r="C23" i="67" l="1"/>
  <c r="C29" i="67" s="1"/>
  <c r="C13" i="67" s="1"/>
  <c r="C24" i="11"/>
  <c r="J24" i="79"/>
  <c r="C66" i="79"/>
  <c r="C60" i="79"/>
  <c r="E2" i="70"/>
  <c r="S16" i="1"/>
  <c r="E7" i="70"/>
  <c r="C18" i="15"/>
  <c r="C15" i="15"/>
  <c r="B23" i="1"/>
  <c r="B24" i="1"/>
  <c r="F50" i="11" s="1"/>
  <c r="C29" i="11"/>
  <c r="D27" i="11" s="1"/>
  <c r="C29" i="68"/>
  <c r="D27" i="68" s="1"/>
  <c r="T7" i="1"/>
  <c r="AR7" i="1"/>
  <c r="AQ7" i="1"/>
  <c r="C15" i="12"/>
  <c r="C12" i="12"/>
  <c r="F50" i="68"/>
  <c r="D14" i="71"/>
  <c r="C13" i="71"/>
  <c r="D10" i="11"/>
  <c r="C10" i="11" s="1"/>
  <c r="D20" i="12"/>
  <c r="C20" i="12" s="1"/>
  <c r="D10" i="69"/>
  <c r="D10" i="68"/>
  <c r="C7" i="74"/>
  <c r="C20" i="11"/>
  <c r="D17" i="12"/>
  <c r="C17" i="12" s="1"/>
  <c r="D15" i="6"/>
  <c r="D21" i="6"/>
  <c r="D20" i="6"/>
  <c r="D6" i="6"/>
  <c r="D10" i="6"/>
  <c r="D29" i="6"/>
  <c r="H22" i="6"/>
  <c r="H24" i="6"/>
  <c r="H20" i="6"/>
  <c r="D19" i="6"/>
  <c r="C18" i="4"/>
  <c r="D23" i="6"/>
  <c r="D12" i="6"/>
  <c r="D13" i="6"/>
  <c r="E61" i="40"/>
  <c r="H23" i="6"/>
  <c r="D25" i="6"/>
  <c r="D22" i="6"/>
  <c r="D24" i="6"/>
  <c r="D9" i="6"/>
  <c r="L19" i="9"/>
  <c r="H25" i="6"/>
  <c r="H21" i="6"/>
  <c r="M19" i="9"/>
  <c r="C118" i="9" s="1"/>
  <c r="C14" i="74" s="1"/>
  <c r="B2" i="74" s="1"/>
  <c r="D26" i="6"/>
  <c r="D5" i="6"/>
  <c r="H26" i="6"/>
  <c r="D8" i="6"/>
  <c r="D11" i="6"/>
  <c r="D14" i="6"/>
  <c r="D28" i="6"/>
  <c r="I19" i="6"/>
  <c r="M27" i="6"/>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79"/>
  <c r="C36" i="67" l="1"/>
  <c r="J14" i="67"/>
  <c r="J13" i="67" s="1"/>
  <c r="J23" i="67" s="1"/>
  <c r="C57" i="67"/>
  <c r="C61" i="67" s="1"/>
  <c r="J19" i="67"/>
  <c r="J17" i="67" s="1"/>
  <c r="Q49" i="67"/>
  <c r="C33" i="67"/>
  <c r="C31" i="67" s="1"/>
  <c r="J59" i="67"/>
  <c r="F50" i="69"/>
  <c r="C19" i="15"/>
  <c r="C20" i="15" s="1"/>
  <c r="C26" i="15" s="1"/>
  <c r="C15" i="79"/>
  <c r="C18" i="79"/>
  <c r="T16" i="1"/>
  <c r="C25" i="11"/>
  <c r="J53" i="79"/>
  <c r="M59" i="79"/>
  <c r="L59" i="79" s="1"/>
  <c r="F11" i="12"/>
  <c r="C14" i="12" s="1"/>
  <c r="C16" i="12" s="1"/>
  <c r="F34" i="68"/>
  <c r="F34" i="11"/>
  <c r="J53" i="67"/>
  <c r="M59" i="67"/>
  <c r="J53" i="15"/>
  <c r="M59" i="15"/>
  <c r="L59" i="15" s="1"/>
  <c r="C29" i="12"/>
  <c r="D28" i="12" s="1"/>
  <c r="C26" i="12"/>
  <c r="D25" i="12" s="1"/>
  <c r="C26" i="11"/>
  <c r="D22" i="11" s="1"/>
  <c r="C23" i="11"/>
  <c r="C26" i="68"/>
  <c r="D22" i="68" s="1"/>
  <c r="D16" i="6"/>
  <c r="D30" i="6"/>
  <c r="R22" i="6"/>
  <c r="S19" i="6"/>
  <c r="S27" i="6" s="1"/>
  <c r="I27" i="6"/>
  <c r="R26" i="6"/>
  <c r="D27" i="6"/>
  <c r="D31" i="6" s="1"/>
  <c r="R21" i="6"/>
  <c r="C28" i="11"/>
  <c r="C27" i="11" s="1"/>
  <c r="C10" i="68"/>
  <c r="B29" i="1" s="1"/>
  <c r="C8" i="68" s="1"/>
  <c r="C5" i="68" s="1"/>
  <c r="C23" i="68" s="1"/>
  <c r="D19" i="68"/>
  <c r="C12" i="71"/>
  <c r="T13" i="71"/>
  <c r="D13" i="71"/>
  <c r="U13" i="71" s="1"/>
  <c r="H19" i="6"/>
  <c r="H27" i="6" s="1"/>
  <c r="D7" i="74"/>
  <c r="R25" i="6"/>
  <c r="C10" i="69"/>
  <c r="C8" i="69" s="1"/>
  <c r="C5" i="69" s="1"/>
  <c r="D19" i="69"/>
  <c r="R23" i="6"/>
  <c r="R24" i="6"/>
  <c r="C4" i="52"/>
  <c r="B45" i="72" s="1"/>
  <c r="A7" i="51"/>
  <c r="B7" i="72" s="1"/>
  <c r="A10" i="51"/>
  <c r="B9" i="72" s="1"/>
  <c r="R20" i="6"/>
  <c r="R7" i="1" s="1"/>
  <c r="I69" i="39"/>
  <c r="J67" i="39"/>
  <c r="B3" i="76"/>
  <c r="I63" i="40"/>
  <c r="H65" i="40"/>
  <c r="I58" i="21"/>
  <c r="J58" i="21" s="1"/>
  <c r="K58" i="21" s="1"/>
  <c r="L58" i="21" s="1"/>
  <c r="M58" i="21" s="1"/>
  <c r="N58" i="21" s="1"/>
  <c r="O58" i="21" s="1"/>
  <c r="H7" i="21" s="1"/>
  <c r="J7" i="21"/>
  <c r="F7" i="21"/>
  <c r="J48" i="35"/>
  <c r="Q48" i="15"/>
  <c r="C59" i="67"/>
  <c r="C64" i="67"/>
  <c r="C56" i="67"/>
  <c r="C65" i="67" s="1"/>
  <c r="C75" i="67"/>
  <c r="Q70" i="67"/>
  <c r="C37" i="67"/>
  <c r="C30" i="67" l="1"/>
  <c r="C39" i="67" s="1"/>
  <c r="Q69" i="67" s="1"/>
  <c r="Q68" i="67" s="1"/>
  <c r="J22" i="67"/>
  <c r="J16" i="67" s="1"/>
  <c r="J25" i="67" s="1"/>
  <c r="C19" i="79"/>
  <c r="C20" i="79" s="1"/>
  <c r="C26" i="79" s="1"/>
  <c r="C23" i="15"/>
  <c r="C29" i="15" s="1"/>
  <c r="C13" i="15" s="1"/>
  <c r="L56" i="15"/>
  <c r="Q52" i="15"/>
  <c r="F1" i="15"/>
  <c r="C36" i="68"/>
  <c r="C34" i="68"/>
  <c r="C22" i="11"/>
  <c r="C31" i="11" s="1"/>
  <c r="Q52" i="67"/>
  <c r="F1" i="67"/>
  <c r="Q74" i="79"/>
  <c r="Q61" i="79"/>
  <c r="J60" i="67"/>
  <c r="Q74" i="15"/>
  <c r="Q61" i="15"/>
  <c r="C36" i="11"/>
  <c r="C34" i="11"/>
  <c r="C37" i="11"/>
  <c r="Q52" i="79"/>
  <c r="F1" i="79"/>
  <c r="C18" i="12"/>
  <c r="C21" i="12" s="1"/>
  <c r="C22" i="12" s="1"/>
  <c r="C23" i="69"/>
  <c r="I6" i="6"/>
  <c r="I5" i="6"/>
  <c r="D12" i="71"/>
  <c r="C11" i="71"/>
  <c r="C19" i="69"/>
  <c r="C24" i="69" s="1"/>
  <c r="D37" i="69"/>
  <c r="C37" i="69" s="1"/>
  <c r="C33" i="69" s="1"/>
  <c r="C19" i="68"/>
  <c r="D37" i="68"/>
  <c r="C37" i="68" s="1"/>
  <c r="R19" i="6"/>
  <c r="J69" i="39"/>
  <c r="K67" i="39"/>
  <c r="U7" i="21"/>
  <c r="AB7" i="21"/>
  <c r="T48" i="21" s="1"/>
  <c r="G48" i="21" s="1"/>
  <c r="S7" i="21"/>
  <c r="AA7" i="21"/>
  <c r="R48" i="21" s="1"/>
  <c r="J63" i="40"/>
  <c r="I65" i="40"/>
  <c r="K48" i="35"/>
  <c r="L48" i="35" s="1"/>
  <c r="M48" i="35" s="1"/>
  <c r="N48" i="35" s="1"/>
  <c r="O48" i="35" s="1"/>
  <c r="H7" i="35" s="1"/>
  <c r="AC7" i="21"/>
  <c r="V48" i="21" s="1"/>
  <c r="I48" i="21" s="1"/>
  <c r="W7" i="21"/>
  <c r="C80" i="67"/>
  <c r="C79" i="67" s="1"/>
  <c r="C58" i="67"/>
  <c r="C67" i="67" s="1"/>
  <c r="C68" i="67" s="1"/>
  <c r="AE6" i="1"/>
  <c r="L51" i="67"/>
  <c r="AE7" i="1"/>
  <c r="C40" i="67" l="1"/>
  <c r="Q65" i="67" s="1"/>
  <c r="J14" i="15"/>
  <c r="J13" i="15" s="1"/>
  <c r="J23" i="15" s="1"/>
  <c r="J7" i="35"/>
  <c r="W7" i="35" s="1"/>
  <c r="Q49" i="15"/>
  <c r="C36" i="15"/>
  <c r="C57" i="15"/>
  <c r="C61" i="15" s="1"/>
  <c r="J19" i="15"/>
  <c r="C38" i="11"/>
  <c r="C35" i="11"/>
  <c r="L46" i="67"/>
  <c r="Q48" i="67"/>
  <c r="C23" i="79"/>
  <c r="C29" i="79" s="1"/>
  <c r="C75" i="15"/>
  <c r="C56" i="15"/>
  <c r="C65" i="15" s="1"/>
  <c r="Q70" i="15"/>
  <c r="C37" i="15"/>
  <c r="C38" i="68"/>
  <c r="C35" i="68"/>
  <c r="R27" i="6"/>
  <c r="R6" i="1"/>
  <c r="C20" i="68"/>
  <c r="C25" i="68" s="1"/>
  <c r="C24" i="68"/>
  <c r="D11" i="71"/>
  <c r="C10" i="71"/>
  <c r="C39" i="69"/>
  <c r="C43" i="69" s="1"/>
  <c r="C42" i="69"/>
  <c r="C20" i="69"/>
  <c r="L67" i="39"/>
  <c r="K69" i="39"/>
  <c r="J65" i="40"/>
  <c r="K63" i="40"/>
  <c r="I52" i="21"/>
  <c r="J52" i="21" s="1"/>
  <c r="U7" i="35"/>
  <c r="AB7" i="35"/>
  <c r="T38" i="35" s="1"/>
  <c r="G38" i="35" s="1"/>
  <c r="R49" i="21"/>
  <c r="E48" i="21"/>
  <c r="G52" i="21"/>
  <c r="H52" i="21" s="1"/>
  <c r="G53" i="21"/>
  <c r="H53" i="21" s="1"/>
  <c r="F7" i="35"/>
  <c r="Q67" i="67"/>
  <c r="L57" i="67"/>
  <c r="L60" i="67" s="1"/>
  <c r="C71" i="67"/>
  <c r="M21" i="15"/>
  <c r="F41" i="79"/>
  <c r="F35" i="15"/>
  <c r="M21" i="79"/>
  <c r="F41" i="15"/>
  <c r="F35" i="79"/>
  <c r="Q47" i="67" l="1"/>
  <c r="Q53" i="67" s="1"/>
  <c r="C43" i="67"/>
  <c r="C83" i="67"/>
  <c r="C82" i="67" s="1"/>
  <c r="Q56" i="67"/>
  <c r="C45" i="67"/>
  <c r="C46" i="67" s="1"/>
  <c r="D2" i="67"/>
  <c r="B2" i="67" s="1"/>
  <c r="J22" i="15"/>
  <c r="C64" i="15"/>
  <c r="J29" i="79"/>
  <c r="F69" i="79"/>
  <c r="J29" i="15"/>
  <c r="F69" i="15"/>
  <c r="AC7" i="35"/>
  <c r="V38" i="35" s="1"/>
  <c r="I38" i="35" s="1"/>
  <c r="C33" i="68"/>
  <c r="C42" i="68" s="1"/>
  <c r="C33" i="11"/>
  <c r="C42" i="11" s="1"/>
  <c r="J19" i="79"/>
  <c r="C57" i="79"/>
  <c r="Q49" i="79"/>
  <c r="C13" i="79"/>
  <c r="C36" i="79"/>
  <c r="J14" i="79"/>
  <c r="J20" i="79"/>
  <c r="C34" i="79"/>
  <c r="C31" i="79" s="1"/>
  <c r="F63" i="79"/>
  <c r="C62" i="79" s="1"/>
  <c r="J20" i="15"/>
  <c r="J17" i="15" s="1"/>
  <c r="F63" i="15"/>
  <c r="C62" i="15" s="1"/>
  <c r="C59" i="15" s="1"/>
  <c r="C34" i="15"/>
  <c r="C31" i="15" s="1"/>
  <c r="C30" i="15" s="1"/>
  <c r="C39" i="15" s="1"/>
  <c r="R16" i="1"/>
  <c r="C28" i="69"/>
  <c r="C27" i="69" s="1"/>
  <c r="C25" i="69"/>
  <c r="C22" i="69" s="1"/>
  <c r="C28" i="68"/>
  <c r="C27" i="68" s="1"/>
  <c r="D10" i="71"/>
  <c r="C9" i="71"/>
  <c r="C41" i="69"/>
  <c r="C46" i="69"/>
  <c r="C45" i="69" s="1"/>
  <c r="C2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L51" i="15"/>
  <c r="C39" i="11" l="1"/>
  <c r="C43" i="11" s="1"/>
  <c r="C41" i="11" s="1"/>
  <c r="J16" i="15"/>
  <c r="J25" i="15" s="1"/>
  <c r="Q62" i="67"/>
  <c r="B3" i="67"/>
  <c r="C58" i="15"/>
  <c r="C67" i="15" s="1"/>
  <c r="C68" i="15" s="1"/>
  <c r="C71" i="15" s="1"/>
  <c r="J17" i="79"/>
  <c r="C39" i="68"/>
  <c r="C43" i="68" s="1"/>
  <c r="C41" i="68" s="1"/>
  <c r="J13" i="79"/>
  <c r="J23" i="79" s="1"/>
  <c r="J22" i="79"/>
  <c r="C64" i="79"/>
  <c r="C61" i="79"/>
  <c r="C59" i="79" s="1"/>
  <c r="C37" i="79"/>
  <c r="C30" i="79" s="1"/>
  <c r="C39" i="79" s="1"/>
  <c r="C75" i="79"/>
  <c r="Q70" i="79"/>
  <c r="C56" i="79"/>
  <c r="C65" i="79" s="1"/>
  <c r="L57" i="15"/>
  <c r="L60" i="15" s="1"/>
  <c r="Q67" i="15"/>
  <c r="C40" i="15"/>
  <c r="C80" i="15"/>
  <c r="C79" i="15" s="1"/>
  <c r="Q69" i="15"/>
  <c r="Q68" i="15" s="1"/>
  <c r="C31" i="69"/>
  <c r="C49" i="69"/>
  <c r="C51" i="69" s="1"/>
  <c r="C31" i="68"/>
  <c r="C8" i="71"/>
  <c r="T9" i="71"/>
  <c r="D9" i="71"/>
  <c r="U9" i="71" s="1"/>
  <c r="M69" i="39"/>
  <c r="N67" i="39"/>
  <c r="R39" i="35"/>
  <c r="E38" i="35"/>
  <c r="M63" i="40"/>
  <c r="L65" i="40"/>
  <c r="L51" i="79"/>
  <c r="C46" i="11" l="1"/>
  <c r="C45" i="11" s="1"/>
  <c r="C46" i="15"/>
  <c r="C46" i="68"/>
  <c r="C45" i="68" s="1"/>
  <c r="C49" i="68" s="1"/>
  <c r="C51" i="68" s="1"/>
  <c r="C52" i="68" s="1"/>
  <c r="B2" i="68" s="1"/>
  <c r="J16" i="79"/>
  <c r="J25" i="79" s="1"/>
  <c r="C49" i="11"/>
  <c r="C51" i="11" s="1"/>
  <c r="C58" i="79"/>
  <c r="C67" i="79" s="1"/>
  <c r="C68" i="79" s="1"/>
  <c r="C71" i="79" s="1"/>
  <c r="Q69" i="79"/>
  <c r="Q68" i="79" s="1"/>
  <c r="C40" i="79"/>
  <c r="Q56" i="79" s="1"/>
  <c r="Q62" i="79" s="1"/>
  <c r="C80" i="79"/>
  <c r="C79" i="79" s="1"/>
  <c r="Q67" i="79"/>
  <c r="L46" i="15"/>
  <c r="B2" i="15" s="1"/>
  <c r="C8" i="12" s="1"/>
  <c r="Q66" i="15"/>
  <c r="Q57" i="15"/>
  <c r="C43" i="15"/>
  <c r="Q47" i="15"/>
  <c r="Q53" i="15" s="1"/>
  <c r="Q65" i="15"/>
  <c r="Q56" i="15"/>
  <c r="C83" i="15"/>
  <c r="C82" i="15" s="1"/>
  <c r="C52" i="69"/>
  <c r="B2" i="69" s="1"/>
  <c r="B3" i="69" s="1"/>
  <c r="D8" i="71"/>
  <c r="C7" i="71"/>
  <c r="O67" i="39"/>
  <c r="O69" i="39" s="1"/>
  <c r="N69" i="39"/>
  <c r="F7" i="39"/>
  <c r="C39" i="35"/>
  <c r="B2" i="35" s="1"/>
  <c r="B3" i="35" s="1"/>
  <c r="C38" i="35"/>
  <c r="N63" i="40"/>
  <c r="M65" i="40"/>
  <c r="E43" i="35"/>
  <c r="F43" i="35" s="1"/>
  <c r="E42" i="35"/>
  <c r="F42" i="35" s="1"/>
  <c r="I43" i="35"/>
  <c r="J43" i="35" s="1"/>
  <c r="AO6" i="1"/>
  <c r="C19" i="9"/>
  <c r="B2" i="79" l="1"/>
  <c r="B3" i="79" s="1"/>
  <c r="C52" i="11"/>
  <c r="B2" i="11" s="1"/>
  <c r="B3" i="11" s="1"/>
  <c r="C83" i="79"/>
  <c r="C82" i="79" s="1"/>
  <c r="Q65" i="79"/>
  <c r="Q75" i="79" s="1"/>
  <c r="C46" i="79"/>
  <c r="Q47" i="79"/>
  <c r="Q53" i="79" s="1"/>
  <c r="C43" i="79"/>
  <c r="C102" i="9"/>
  <c r="C21" i="9"/>
  <c r="B3" i="68"/>
  <c r="B6" i="70"/>
  <c r="B3" i="15"/>
  <c r="C6" i="12" s="1"/>
  <c r="Q62" i="15"/>
  <c r="Q75" i="15"/>
  <c r="C57" i="69"/>
  <c r="C56" i="69" s="1"/>
  <c r="C57" i="68"/>
  <c r="C56" i="68" s="1"/>
  <c r="D7" i="71"/>
  <c r="C6" i="71"/>
  <c r="H7" i="39"/>
  <c r="J7" i="39"/>
  <c r="S7" i="39"/>
  <c r="AA7" i="39"/>
  <c r="R47" i="39" s="1"/>
  <c r="O63" i="40"/>
  <c r="O65" i="40" s="1"/>
  <c r="N65" i="40"/>
  <c r="D35" i="9"/>
  <c r="D34" i="9"/>
  <c r="C20" i="9"/>
  <c r="AO7" i="1"/>
  <c r="C56" i="11" l="1"/>
  <c r="C57" i="11" s="1"/>
  <c r="B7" i="70"/>
  <c r="B2" i="70" s="1"/>
  <c r="B3" i="70" s="1"/>
  <c r="D8" i="12"/>
  <c r="C4" i="12" s="1"/>
  <c r="C103" i="9"/>
  <c r="D6" i="12"/>
  <c r="C5" i="71"/>
  <c r="D6" i="71"/>
  <c r="W7" i="39"/>
  <c r="AC7" i="39"/>
  <c r="V47" i="39" s="1"/>
  <c r="I47" i="39" s="1"/>
  <c r="E47" i="39"/>
  <c r="R48" i="39"/>
  <c r="U7" i="39"/>
  <c r="AB7" i="39"/>
  <c r="T47" i="39" s="1"/>
  <c r="G47" i="39" s="1"/>
  <c r="J7" i="40"/>
  <c r="F7" i="40"/>
  <c r="H7" i="40"/>
  <c r="C23" i="12" l="1"/>
  <c r="C31" i="12"/>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27" i="12"/>
  <c r="C25"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19" i="9"/>
  <c r="D20" i="9"/>
  <c r="D102" i="9" l="1"/>
  <c r="D21" i="9"/>
  <c r="G19" i="9"/>
  <c r="G21" i="9" s="1"/>
  <c r="D22"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F119" i="9"/>
  <c r="F5" i="52" s="1"/>
  <c r="B53" i="72" s="1"/>
  <c r="H118" i="9"/>
  <c r="D14" i="74" s="1"/>
  <c r="H101" i="9" l="1"/>
  <c r="M48" i="9" s="1"/>
  <c r="I118" i="9"/>
  <c r="C105" i="9" s="1"/>
  <c r="G118" i="9"/>
  <c r="G4" i="52" s="1"/>
  <c r="B52" i="72" s="1"/>
  <c r="H119" i="9"/>
  <c r="H5" i="52" s="1"/>
  <c r="B5" i="74"/>
  <c r="F14" i="74"/>
  <c r="E14" i="74"/>
  <c r="D4" i="52"/>
  <c r="B47" i="72" s="1"/>
  <c r="C104" i="9"/>
  <c r="I4" i="52"/>
  <c r="H4" i="52"/>
  <c r="D45" i="9" l="1"/>
  <c r="C78" i="9" s="1"/>
  <c r="C73" i="9" s="1"/>
  <c r="E118" i="9"/>
  <c r="E4" i="52" s="1"/>
  <c r="B48" i="72" s="1"/>
  <c r="H107" i="9"/>
  <c r="D13" i="53" s="1"/>
  <c r="H102" i="9"/>
  <c r="D7" i="53" s="1"/>
  <c r="B21" i="72" s="1"/>
  <c r="D5" i="53"/>
  <c r="D6" i="53" s="1"/>
  <c r="B22" i="72" s="1"/>
  <c r="D122" i="9"/>
  <c r="M49" i="9"/>
  <c r="B20" i="72"/>
  <c r="D5" i="74"/>
  <c r="C5" i="74"/>
  <c r="D53" i="9"/>
  <c r="D55" i="9"/>
  <c r="M53" i="9" s="1"/>
  <c r="C85" i="9"/>
  <c r="D52" i="9"/>
  <c r="C93" i="9"/>
  <c r="C86" i="9" s="1"/>
  <c r="C72" i="9"/>
  <c r="C64" i="9"/>
  <c r="C63" i="9" s="1"/>
  <c r="C67" i="9" s="1"/>
  <c r="H108" i="9" l="1"/>
  <c r="D15" i="53" s="1"/>
  <c r="B31" i="72" s="1"/>
  <c r="C95" i="9"/>
  <c r="C96" i="9" s="1"/>
  <c r="B30" i="72"/>
  <c r="D14" i="53"/>
  <c r="B32" i="72" s="1"/>
  <c r="D59" i="9"/>
  <c r="M55" i="9" s="1"/>
  <c r="C68" i="9"/>
  <c r="D54" i="9" s="1"/>
  <c r="L67" i="9"/>
  <c r="M67" i="9" s="1"/>
  <c r="L63" i="9"/>
  <c r="M63" i="9" s="1"/>
  <c r="L65" i="9"/>
  <c r="M65" i="9" s="1"/>
  <c r="L68" i="9"/>
  <c r="M68" i="9" s="1"/>
  <c r="L66" i="9"/>
  <c r="M66" i="9" s="1"/>
  <c r="L64" i="9"/>
  <c r="M64" i="9" s="1"/>
  <c r="C79" i="9"/>
  <c r="D123" i="9"/>
  <c r="D9" i="52" s="1"/>
  <c r="D8" i="52"/>
  <c r="G14" i="74"/>
  <c r="B6" i="74" s="1"/>
  <c r="E96" i="9" l="1"/>
  <c r="E97" i="9" s="1"/>
  <c r="C97" i="9"/>
  <c r="D58" i="9" s="1"/>
  <c r="D56" i="9" s="1"/>
  <c r="M54" i="9" s="1"/>
  <c r="N57" i="9" s="1"/>
  <c r="P57" i="9" s="1"/>
  <c r="C6" i="74"/>
  <c r="D6" i="74"/>
  <c r="C80" i="9"/>
  <c r="E80" i="9" s="1"/>
  <c r="E81" i="9" s="1"/>
  <c r="C81" i="9"/>
  <c r="M69" i="9"/>
  <c r="N69" i="9" s="1"/>
  <c r="N58" i="9" l="1"/>
  <c r="N59" i="9"/>
  <c r="N61" i="9"/>
  <c r="H112" i="9" s="1"/>
  <c r="D21" i="53" s="1"/>
  <c r="B39" i="72" s="1"/>
  <c r="N60" i="9"/>
  <c r="H111" i="9"/>
  <c r="D19" i="53" l="1"/>
  <c r="D126" i="9"/>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<sst xmlns="http://schemas.openxmlformats.org/spreadsheetml/2006/main" count="7869" uniqueCount="3231">
  <si>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</si>
  <si>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</si>
  <si>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</si>
  <si>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</si>
  <si>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</si>
  <si>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</si>
  <si>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</si>
  <si>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</si>
  <si>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</si>
  <si>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</si>
  <si>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</si>
  <si>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</si>
  <si>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</si>
  <si>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</si>
  <si>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</si>
  <si>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</si>
  <si>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</si>
  <si>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</si>
  <si>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</si>
  <si>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</si>
  <si>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</si>
  <si>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</si>
  <si>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</si>
  <si>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</si>
  <si>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</si>
  <si>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</si>
  <si>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</si>
  <si>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</si>
  <si>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</si>
  <si>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</si>
  <si>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</si>
  <si>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</si>
  <si>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</si>
  <si>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</si>
  <si>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</si>
  <si>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</si>
  <si>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</si>
  <si>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</si>
  <si>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</si>
  <si>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</si>
  <si>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</si>
  <si>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</si>
  <si>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</si>
  <si>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</si>
  <si>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</si>
  <si>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</si>
  <si>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</si>
  <si>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</si>
  <si>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</si>
  <si>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</si>
  <si>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</si>
  <si>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</si>
  <si>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</si>
  <si>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</si>
  <si>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</si>
  <si>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</si>
  <si>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</si>
  <si>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</si>
  <si>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</si>
  <si>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</si>
  <si>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</si>
  <si>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</si>
  <si>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</si>
  <si>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</si>
  <si>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</si>
  <si>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</si>
  <si>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</si>
  <si>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</si>
  <si>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</si>
  <si>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</si>
  <si>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</si>
  <si>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</si>
  <si>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</si>
  <si>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</si>
  <si>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</si>
  <si>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</si>
  <si>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</si>
  <si>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</si>
  <si>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</si>
  <si>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</si>
  <si>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</si>
  <si>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</si>
  <si>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</si>
  <si>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</si>
  <si>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</si>
  <si>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</si>
  <si>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</si>
  <si>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</si>
  <si>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</si>
  <si>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</si>
  <si>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</si>
  <si>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</si>
  <si>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</si>
  <si>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</si>
  <si>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</si>
  <si>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</si>
  <si>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</si>
  <si>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</si>
  <si>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</si>
  <si>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</si>
  <si>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</si>
  <si>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</si>
  <si>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</si>
  <si>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</si>
  <si>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</si>
  <si>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</si>
  <si>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</si>
  <si>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</si>
  <si>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</si>
  <si>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</si>
  <si>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</si>
  <si>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</si>
  <si>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</si>
  <si>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</si>
  <si>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</si>
  <si>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</si>
  <si>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</si>
  <si>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</si>
  <si>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</si>
  <si>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</si>
  <si>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</si>
  <si>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</si>
  <si>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</si>
  <si>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</si>
  <si>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</si>
  <si>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</si>
  <si>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</si>
  <si>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</si>
  <si>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</si>
  <si>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</si>
  <si>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</si>
  <si>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</si>
  <si>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</si>
  <si>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</si>
  <si>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</si>
  <si>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</si>
  <si>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</si>
  <si>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</si>
  <si>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</si>
  <si>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</si>
  <si>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</si>
  <si>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</si>
  <si>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</si>
  <si>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</si>
  <si>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</si>
  <si>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</si>
  <si>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</si>
  <si>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</si>
  <si>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</si>
  <si>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</si>
  <si>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</si>
  <si>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</si>
  <si>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</si>
  <si>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</si>
  <si>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</si>
  <si>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</si>
  <si>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</si>
  <si>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</si>
  <si>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</si>
  <si>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</si>
  <si>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</si>
  <si>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</si>
  <si>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</si>
  <si>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</si>
  <si>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</si>
  <si>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</si>
  <si>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</si>
  <si>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</si>
  <si>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</si>
  <si>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</si>
  <si>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</si>
  <si>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</si>
  <si>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</si>
  <si>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</si>
  <si>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</si>
  <si>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</si>
  <si>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</si>
  <si>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</si>
  <si>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</si>
  <si>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</si>
  <si>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</si>
  <si>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</si>
  <si>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</si>
  <si>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</si>
  <si>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</si>
  <si>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</si>
  <si>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</si>
  <si>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</si>
  <si>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</si>
  <si>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</si>
  <si>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</si>
  <si>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</si>
  <si>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</si>
  <si>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</si>
  <si>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</si>
  <si>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</si>
  <si>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</si>
  <si>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</si>
  <si>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</si>
  <si>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</si>
  <si>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</si>
  <si>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</si>
  <si>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</si>
  <si>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</si>
  <si>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</si>
  <si>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</si>
  <si>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</si>
  <si>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</si>
  <si>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</si>
  <si>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</si>
  <si>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</si>
  <si>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</si>
  <si>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</si>
  <si>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</si>
  <si>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</si>
  <si>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</si>
  <si>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</si>
  <si>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</si>
  <si>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</si>
  <si>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</si>
  <si>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</si>
  <si>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</si>
  <si>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</si>
  <si>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</si>
  <si>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</si>
  <si>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</si>
  <si>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</si>
  <si>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</si>
  <si>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</si>
  <si>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</si>
  <si>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</si>
  <si>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</si>
  <si>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</si>
  <si>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</si>
  <si>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</si>
  <si>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</si>
  <si>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</si>
  <si>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</si>
  <si>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</si>
  <si>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</si>
  <si>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</si>
  <si>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</si>
  <si>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</si>
  <si>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</si>
  <si>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</si>
  <si>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</si>
  <si>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</si>
  <si>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</si>
  <si>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</si>
  <si>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</si>
  <si>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</si>
  <si>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</si>
  <si>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</si>
  <si>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</si>
  <si>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</si>
  <si>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</si>
  <si>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</si>
  <si>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</si>
  <si>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</si>
  <si>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</si>
  <si>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</si>
  <si>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</si>
  <si>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</si>
  <si>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</si>
  <si>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</si>
  <si>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</si>
  <si>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</si>
  <si>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</si>
  <si>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</si>
  <si>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</si>
  <si>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</si>
  <si>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</si>
  <si>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</si>
  <si>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</si>
  <si>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</si>
  <si>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</si>
  <si>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</si>
  <si>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</si>
  <si>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</si>
  <si>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</si>
  <si>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</si>
  <si>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</si>
  <si>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</si>
  <si>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</si>
  <si>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</si>
  <si>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</si>
  <si>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</si>
  <si>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</si>
  <si>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</si>
  <si>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</si>
  <si>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</si>
  <si>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</si>
  <si>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</si>
  <si>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</si>
  <si>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</si>
  <si>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</si>
  <si>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</si>
  <si>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</si>
  <si>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</si>
  <si>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</si>
  <si>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</si>
  <si>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</si>
  <si>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</si>
  <si>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</si>
  <si>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</si>
  <si>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</si>
  <si>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</si>
  <si>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</si>
  <si>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</si>
  <si>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</si>
  <si>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</si>
  <si>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</si>
  <si>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</si>
  <si>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</si>
  <si>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</si>
  <si>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</si>
  <si>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</si>
  <si>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</si>
  <si>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</si>
  <si>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</si>
  <si>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</si>
  <si>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</si>
  <si>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</si>
  <si>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</si>
  <si>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</si>
  <si>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</si>
  <si>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</si>
  <si>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</si>
  <si>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</si>
  <si>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</si>
  <si>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</si>
  <si>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</si>
  <si>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</si>
  <si>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</si>
  <si>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</si>
  <si>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</si>
  <si>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</si>
  <si>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</si>
  <si>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</si>
  <si>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</si>
  <si>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</si>
  <si>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</si>
  <si>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</si>
  <si>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</si>
  <si>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</si>
  <si>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</si>
  <si>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</si>
  <si>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</si>
  <si>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</si>
  <si>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</si>
  <si>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</si>
  <si>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</si>
  <si>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</si>
  <si>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</si>
  <si>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</si>
  <si>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</si>
  <si>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</si>
  <si>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</si>
  <si>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</si>
  <si>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</si>
  <si>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</si>
  <si>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</si>
  <si>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</si>
  <si>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</si>
  <si>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</si>
  <si>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</si>
  <si>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</si>
  <si>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</si>
  <si>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</si>
  <si>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</si>
  <si>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</si>
  <si>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</si>
  <si>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</si>
  <si>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</si>
  <si>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</si>
  <si>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</si>
  <si>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</si>
  <si>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</si>
  <si>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</si>
  <si>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</si>
  <si>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</si>
  <si>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</si>
  <si>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</si>
  <si>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</si>
  <si>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</si>
  <si>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</si>
  <si>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</si>
  <si>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</si>
  <si>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</si>
  <si>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</si>
  <si>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</si>
  <si>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</si>
  <si>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</si>
  <si>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</si>
  <si>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</si>
  <si>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</si>
  <si>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</si>
  <si>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</si>
  <si>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</si>
  <si>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</si>
  <si>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</si>
  <si>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</si>
  <si>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</si>
  <si>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</si>
  <si>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</si>
  <si>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</si>
  <si>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</si>
  <si>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</si>
  <si>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</si>
  <si>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</si>
  <si>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</si>
  <si>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</si>
  <si>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</si>
  <si>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</si>
  <si>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</si>
  <si>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</si>
  <si>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</si>
  <si>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</si>
  <si>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</si>
  <si>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</si>
  <si>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</si>
  <si>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</si>
  <si>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</si>
  <si>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</si>
  <si>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</si>
  <si>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</si>
  <si>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</si>
  <si>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</si>
  <si>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</si>
  <si>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</si>
  <si>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</si>
  <si>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</si>
  <si>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</si>
  <si>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</si>
  <si>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</si>
  <si>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</si>
  <si>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</si>
  <si>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</si>
  <si>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</si>
  <si>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</si>
  <si>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</si>
  <si>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</si>
  <si>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</si>
  <si>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</si>
  <si>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</si>
  <si>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</si>
  <si>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</si>
  <si>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</si>
  <si>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</si>
  <si>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</si>
  <si>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</si>
  <si>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</si>
  <si>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</si>
  <si>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</si>
  <si>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</si>
  <si>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</si>
  <si>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</si>
  <si>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</si>
  <si>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</si>
  <si>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</si>
  <si>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</si>
  <si>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</si>
  <si>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</si>
  <si>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</si>
  <si>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</si>
  <si>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</si>
  <si>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</si>
  <si>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</si>
  <si>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</si>
  <si>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</si>
  <si>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</si>
  <si>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</si>
  <si>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</si>
  <si>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</si>
  <si>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</si>
  <si>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</si>
  <si>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</si>
  <si>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</si>
  <si>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</si>
  <si>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</si>
  <si>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</si>
  <si>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</si>
  <si>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</si>
  <si>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</si>
  <si>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</si>
  <si>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</si>
  <si>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</si>
  <si>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</si>
  <si>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</si>
  <si>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</si>
  <si>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</si>
  <si>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</si>
  <si>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</si>
  <si>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</si>
  <si>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</si>
  <si>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</si>
  <si>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</si>
  <si>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</si>
  <si>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</si>
  <si>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</si>
  <si>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</si>
  <si>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</si>
  <si>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</si>
  <si>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</si>
  <si>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</si>
  <si>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</si>
  <si>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</si>
  <si>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</si>
  <si>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</si>
  <si>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</si>
  <si>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</si>
  <si>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</si>
  <si>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</si>
  <si>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</si>
  <si>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</si>
  <si>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</si>
  <si>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</si>
  <si>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</si>
  <si>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</si>
  <si>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</si>
  <si>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</si>
  <si>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</si>
  <si>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</si>
  <si>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</si>
  <si>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</si>
  <si>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</si>
  <si>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</si>
  <si>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</si>
  <si>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</si>
  <si>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</si>
  <si>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</si>
  <si>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</si>
  <si>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</si>
  <si>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</si>
  <si>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</si>
  <si>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</si>
  <si>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</si>
  <si>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</si>
  <si>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</si>
  <si>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</si>
  <si>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</si>
  <si>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</si>
  <si>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</si>
  <si>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</si>
  <si>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</si>
  <si>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</si>
  <si>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</si>
  <si>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</si>
  <si>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</si>
  <si>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</si>
  <si>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</si>
  <si>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</si>
  <si>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</si>
  <si>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</si>
  <si>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</si>
  <si>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</si>
  <si>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</si>
  <si>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</si>
  <si>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</si>
  <si>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</si>
  <si>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</si>
  <si>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</si>
  <si>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</si>
  <si>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</si>
  <si>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</si>
  <si>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</si>
  <si>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</si>
  <si>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</si>
  <si>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</si>
  <si>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</si>
  <si>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</si>
  <si>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</si>
  <si>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</si>
  <si>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</si>
  <si>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</si>
  <si>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</si>
  <si>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</si>
  <si>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</si>
  <si>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</si>
  <si>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</si>
  <si>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</si>
  <si>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</si>
  <si>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</si>
  <si>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</si>
  <si>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</si>
  <si>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</si>
  <si>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</si>
  <si>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</si>
  <si>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</si>
  <si>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</si>
  <si>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</si>
  <si>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</si>
  <si>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</si>
  <si>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</si>
  <si>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</si>
  <si>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</si>
  <si>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</si>
  <si>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</si>
  <si>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</si>
  <si>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</si>
  <si>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</si>
  <si>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</si>
  <si>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</si>
  <si>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</si>
  <si>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</si>
  <si>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</si>
  <si>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</si>
  <si>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</si>
  <si>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</si>
  <si>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</si>
  <si>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</si>
  <si>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</si>
  <si>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</si>
  <si>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</si>
  <si>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</si>
  <si>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</si>
  <si>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</si>
  <si>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</si>
  <si>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</si>
  <si>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</si>
  <si>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</si>
  <si>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</si>
  <si>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</si>
  <si>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</si>
  <si>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</si>
  <si>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</si>
  <si>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</si>
  <si>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</si>
  <si>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</si>
  <si>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</si>
  <si>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</si>
  <si>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</si>
  <si>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</si>
  <si>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</si>
  <si>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</si>
  <si>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</si>
  <si>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</si>
  <si>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</si>
  <si>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</si>
  <si>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</si>
  <si>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</si>
  <si>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</si>
  <si>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</si>
  <si>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</si>
  <si>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</si>
  <si>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</si>
  <si>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</si>
  <si>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</si>
  <si>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</si>
  <si>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</si>
  <si>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</si>
  <si>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</si>
  <si>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</si>
  <si>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</si>
  <si>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</si>
  <si>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</si>
  <si>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</si>
  <si>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</si>
  <si>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</si>
  <si>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</si>
  <si>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</si>
  <si>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</si>
  <si>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</si>
  <si>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</si>
  <si>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</si>
  <si>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</si>
  <si>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</si>
  <si>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</si>
  <si>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</si>
  <si>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</si>
  <si>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</si>
  <si>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</si>
  <si>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</si>
  <si>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</si>
  <si>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</si>
  <si>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</si>
  <si>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</si>
  <si>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</si>
  <si>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</si>
  <si>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</si>
  <si>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</si>
  <si>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</si>
  <si>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</si>
  <si>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</si>
  <si>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</si>
  <si>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</si>
  <si>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</si>
  <si>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</si>
  <si>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</si>
  <si>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</si>
  <si>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</si>
  <si>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</si>
  <si>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</si>
  <si>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</si>
  <si>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</si>
  <si>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</si>
  <si>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</si>
  <si>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</si>
  <si>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</si>
  <si>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</si>
  <si>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</si>
  <si>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</si>
  <si>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</si>
  <si>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</si>
  <si>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</si>
  <si>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</si>
  <si>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</si>
  <si>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</si>
  <si>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</si>
  <si>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</si>
  <si>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</si>
  <si>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</si>
  <si>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</si>
  <si>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</si>
  <si>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</si>
  <si>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</si>
  <si>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</si>
  <si>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</si>
  <si>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</si>
  <si>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</si>
  <si>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</si>
  <si>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</si>
  <si>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</si>
  <si>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</si>
  <si>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</si>
  <si>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</si>
  <si>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</si>
  <si>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</si>
  <si>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</si>
  <si>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</si>
  <si>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</si>
  <si>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</si>
  <si>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</si>
  <si>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</si>
  <si>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</si>
  <si>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</si>
  <si>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</si>
  <si>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</si>
  <si>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</si>
  <si>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</si>
  <si>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</si>
  <si>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</si>
  <si>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</si>
  <si>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</si>
  <si>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</si>
  <si>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</si>
  <si>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</si>
  <si>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</si>
  <si>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</si>
  <si>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</si>
  <si>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</si>
  <si>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</si>
  <si>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</si>
  <si>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</si>
  <si>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</si>
  <si>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</si>
  <si>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</si>
  <si>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</si>
  <si>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</si>
  <si>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</si>
  <si>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</si>
  <si>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</si>
  <si>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</si>
  <si>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</si>
  <si>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</si>
  <si>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</si>
  <si>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</si>
  <si>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</si>
  <si>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</si>
  <si>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</si>
  <si>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</si>
  <si>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</si>
  <si>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</si>
  <si>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</si>
  <si>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</si>
  <si>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</si>
  <si>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</si>
  <si>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</si>
  <si>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</si>
  <si>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</si>
  <si>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</si>
  <si>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</si>
  <si>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</si>
  <si>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</si>
  <si>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</si>
  <si>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</si>
  <si>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</si>
  <si>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</si>
  <si>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</si>
  <si>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</si>
  <si>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</si>
  <si>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</si>
  <si>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</si>
  <si>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</si>
  <si>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</si>
  <si>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</si>
  <si>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</si>
  <si>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</si>
  <si>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</si>
  <si>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</si>
  <si>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</si>
  <si>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</si>
  <si>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</si>
  <si>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</si>
  <si>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</si>
  <si>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</si>
  <si>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</si>
  <si>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</si>
  <si>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</si>
  <si>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</si>
  <si>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</si>
  <si>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</si>
  <si>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</si>
  <si>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</si>
  <si>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</si>
  <si>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</si>
  <si>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</si>
  <si>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</si>
  <si>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</si>
  <si>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</si>
  <si>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</si>
  <si>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</si>
  <si>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</si>
  <si>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</si>
  <si>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</si>
  <si>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</si>
  <si>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</si>
  <si>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</si>
  <si>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</si>
  <si>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</si>
  <si>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</si>
  <si>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</si>
  <si>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</si>
  <si>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</si>
  <si>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</si>
  <si>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</si>
  <si>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</si>
  <si>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</si>
  <si>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</si>
  <si>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</si>
  <si>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</si>
  <si>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</si>
  <si>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</si>
  <si>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</si>
  <si>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</si>
  <si>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</si>
  <si>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</si>
  <si>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</si>
  <si>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</si>
  <si>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</si>
  <si>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</si>
  <si>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</si>
  <si>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</si>
  <si>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</si>
  <si>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</si>
  <si>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</si>
  <si>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</si>
  <si>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</si>
  <si>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</si>
  <si>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</si>
  <si>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</si>
  <si>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</si>
  <si>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</si>
  <si>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</si>
  <si>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</si>
  <si>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</si>
  <si>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</si>
  <si>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</si>
  <si>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</si>
  <si>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</si>
  <si>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</si>
  <si>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</si>
  <si>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</si>
  <si>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</si>
  <si>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</si>
  <si>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</si>
  <si>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</si>
  <si>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</si>
  <si>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</si>
  <si>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</si>
  <si>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</si>
  <si>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</si>
  <si>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</si>
  <si>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</si>
  <si>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</si>
  <si>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</si>
  <si>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</si>
  <si>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</si>
  <si>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</si>
  <si>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</si>
  <si>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</si>
  <si>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</si>
  <si>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</si>
  <si>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</si>
  <si>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</si>
  <si>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</si>
  <si>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</si>
  <si>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</si>
  <si>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</si>
  <si>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</si>
  <si>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</si>
  <si>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</si>
  <si>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</si>
  <si>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</si>
  <si>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</si>
  <si>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</si>
  <si>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</si>
  <si>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</si>
  <si>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</si>
  <si>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</si>
  <si>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</si>
  <si>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</si>
  <si>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</si>
  <si>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</si>
  <si>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</si>
  <si>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</si>
  <si>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</si>
  <si>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</si>
  <si>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</si>
  <si>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</si>
  <si>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</si>
  <si>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</si>
  <si>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</si>
  <si>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</si>
  <si>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</si>
  <si>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</si>
  <si>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</si>
  <si>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</si>
  <si>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</si>
  <si>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</si>
  <si>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</si>
  <si>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</si>
  <si>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</si>
  <si>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</si>
  <si>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</si>
  <si>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</si>
  <si>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</si>
  <si>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</si>
  <si>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</si>
  <si>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</si>
  <si>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</si>
  <si>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</si>
  <si>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</si>
  <si>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</si>
  <si>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</si>
  <si>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</si>
  <si>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</si>
  <si>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</si>
  <si>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</si>
  <si>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</si>
  <si>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</si>
  <si>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</si>
  <si>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</si>
  <si>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</si>
  <si>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</si>
  <si>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</si>
  <si>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</si>
  <si>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</si>
  <si>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</si>
  <si>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</si>
  <si>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</si>
  <si>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</si>
  <si>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</si>
  <si>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</si>
  <si>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</si>
  <si>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</si>
  <si>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</si>
  <si>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</si>
  <si>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</si>
  <si>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</si>
  <si>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</si>
  <si>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</si>
  <si>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</si>
  <si>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</si>
  <si>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</si>
  <si>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</si>
  <si>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</si>
  <si>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</si>
  <si>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</si>
  <si>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</si>
  <si>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</si>
  <si>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</si>
  <si>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</si>
  <si>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</si>
  <si>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</si>
  <si>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</si>
  <si>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</si>
  <si>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</si>
  <si>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</si>
  <si>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</si>
  <si>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</si>
  <si>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</si>
  <si>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</si>
  <si>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</si>
  <si>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</si>
  <si>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</si>
  <si>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</si>
  <si>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</si>
  <si>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</si>
  <si>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</si>
  <si>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</si>
  <si>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</si>
  <si>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</si>
  <si>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</si>
  <si>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</si>
  <si>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</si>
  <si>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</si>
  <si>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</si>
  <si>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</si>
  <si>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</si>
  <si>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</si>
  <si>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</si>
  <si>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</si>
  <si>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</si>
  <si>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</si>
  <si>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</si>
  <si>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</si>
  <si>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</si>
  <si>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</si>
  <si>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</si>
  <si>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</si>
  <si>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</si>
  <si>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</si>
  <si>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</si>
  <si>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</si>
  <si>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</si>
  <si>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</si>
  <si>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</si>
  <si>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</si>
  <si>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</si>
  <si>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</si>
  <si>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</si>
  <si>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</si>
  <si>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</si>
  <si>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</si>
  <si>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</si>
  <si>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</si>
  <si>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</si>
  <si>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</si>
  <si>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</si>
  <si>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</si>
  <si>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</si>
  <si>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</si>
  <si>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</si>
  <si>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</si>
  <si>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</si>
  <si>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</si>
  <si>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</si>
  <si>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</si>
  <si>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</si>
  <si>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</si>
  <si>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</si>
  <si>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</si>
  <si>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</si>
  <si>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</si>
  <si>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</si>
  <si>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</si>
  <si>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</si>
  <si>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</si>
  <si>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</si>
  <si>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</si>
  <si>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</si>
  <si>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</si>
  <si>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</si>
  <si>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</si>
  <si>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</si>
  <si>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</si>
  <si>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</si>
  <si>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</si>
  <si>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</si>
  <si>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</si>
  <si>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</si>
  <si>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</si>
  <si>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</si>
  <si>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</si>
  <si>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</si>
  <si>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</si>
  <si>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</si>
  <si>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</si>
  <si>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</si>
  <si>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</si>
  <si>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</si>
  <si>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</si>
  <si>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</si>
  <si>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</si>
  <si>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</si>
  <si>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</si>
  <si>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</si>
  <si>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</si>
  <si>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</si>
  <si>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</si>
  <si>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</si>
  <si>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</si>
  <si>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</si>
  <si>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</si>
  <si>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</si>
  <si>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</si>
  <si>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</si>
  <si>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</si>
  <si>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</si>
  <si>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</si>
  <si>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</si>
  <si>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</si>
  <si>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</si>
  <si>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</si>
  <si>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</si>
  <si>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</si>
  <si>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</si>
  <si>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</si>
  <si>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</si>
  <si>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</si>
  <si>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</si>
  <si>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</si>
  <si>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</si>
  <si>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</si>
  <si>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</si>
  <si>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</si>
  <si>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</si>
  <si>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</si>
  <si>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</si>
  <si>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</si>
  <si>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</si>
  <si>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</si>
  <si>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</si>
  <si>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</si>
  <si>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</si>
  <si>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</si>
  <si>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</si>
  <si>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</si>
  <si>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</si>
  <si>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</si>
  <si>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</si>
  <si>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</si>
  <si>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</si>
  <si>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</si>
  <si>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</si>
  <si>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</si>
  <si>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</si>
  <si>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</si>
  <si>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</si>
  <si>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</si>
  <si>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</si>
  <si>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</si>
  <si>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</si>
  <si>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</si>
  <si>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</si>
  <si>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</si>
  <si>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</si>
  <si>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</si>
  <si>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</si>
  <si>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</si>
  <si>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</si>
  <si>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</si>
  <si>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</si>
  <si>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</si>
  <si>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</si>
  <si>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</si>
  <si>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</si>
  <si>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</si>
  <si>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</si>
  <si>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</si>
  <si>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</si>
  <si>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</si>
  <si>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</si>
  <si>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</si>
  <si>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</si>
  <si>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</si>
  <si>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</si>
  <si>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</si>
  <si>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</si>
  <si>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</si>
  <si>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</si>
  <si>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</si>
  <si>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</si>
  <si>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</si>
  <si>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</si>
  <si>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</si>
  <si>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</si>
  <si>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</si>
  <si>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</si>
  <si>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</si>
  <si>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</si>
  <si>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</si>
  <si>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</si>
  <si>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</si>
  <si>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</si>
  <si>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</si>
  <si>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</si>
  <si>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</si>
  <si>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</si>
  <si>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</si>
  <si>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</si>
  <si>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</si>
  <si>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</si>
  <si>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</si>
  <si>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</si>
  <si>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</si>
  <si>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</si>
  <si>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</si>
  <si>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</si>
  <si>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</si>
  <si>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</si>
  <si>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</si>
  <si>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</si>
  <si>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</si>
  <si>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</si>
  <si>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</si>
  <si>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</si>
  <si>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</si>
  <si>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</si>
  <si>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</si>
  <si>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</si>
  <si>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</si>
  <si>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</si>
  <si>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</si>
  <si>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</si>
  <si>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</si>
  <si>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</si>
  <si>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</si>
  <si>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</si>
  <si>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</si>
  <si>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</si>
  <si>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</si>
  <si>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</si>
  <si>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</si>
  <si>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</si>
  <si>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</si>
  <si>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</si>
  <si>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</si>
  <si>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</si>
  <si>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</si>
  <si>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</si>
  <si>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</si>
  <si>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</si>
  <si>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</si>
  <si>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</si>
  <si>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</si>
  <si>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</si>
  <si>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</si>
  <si>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</si>
  <si>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</si>
  <si>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</si>
  <si>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</si>
  <si>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</si>
  <si>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</si>
  <si>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</si>
  <si>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</si>
  <si>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</si>
  <si>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</si>
  <si>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</si>
  <si>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</si>
  <si>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</si>
  <si>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</si>
  <si>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</si>
  <si>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</si>
  <si>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</si>
  <si>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</si>
  <si>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</si>
  <si>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</si>
  <si>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</si>
  <si>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</si>
  <si>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</si>
  <si>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</si>
  <si>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</si>
  <si>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</si>
  <si>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</si>
  <si>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</si>
  <si>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</si>
  <si>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</si>
  <si>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</si>
  <si>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</si>
  <si>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</si>
  <si>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</si>
  <si>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</si>
  <si>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</si>
  <si>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</si>
  <si>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</si>
  <si>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</si>
  <si>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</si>
  <si>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</si>
  <si>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</si>
  <si>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</si>
  <si>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</si>
  <si>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</si>
  <si>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</si>
  <si>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</si>
  <si>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</si>
  <si>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</si>
  <si>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</si>
  <si>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</si>
  <si>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</si>
  <si>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</si>
  <si>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</si>
  <si>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</si>
  <si>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</si>
  <si>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</si>
  <si>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</si>
  <si>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</si>
  <si>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</si>
  <si>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</si>
  <si>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</si>
  <si>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</si>
  <si>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</si>
  <si>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</si>
  <si>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</si>
  <si>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</si>
  <si>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</si>
  <si>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</si>
  <si>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</si>
  <si>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</si>
  <si>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</si>
  <si>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</si>
  <si>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</si>
  <si>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</si>
  <si>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</si>
  <si>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</si>
  <si>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</si>
  <si>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</si>
  <si>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</si>
  <si>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</si>
  <si>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</si>
  <si>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</si>
  <si>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</si>
  <si>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</si>
  <si>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</si>
  <si>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</si>
  <si>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</si>
  <si>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</si>
  <si>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</si>
  <si>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</si>
  <si>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</si>
  <si>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</si>
  <si>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</si>
  <si>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</si>
  <si>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</si>
  <si>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</si>
  <si>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</si>
  <si>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</si>
  <si>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</si>
  <si>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</si>
  <si>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</si>
  <si>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</si>
  <si>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</si>
  <si>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</si>
  <si>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</si>
  <si>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</si>
  <si>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</si>
  <si>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</si>
  <si>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</si>
  <si>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</si>
  <si>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</si>
  <si>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</si>
  <si>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</si>
  <si>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</si>
  <si>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</si>
  <si>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</si>
  <si>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</si>
  <si>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</si>
  <si>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</si>
  <si>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</si>
  <si>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</si>
  <si>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</si>
  <si>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</si>
  <si>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</si>
  <si>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</si>
  <si>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</si>
  <si>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</si>
  <si>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</si>
  <si>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</si>
  <si>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</si>
  <si>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</si>
  <si>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</si>
  <si>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</si>
  <si>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</si>
  <si>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</si>
  <si>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</si>
  <si>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</si>
  <si>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</si>
  <si>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</si>
  <si>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</si>
  <si>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</si>
  <si>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</si>
  <si>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</si>
  <si>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</si>
  <si>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</si>
  <si>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</si>
  <si>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</si>
  <si>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</si>
  <si>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</si>
  <si>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</si>
  <si>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</si>
  <si>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</si>
  <si>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</si>
  <si>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</si>
  <si>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</si>
  <si>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</si>
  <si>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</si>
  <si>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</si>
  <si>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</si>
  <si>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</si>
  <si>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</si>
  <si>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</si>
  <si>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</si>
  <si>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</si>
  <si>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</si>
  <si>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</si>
  <si>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</si>
  <si>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</si>
  <si>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</si>
  <si>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</si>
  <si>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</si>
  <si>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</si>
  <si>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</si>
  <si>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</si>
  <si>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</si>
  <si>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</si>
  <si>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</si>
  <si>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</si>
  <si>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</si>
  <si>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</si>
  <si>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</si>
  <si>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</si>
  <si>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</si>
  <si>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</si>
  <si>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</si>
  <si>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</si>
  <si>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</si>
  <si>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</si>
  <si>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</si>
  <si>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</si>
  <si>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</si>
  <si>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</si>
  <si>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</si>
  <si>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</si>
  <si>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</si>
  <si>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</si>
  <si>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</si>
  <si>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</si>
  <si>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</si>
  <si>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</si>
  <si>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</si>
  <si>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</si>
  <si>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</si>
  <si>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</si>
  <si>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</si>
  <si>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</si>
  <si>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</si>
  <si>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</si>
  <si>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</si>
  <si>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</si>
  <si>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</si>
  <si>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</si>
  <si>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</si>
  <si>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</si>
  <si>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</si>
  <si>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</si>
  <si>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</si>
  <si>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</si>
  <si>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</si>
  <si>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</si>
  <si>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</si>
  <si>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</si>
  <si>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</si>
  <si>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</si>
  <si>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</si>
  <si>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</si>
  <si>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</si>
  <si>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</si>
  <si>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</si>
  <si>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</si>
  <si>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</si>
  <si>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</si>
  <si>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</si>
  <si>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</si>
  <si>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</si>
  <si>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</si>
  <si>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</si>
  <si>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</si>
  <si>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</si>
  <si>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</si>
  <si>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</si>
  <si>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</si>
  <si>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</si>
  <si>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</si>
  <si>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</si>
  <si>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</si>
  <si>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</si>
  <si>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</si>
  <si>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</si>
  <si>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</si>
  <si>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</si>
  <si>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</si>
  <si>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</si>
  <si>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</si>
  <si>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</si>
  <si>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</si>
  <si>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</si>
  <si>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</si>
  <si>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</si>
  <si>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</si>
  <si>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</si>
  <si>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</si>
  <si>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</si>
  <si>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</si>
  <si>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</si>
  <si>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</si>
  <si>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</si>
  <si>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</si>
  <si>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</si>
  <si>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</si>
  <si>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</si>
  <si>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</si>
  <si>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</si>
  <si>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</si>
  <si>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</si>
  <si>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</si>
  <si>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</si>
  <si>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</si>
  <si>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</si>
  <si>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</si>
  <si>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</si>
  <si>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</si>
  <si>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</si>
  <si>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</si>
  <si>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</si>
  <si>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</si>
  <si>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</si>
  <si>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</si>
  <si>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</si>
  <si>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</si>
  <si>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</si>
  <si>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</si>
  <si>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</si>
  <si>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</si>
  <si>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</si>
  <si>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</si>
  <si>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</si>
  <si>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</si>
  <si>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</si>
  <si>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</si>
  <si>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</si>
  <si>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</si>
  <si>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</si>
  <si>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</si>
  <si>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</si>
  <si>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</si>
  <si>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</si>
  <si>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</si>
  <si>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</si>
  <si>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</si>
  <si>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</si>
  <si>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</si>
  <si>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</si>
  <si>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</si>
  <si>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</si>
  <si>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</si>
  <si>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</si>
  <si>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</si>
  <si>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</si>
  <si>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</si>
  <si>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</si>
  <si>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</si>
  <si>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</si>
  <si>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</si>
  <si>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</si>
  <si>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</si>
  <si>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</si>
  <si>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</si>
  <si>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</si>
  <si>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</si>
  <si>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</si>
  <si>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</si>
  <si>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</si>
  <si>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</si>
  <si>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</si>
  <si>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</si>
  <si>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</si>
  <si>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</si>
  <si>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</si>
  <si>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</si>
  <si>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</si>
  <si>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</si>
  <si>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</si>
  <si>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</si>
  <si>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</si>
  <si>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</si>
  <si>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</si>
  <si>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</si>
  <si>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</si>
  <si>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</si>
  <si>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</si>
  <si>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</si>
  <si>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</si>
  <si>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</si>
  <si>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</si>
  <si>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</si>
  <si>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</si>
  <si>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</si>
  <si>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</si>
  <si>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</si>
  <si>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</si>
  <si>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</si>
  <si>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</si>
  <si>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</si>
  <si>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</si>
  <si>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</si>
  <si>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</si>
  <si>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</si>
  <si>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</si>
  <si>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</si>
  <si>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</si>
  <si>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</si>
  <si>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</si>
  <si>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</si>
  <si>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</si>
  <si>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</si>
  <si>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</si>
  <si>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</si>
  <si>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</si>
  <si>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</si>
  <si>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</si>
  <si>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</si>
  <si>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</si>
  <si>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</si>
  <si>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</si>
  <si>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</si>
  <si>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</si>
  <si>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</si>
  <si>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</si>
  <si>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</si>
  <si>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</si>
  <si>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</si>
  <si>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</si>
  <si>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</si>
  <si>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</si>
  <si>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</si>
  <si>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</si>
  <si>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</si>
  <si>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</si>
  <si>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</si>
  <si>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</si>
  <si>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</si>
  <si>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</si>
  <si>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</si>
  <si>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</si>
  <si>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</si>
  <si>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</si>
  <si>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</si>
  <si>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</si>
  <si>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</si>
  <si>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</si>
  <si>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</si>
  <si>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</si>
  <si>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</si>
  <si>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</si>
  <si>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</si>
  <si>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</si>
  <si>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</si>
  <si>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</si>
  <si>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</si>
  <si>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</si>
  <si>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</si>
  <si>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</si>
  <si>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</si>
  <si>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</si>
  <si>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</si>
  <si>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</si>
  <si>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</si>
  <si>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</si>
  <si>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</si>
  <si>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</si>
  <si>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</si>
  <si>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</si>
  <si>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</si>
  <si>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</si>
  <si>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</si>
  <si>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</si>
  <si>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</si>
  <si>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</si>
  <si>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</si>
  <si>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</si>
  <si>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</si>
  <si>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</si>
  <si>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</si>
  <si>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</si>
  <si>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</si>
  <si>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</si>
  <si>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</si>
  <si>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</si>
  <si>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</si>
  <si>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</si>
  <si>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</si>
  <si>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</si>
  <si>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</si>
  <si>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</si>
  <si>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</si>
  <si>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</si>
  <si>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</si>
  <si>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</si>
  <si>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</si>
  <si>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</si>
  <si>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</si>
  <si>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</si>
  <si>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</si>
  <si>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</si>
  <si>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</si>
  <si>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</si>
  <si>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</si>
  <si>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</si>
  <si>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</si>
  <si>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</si>
  <si>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</si>
  <si>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</si>
  <si>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</si>
  <si>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</si>
  <si>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</si>
  <si>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</si>
  <si>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</si>
  <si>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</si>
  <si>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</si>
  <si>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</si>
  <si>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</si>
  <si>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</si>
  <si>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</si>
  <si>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</si>
  <si>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</si>
  <si>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</si>
  <si>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</si>
  <si>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</si>
  <si>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</si>
  <si>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</si>
  <si>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</si>
  <si>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</si>
  <si>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</si>
  <si>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</si>
  <si>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</si>
  <si>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</si>
  <si>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</si>
  <si>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</si>
  <si>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</si>
  <si>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</si>
  <si>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</si>
  <si>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</si>
  <si>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</si>
  <si>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</si>
  <si>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</si>
  <si>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</si>
  <si>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</si>
  <si>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</si>
  <si>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</si>
  <si>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</si>
  <si>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</si>
  <si>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</si>
  <si>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</si>
  <si>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</si>
  <si>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</si>
  <si>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</si>
  <si>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</si>
  <si>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</si>
  <si>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</si>
  <si>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</si>
  <si>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</si>
  <si>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</si>
  <si>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</si>
  <si>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</si>
  <si>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</si>
  <si>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</si>
  <si>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</si>
  <si>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</si>
  <si>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</si>
  <si>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</si>
  <si>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</si>
  <si>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</si>
  <si>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</si>
  <si>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</si>
  <si>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</si>
  <si>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</si>
  <si>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</si>
  <si>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</si>
  <si>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</si>
  <si>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</si>
  <si>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</si>
  <si>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</si>
  <si>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</si>
  <si>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</si>
  <si>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</si>
  <si>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</si>
  <si>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</si>
  <si>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</si>
  <si>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</si>
  <si>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</si>
  <si>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</si>
  <si>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</si>
  <si>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</si>
  <si>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</si>
  <si>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</si>
  <si>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</si>
  <si>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</si>
  <si>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</si>
  <si>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</si>
  <si>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</si>
  <si>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</si>
  <si>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</si>
  <si>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</si>
  <si>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</si>
  <si>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</si>
  <si>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</si>
  <si>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</si>
  <si>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</si>
  <si>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</si>
  <si>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</si>
  <si>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</si>
  <si>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</si>
  <si>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</si>
  <si>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</si>
  <si>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</si>
  <si>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</si>
  <si>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</si>
  <si>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</si>
  <si>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</si>
  <si>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</si>
  <si>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</si>
  <si>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</si>
  <si>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</si>
  <si>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</si>
  <si>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</si>
  <si>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</si>
  <si>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</si>
  <si>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</si>
  <si>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</si>
  <si>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</si>
  <si>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</si>
  <si>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</si>
  <si>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</si>
  <si>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</si>
  <si>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</si>
  <si>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</si>
  <si>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</si>
  <si>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</si>
  <si>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</si>
  <si>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</si>
  <si>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</si>
  <si>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</si>
  <si>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</si>
  <si>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</si>
  <si>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</si>
  <si>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</si>
  <si>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</si>
  <si>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</si>
  <si>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</si>
  <si>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</si>
  <si>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</si>
  <si>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</si>
  <si>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</si>
  <si>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</si>
  <si>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</si>
  <si>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</si>
  <si>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</si>
  <si>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</si>
  <si>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</si>
  <si>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</si>
  <si>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</si>
  <si>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</si>
  <si>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</si>
  <si>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</si>
  <si>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</si>
  <si>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</si>
  <si>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</si>
  <si>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</si>
  <si>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</si>
  <si>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</si>
  <si>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</si>
  <si>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</si>
  <si>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</si>
  <si>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</si>
  <si>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</si>
  <si>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</si>
  <si>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</si>
  <si>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</si>
  <si>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</si>
  <si>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</si>
  <si>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</si>
  <si>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</si>
  <si>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</si>
  <si>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</si>
  <si>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</si>
  <si>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</si>
  <si>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</si>
  <si>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</si>
  <si>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</si>
  <si>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</si>
  <si>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</si>
  <si>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</si>
  <si>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</si>
  <si>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</si>
  <si>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</si>
  <si>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</si>
  <si>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</si>
  <si>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</si>
  <si>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</si>
  <si>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</si>
  <si>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</si>
  <si>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</si>
  <si>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</si>
  <si>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</si>
  <si>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</si>
  <si>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</si>
  <si>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</si>
  <si>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</si>
  <si>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</si>
  <si>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</si>
  <si>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</si>
  <si>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</si>
  <si>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</si>
  <si>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</si>
  <si>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</si>
  <si>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</si>
  <si>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</si>
  <si>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</si>
  <si>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</si>
  <si>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</si>
  <si>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</si>
  <si>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</si>
  <si>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</si>
  <si>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</si>
  <si>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</si>
  <si>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</si>
  <si>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</si>
  <si>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</si>
  <si>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</si>
  <si>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</si>
  <si>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</si>
  <si>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</si>
  <si>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</si>
  <si>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</si>
  <si>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</si>
  <si>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</si>
  <si>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</si>
  <si>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</si>
  <si>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</si>
  <si>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</si>
  <si>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</si>
  <si>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</si>
  <si>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</si>
  <si>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</si>
  <si>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</si>
  <si>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</si>
  <si>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</si>
  <si>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</si>
  <si>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</si>
  <si>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</si>
  <si>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</si>
  <si>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</si>
  <si>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</si>
  <si>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</si>
  <si>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</si>
  <si>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</si>
  <si>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</si>
  <si>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</si>
  <si>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</si>
  <si>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</si>
  <si>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</si>
  <si>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</si>
  <si>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</si>
  <si>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</si>
  <si>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</si>
  <si>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</si>
  <si>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</si>
  <si>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</si>
  <si>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</si>
  <si>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</si>
  <si>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</si>
  <si>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</si>
  <si>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</si>
  <si>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</si>
  <si>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</si>
  <si>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</si>
  <si>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</si>
  <si>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</si>
  <si>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</si>
  <si>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</si>
  <si>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</si>
  <si>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</si>
  <si>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</si>
  <si>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</si>
  <si>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</si>
  <si>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</si>
  <si>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</si>
  <si>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</si>
  <si>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</si>
  <si>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</si>
  <si>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</si>
  <si>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</si>
  <si>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</si>
  <si>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</si>
  <si>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</si>
  <si>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</si>
  <si>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</si>
  <si>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</si>
  <si>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</si>
  <si>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</si>
  <si>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</si>
  <si>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</si>
  <si>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</si>
  <si>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</si>
  <si>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</si>
  <si>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</si>
  <si>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</si>
  <si>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</si>
  <si>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</si>
  <si>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</si>
  <si>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</si>
  <si>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</si>
  <si>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</si>
  <si>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</si>
  <si>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</si>
  <si>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</si>
  <si>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</si>
  <si>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</si>
  <si>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</si>
  <si>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</si>
  <si>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</si>
  <si>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</si>
  <si>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</si>
  <si>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</si>
  <si>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</si>
  <si>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</si>
  <si>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</si>
  <si>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</si>
  <si>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</si>
  <si>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</si>
  <si>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</si>
  <si>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</si>
  <si>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</si>
  <si>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</si>
  <si>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</si>
  <si>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</si>
  <si>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</si>
  <si>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</si>
  <si>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</si>
  <si>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</si>
  <si>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</si>
  <si>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</si>
  <si>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</si>
  <si>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</si>
  <si>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</si>
  <si>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</si>
  <si>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</si>
  <si>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</si>
  <si>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</si>
  <si>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</si>
  <si>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</si>
  <si>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</si>
  <si>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</si>
  <si>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</si>
  <si>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</si>
  <si>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</si>
  <si>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</si>
  <si>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</si>
  <si>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</si>
  <si>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</si>
  <si>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</si>
  <si>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</si>
  <si>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</si>
  <si>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</si>
  <si>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</si>
  <si>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</si>
  <si>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</si>
  <si>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</si>
  <si>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</si>
  <si>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</si>
  <si>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</si>
  <si>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</si>
  <si>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</si>
  <si>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</si>
  <si>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</si>
  <si>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</si>
  <si>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</si>
  <si>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</si>
  <si>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</si>
  <si>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</si>
  <si>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</si>
  <si>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</si>
  <si>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</si>
  <si>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</si>
  <si>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</si>
  <si>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</si>
  <si>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</si>
  <si>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</si>
  <si>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</si>
  <si>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</si>
  <si>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</si>
  <si>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</si>
  <si>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</si>
  <si>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</si>
  <si>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</si>
  <si>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</si>
  <si>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</si>
  <si>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</si>
  <si>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</si>
  <si>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</si>
  <si>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</si>
  <si>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</si>
  <si>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</si>
  <si>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</si>
  <si>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</si>
  <si>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</si>
  <si>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</si>
  <si>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</si>
  <si>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</si>
  <si>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</si>
  <si>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</si>
  <si>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</si>
  <si>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</si>
  <si>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</si>
  <si>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</si>
  <si>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</si>
  <si>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</si>
  <si>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</si>
  <si>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</si>
  <si>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</si>
  <si>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</si>
  <si>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</si>
  <si>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</si>
  <si>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</si>
  <si>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</si>
  <si>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</si>
  <si>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</si>
  <si>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</si>
  <si>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</si>
  <si>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</si>
  <si>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</si>
  <si>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</si>
  <si>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</si>
  <si>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</si>
  <si>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</si>
  <si>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</si>
  <si>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</si>
  <si>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</si>
  <si>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</si>
  <si>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</si>
  <si>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</si>
  <si>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</si>
  <si>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</si>
  <si>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</si>
  <si>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</si>
  <si>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</si>
  <si>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</si>
  <si>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</si>
  <si>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</si>
  <si>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</si>
  <si>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</si>
  <si>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</si>
  <si>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</si>
  <si>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</si>
  <si>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</si>
  <si>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</si>
  <si>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</si>
  <si>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</si>
  <si>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</si>
  <si>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</si>
  <si>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</si>
  <si>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</si>
  <si>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</si>
  <si>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</si>
  <si>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</si>
  <si>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</si>
  <si>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</si>
  <si>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</si>
  <si>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</si>
  <si>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</si>
  <si>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</si>
  <si>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</si>
  <si>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</si>
  <si>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</si>
  <si>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</si>
  <si>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</si>
  <si>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</si>
  <si>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</si>
  <si>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</si>
  <si>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</si>
  <si>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</si>
  <si>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</si>
  <si>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</si>
  <si>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</si>
  <si>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</si>
  <si>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</si>
  <si>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</si>
  <si>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</si>
  <si>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</si>
  <si>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</si>
  <si>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</si>
  <si>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</si>
  <si>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</si>
  <si>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</si>
  <si>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</si>
  <si>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</si>
  <si>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</si>
  <si>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</si>
  <si>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</si>
  <si>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</si>
  <si>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</si>
  <si>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</si>
  <si>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</si>
  <si>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</si>
  <si>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</si>
  <si>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</si>
  <si>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</si>
  <si>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</si>
  <si>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</si>
  <si>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</si>
  <si>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</si>
  <si>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</si>
  <si>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</si>
  <si>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</si>
  <si>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</si>
  <si>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</si>
  <si>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</si>
  <si>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</si>
  <si>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</si>
  <si>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</si>
  <si>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</si>
  <si>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</si>
  <si>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</si>
  <si>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</si>
  <si>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</si>
  <si>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</si>
  <si>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</si>
  <si>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</si>
  <si>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</si>
  <si>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</si>
  <si>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</si>
  <si>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</si>
  <si>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</si>
  <si>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</si>
  <si>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</si>
  <si>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</si>
  <si>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</si>
  <si>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</si>
  <si>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</si>
  <si>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</si>
  <si>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</si>
  <si>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</si>
  <si>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</si>
  <si>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</si>
  <si>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</si>
  <si>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</si>
  <si>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</si>
  <si>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</si>
  <si>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</si>
  <si>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</si>
  <si>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</si>
  <si>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</si>
  <si>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</si>
  <si>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</si>
  <si>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</si>
  <si>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</si>
  <si>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</si>
  <si>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</si>
  <si>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</si>
  <si>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</si>
  <si>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</si>
  <si>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</si>
  <si>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</si>
  <si>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</si>
  <si>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</si>
  <si>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</si>
  <si>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</si>
  <si>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</si>
  <si>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</si>
  <si>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</si>
  <si>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</si>
  <si>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</si>
  <si>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</si>
  <si>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</si>
  <si>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</si>
  <si>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</si>
  <si>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</si>
  <si>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</si>
  <si>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</si>
  <si>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</si>
  <si>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</si>
  <si>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</si>
  <si>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</si>
  <si>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</si>
  <si>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</si>
  <si>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</si>
  <si>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</si>
  <si>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</si>
  <si>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</si>
  <si>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</si>
  <si>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</si>
  <si>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</si>
  <si>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</si>
  <si>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</si>
  <si>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</si>
  <si>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</si>
  <si>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</si>
  <si>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</si>
  <si>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</si>
  <si>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</si>
  <si>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</si>
  <si>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</si>
  <si>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</si>
  <si>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</si>
  <si>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</si>
  <si>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</si>
  <si>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</si>
  <si>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</si>
  <si>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</si>
  <si>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</si>
  <si>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</si>
  <si>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</si>
  <si>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</si>
  <si>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</si>
  <si>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</si>
  <si>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</si>
  <si>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</si>
  <si>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</si>
  <si>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</si>
  <si>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</si>
  <si>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</si>
  <si>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</si>
  <si>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</si>
  <si>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</si>
  <si>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</si>
  <si>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</si>
  <si>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</si>
  <si>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</si>
  <si>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</si>
  <si>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</si>
  <si>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</si>
  <si>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</si>
  <si>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</si>
  <si>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</si>
  <si>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</si>
  <si>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</si>
  <si>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</si>
  <si>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</si>
  <si>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</si>
  <si>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</si>
  <si>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</si>
  <si>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</si>
  <si>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</si>
  <si>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</si>
  <si>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</si>
  <si>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</si>
  <si>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</si>
  <si>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</si>
  <si>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</si>
  <si>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</si>
  <si>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</si>
  <si>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</si>
  <si>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</si>
  <si>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</si>
  <si>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</si>
  <si>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</si>
  <si>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</si>
  <si>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</si>
  <si>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</si>
  <si>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</si>
  <si>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</si>
  <si>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</si>
  <si>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</si>
  <si>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</si>
  <si>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</si>
  <si>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</si>
  <si>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</si>
  <si>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</si>
  <si>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</si>
  <si>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</si>
  <si>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</si>
  <si>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</si>
  <si>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</si>
  <si>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</si>
  <si>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</si>
  <si>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</si>
  <si>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</si>
  <si>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</si>
  <si>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</si>
  <si>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</si>
  <si>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</si>
  <si>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</si>
  <si>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</si>
  <si>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</si>
  <si>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</si>
  <si>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</si>
  <si>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</si>
  <si>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</si>
  <si>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</si>
  <si>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</si>
  <si>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</si>
  <si>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</si>
  <si>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</si>
  <si>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</si>
  <si>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</si>
  <si>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</si>
  <si>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</si>
  <si>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</si>
  <si>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</si>
  <si>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</si>
  <si>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</si>
  <si>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</si>
  <si>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</si>
  <si>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</si>
  <si>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</si>
  <si>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</si>
  <si>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</si>
  <si>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</si>
  <si>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</si>
  <si>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</si>
  <si>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</si>
  <si>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</si>
  <si>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</si>
  <si>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</si>
  <si>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</si>
  <si>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</si>
  <si>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</si>
  <si>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</si>
  <si>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</si>
  <si>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</si>
  <si>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</si>
  <si>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</si>
  <si>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</si>
  <si>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</si>
  <si>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</si>
  <si>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</si>
  <si>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</si>
  <si>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</si>
  <si>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</si>
  <si>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</si>
  <si>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</si>
  <si>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</si>
  <si>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</si>
  <si>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</si>
  <si>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</si>
  <si>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</si>
  <si>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</si>
  <si>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</si>
  <si>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</si>
  <si>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</si>
  <si>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</si>
  <si>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</si>
  <si>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</si>
  <si>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</si>
  <si>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</si>
  <si>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</si>
  <si>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</si>
  <si>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</si>
  <si>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</si>
  <si>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</si>
  <si>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</si>
  <si>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</si>
  <si>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</si>
  <si>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</si>
  <si>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</si>
  <si>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</si>
  <si>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</si>
  <si>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</si>
  <si>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</si>
  <si>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</si>
  <si>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</si>
  <si>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</si>
  <si>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</si>
  <si>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</si>
  <si>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</si>
  <si>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</si>
  <si>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</si>
  <si>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</si>
  <si>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</si>
  <si>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</si>
  <si>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</si>
  <si>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</si>
  <si>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</si>
  <si>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</si>
  <si>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</si>
  <si>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</si>
  <si>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</si>
  <si>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</si>
  <si>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</si>
  <si>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</si>
  <si>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</si>
  <si>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</si>
  <si>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</si>
  <si>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</si>
  <si>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</si>
  <si>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</si>
  <si>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</si>
  <si>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</si>
  <si>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</si>
  <si>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</si>
  <si>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</si>
  <si>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</si>
  <si>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</si>
  <si>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</si>
  <si>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</si>
  <si>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</si>
  <si>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</si>
  <si>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</si>
  <si>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</si>
  <si>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</si>
  <si>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</si>
  <si>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</si>
  <si>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</si>
  <si>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</si>
  <si>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</si>
  <si>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</si>
  <si>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</si>
  <si>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</si>
  <si>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</si>
  <si>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</si>
  <si>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</si>
  <si>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</si>
  <si>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</si>
  <si>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</si>
  <si>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</si>
  <si>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</si>
  <si>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</si>
  <si>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</si>
  <si>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</si>
  <si>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</si>
  <si>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</si>
  <si>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</si>
  <si>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</si>
  <si>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</si>
  <si>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</si>
  <si>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</si>
  <si>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</si>
  <si>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</si>
  <si>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</si>
  <si>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</si>
  <si>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</si>
  <si>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</si>
  <si>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</si>
  <si>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</si>
  <si>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</si>
  <si>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</si>
  <si>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</si>
  <si>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</si>
  <si>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</si>
  <si>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</si>
  <si>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</si>
  <si>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</si>
  <si>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</si>
  <si>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</si>
  <si>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</si>
  <si>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</si>
  <si>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</si>
  <si>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</si>
  <si>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</si>
  <si>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</si>
  <si>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</si>
  <si>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</si>
  <si>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</si>
  <si>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</si>
  <si>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</si>
  <si>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</si>
  <si>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</si>
  <si>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</si>
  <si>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</si>
  <si>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</si>
  <si>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</si>
  <si>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</si>
  <si>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</si>
  <si>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</si>
  <si>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</si>
  <si>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</si>
  <si>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</si>
  <si>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</si>
  <si>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</si>
  <si>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</si>
  <si>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</si>
  <si>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</si>
  <si>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</si>
  <si>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</si>
  <si>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</si>
  <si>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</si>
  <si>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</si>
  <si>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</si>
  <si>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</si>
  <si>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</si>
  <si>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</si>
  <si>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</si>
  <si>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</si>
  <si>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</si>
  <si>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</si>
  <si>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</si>
  <si>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</si>
  <si>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</si>
  <si>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</si>
  <si>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</si>
  <si>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</si>
  <si>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</si>
  <si>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</si>
  <si>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</si>
  <si>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</si>
  <si>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</si>
  <si>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</si>
  <si>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</si>
  <si>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</si>
  <si>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</si>
  <si>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</si>
  <si>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</si>
  <si>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</si>
  <si>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</si>
  <si>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</si>
  <si>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</si>
  <si>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</si>
  <si>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</si>
  <si>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</si>
  <si>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</si>
  <si>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</si>
  <si>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</si>
  <si>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</si>
  <si>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</si>
  <si>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</si>
  <si>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</si>
  <si>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</si>
  <si>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</si>
  <si>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</si>
  <si>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</si>
  <si>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</si>
  <si>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</si>
  <si>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</si>
  <si>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</si>
  <si>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</si>
  <si>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</si>
  <si>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</si>
  <si>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</si>
  <si>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</si>
  <si>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</si>
  <si>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</si>
  <si>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</si>
  <si>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</si>
  <si>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</si>
  <si>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</si>
  <si>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</si>
  <si>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</si>
  <si>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</si>
  <si>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</si>
  <si>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</si>
  <si>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</si>
  <si>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</si>
  <si>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</si>
  <si>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</si>
  <si>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</si>
  <si>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</si>
  <si>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</si>
  <si>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</si>
  <si>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</si>
  <si>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</si>
  <si>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</si>
  <si>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</si>
  <si>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</si>
  <si>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</si>
  <si>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</si>
  <si>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</si>
  <si>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</si>
  <si>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</si>
  <si>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</si>
  <si>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</si>
  <si>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</si>
  <si>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</si>
  <si>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</si>
  <si>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</si>
  <si>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</si>
  <si>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</si>
  <si>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</si>
  <si>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</si>
  <si>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</si>
  <si>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</si>
  <si>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</si>
  <si>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</si>
  <si>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</si>
  <si>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</si>
  <si>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</si>
  <si>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</si>
  <si>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</si>
  <si>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</si>
  <si>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</si>
  <si>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</si>
  <si>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</si>
  <si>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</si>
  <si>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</si>
  <si>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</si>
  <si>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</si>
  <si>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</si>
  <si>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</si>
  <si>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</si>
  <si>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</si>
  <si>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</si>
  <si>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</si>
  <si>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</si>
  <si>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</si>
  <si>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</si>
  <si>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</si>
  <si>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</si>
  <si>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</si>
  <si>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</si>
  <si>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</si>
  <si>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</si>
  <si>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</si>
  <si>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</si>
  <si>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</si>
  <si>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</si>
  <si>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</si>
  <si>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</si>
  <si>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</si>
  <si>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</si>
  <si>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</si>
  <si>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</si>
  <si>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</si>
  <si>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</si>
  <si>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</si>
  <si>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</si>
  <si>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</si>
  <si>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</si>
  <si>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</si>
  <si>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</si>
  <si>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</si>
  <si>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</si>
  <si>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</si>
  <si>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</si>
  <si>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</si>
  <si>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</si>
  <si>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</si>
  <si>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</si>
  <si>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</si>
  <si>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</si>
  <si>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</si>
  <si>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</si>
  <si>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</si>
  <si>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</si>
  <si>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</si>
  <si>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</si>
  <si>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</si>
  <si>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</si>
  <si>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</si>
  <si>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</si>
  <si>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</si>
  <si>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</si>
  <si>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</si>
  <si>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</si>
  <si>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</si>
  <si>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</si>
  <si>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</si>
  <si>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</si>
  <si>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</si>
  <si>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</si>
  <si>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</si>
  <si>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</si>
  <si>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</si>
  <si>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</si>
  <si>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</si>
  <si>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</si>
  <si>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</si>
  <si>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</si>
  <si>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</si>
  <si>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</si>
  <si>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</si>
  <si>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</si>
  <si>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</si>
  <si>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</si>
  <si>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</si>
  <si>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</si>
  <si>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</si>
  <si>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</si>
  <si>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</si>
  <si>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</si>
  <si>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</si>
  <si>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</si>
  <si>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</si>
  <si>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</si>
  <si>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</si>
  <si>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</si>
  <si>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</si>
  <si>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</si>
  <si>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</si>
  <si>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</si>
  <si>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</si>
  <si>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</si>
  <si>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</si>
  <si>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</si>
  <si>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</si>
  <si>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</si>
  <si>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</si>
  <si>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</si>
  <si>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</si>
  <si>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</si>
  <si>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</si>
  <si>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</si>
  <si>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</si>
  <si>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</si>
  <si>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</si>
  <si>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</si>
  <si>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</si>
  <si>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</si>
  <si>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</si>
  <si>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</si>
  <si>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</si>
  <si>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</si>
  <si>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</si>
  <si>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</si>
  <si>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</si>
  <si>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</si>
  <si>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</si>
  <si>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</si>
  <si>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</si>
  <si>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</si>
  <si>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</si>
  <si>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</si>
  <si>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</si>
  <si>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</si>
  <si>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</si>
  <si>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</si>
  <si>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</si>
  <si>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</si>
  <si>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</si>
  <si>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</si>
  <si>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</si>
  <si>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</si>
  <si>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</si>
  <si>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</si>
  <si>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</si>
  <si>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</si>
  <si>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</si>
  <si>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</si>
  <si>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</si>
  <si>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</si>
  <si>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</si>
  <si>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</si>
  <si>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</si>
  <si>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</si>
  <si>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</si>
  <si>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</si>
  <si>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</si>
  <si>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</si>
  <si>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</si>
  <si>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</si>
  <si>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</si>
  <si>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</si>
  <si>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</si>
  <si>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</si>
  <si>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</si>
  <si>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</si>
  <si>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</si>
  <si>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</si>
  <si>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</si>
  <si>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</si>
  <si>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</si>
  <si>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</si>
  <si>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</si>
  <si>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</si>
  <si>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</si>
  <si>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</si>
  <si>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</si>
  <si>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</si>
  <si>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</si>
  <si>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</si>
  <si>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</si>
  <si>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</si>
  <si>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</si>
  <si>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</si>
  <si>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</si>
  <si>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</si>
  <si>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</si>
  <si>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</si>
  <si>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</si>
  <si>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</si>
  <si>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</si>
  <si>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</si>
  <si>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</si>
  <si>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</si>
  <si>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</si>
  <si>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</si>
  <si>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</si>
  <si>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</si>
  <si>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</si>
  <si>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</si>
  <si>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</si>
  <si>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</si>
  <si>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</si>
  <si>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</si>
  <si>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</si>
  <si>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</si>
  <si>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</si>
  <si>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</si>
  <si>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</si>
  <si>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</si>
  <si>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</si>
  <si>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</si>
  <si>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</si>
  <si>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</si>
  <si>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</si>
  <si>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</si>
  <si>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</si>
  <si>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</si>
  <si>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</si>
  <si>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</si>
  <si>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</si>
  <si>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</si>
  <si>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</si>
  <si>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</si>
  <si>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</si>
  <si>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</si>
  <si>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</si>
  <si>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</si>
  <si>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</si>
  <si>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</si>
  <si>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</si>
  <si>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</si>
  <si>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</si>
  <si>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</si>
  <si>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</si>
  <si>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</si>
  <si>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</si>
  <si>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</si>
  <si>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</si>
  <si>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</si>
  <si>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</si>
  <si>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</si>
  <si>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</si>
  <si>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</si>
  <si>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</si>
  <si>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</si>
  <si>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</si>
  <si>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</si>
  <si>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</si>
  <si>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</si>
  <si>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</si>
  <si>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</si>
  <si>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</si>
  <si>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</si>
  <si>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</si>
  <si>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</si>
  <si>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</si>
  <si>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</si>
  <si>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</si>
  <si>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</si>
  <si>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</si>
  <si>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</si>
  <si>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</si>
  <si>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</si>
  <si>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</si>
  <si>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</si>
  <si>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</si>
  <si>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</si>
  <si>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</si>
  <si>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</si>
  <si>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</si>
  <si>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</si>
  <si>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</si>
  <si>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</si>
  <si>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</si>
  <si>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</si>
  <si>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</si>
  <si>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</si>
  <si>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</si>
  <si>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</si>
  <si>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</si>
  <si>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</si>
  <si>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</si>
  <si>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</si>
  <si>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</si>
  <si>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</si>
  <si>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</si>
  <si>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</si>
  <si>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</si>
  <si>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</si>
  <si>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</si>
  <si>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</si>
  <si>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</si>
  <si>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</si>
  <si>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</si>
  <si>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</si>
  <si>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</si>
  <si>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</si>
  <si>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</si>
  <si>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</si>
  <si>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</si>
  <si>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</si>
  <si>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</si>
  <si>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</si>
  <si>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</si>
  <si>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</si>
  <si>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</si>
  <si>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</si>
  <si>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</si>
  <si>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</si>
  <si>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</si>
  <si>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</si>
  <si>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</si>
  <si>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</si>
  <si>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</si>
  <si>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</si>
  <si>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</si>
  <si>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</si>
  <si>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</si>
  <si>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</si>
  <si>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</si>
  <si>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</si>
  <si>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</si>
  <si>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</si>
  <si>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</si>
  <si>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</si>
  <si>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</si>
  <si>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</si>
  <si>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</si>
  <si>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</si>
  <si>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</si>
  <si>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</si>
  <si>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</si>
  <si>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</si>
  <si>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</si>
  <si>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</si>
  <si>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</si>
  <si>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</si>
  <si>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</si>
  <si>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</si>
  <si>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</si>
  <si>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</si>
  <si>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</si>
  <si>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</si>
  <si>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</si>
  <si>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</si>
  <si>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</si>
  <si>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</si>
  <si>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</si>
  <si>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</si>
  <si>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</si>
  <si>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</si>
  <si>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</si>
  <si>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</si>
  <si>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</si>
  <si>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</si>
  <si>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</si>
  <si>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</si>
  <si>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</si>
  <si>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</si>
  <si>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</si>
  <si>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</si>
  <si>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</si>
  <si>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</si>
  <si>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</si>
  <si>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</si>
  <si>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</si>
  <si>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</si>
  <si>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</si>
  <si>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</si>
  <si>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</si>
  <si>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</si>
  <si>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</si>
  <si>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</si>
  <si>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</si>
  <si>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</si>
  <si>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</si>
  <si>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</si>
  <si>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</si>
  <si>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</si>
  <si>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</si>
  <si>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</si>
  <si>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</si>
  <si>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</si>
  <si>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</si>
  <si>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</si>
  <si>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</si>
  <si>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</si>
  <si>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</si>
  <si>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</si>
  <si>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</si>
  <si>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</si>
  <si>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</si>
  <si>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</si>
  <si>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</si>
  <si>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</si>
  <si>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</si>
  <si>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</si>
  <si>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</si>
  <si>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</si>
  <si>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</si>
  <si>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</si>
  <si>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</si>
  <si>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</si>
  <si>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</si>
  <si>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</si>
  <si>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</si>
  <si>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</si>
  <si>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</si>
  <si>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</si>
  <si>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</si>
  <si>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</si>
  <si>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</si>
  <si>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</si>
  <si>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</si>
  <si>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</si>
  <si>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</si>
  <si>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</si>
  <si>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</si>
  <si>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</si>
  <si>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</si>
  <si>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</si>
  <si>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</si>
  <si>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</si>
  <si>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</si>
  <si>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</si>
  <si>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</si>
  <si>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</si>
  <si>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</si>
  <si>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</si>
  <si>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</si>
  <si>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</si>
  <si>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</si>
  <si>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</si>
  <si>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</si>
  <si>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</si>
  <si>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</si>
  <si>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</si>
  <si>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</si>
  <si>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</si>
  <si>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</si>
  <si>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</si>
  <si>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</si>
  <si>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</si>
  <si>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</si>
  <si>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</si>
  <si>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</si>
  <si>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</si>
  <si>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</si>
  <si>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</si>
  <si>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</si>
  <si>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</si>
  <si>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</si>
  <si>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</si>
  <si>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</si>
  <si>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</si>
  <si>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</si>
  <si>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</si>
  <si>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</si>
  <si>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</si>
  <si>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</si>
  <si>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</si>
  <si>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</si>
  <si>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</si>
  <si>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</si>
  <si>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</si>
  <si>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</si>
  <si>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</si>
  <si>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</si>
  <si>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</si>
  <si>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</si>
  <si>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</si>
  <si>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</si>
  <si>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</si>
  <si>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</si>
  <si>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</si>
  <si>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</si>
  <si>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</si>
  <si>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</si>
  <si>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</si>
  <si>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</si>
  <si>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</si>
  <si>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</si>
  <si>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</si>
  <si>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</si>
  <si>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</si>
  <si>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</si>
  <si>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</si>
  <si>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</si>
  <si>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</si>
  <si>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</si>
  <si>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</si>
  <si>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r>
      <t>2017</t>
    </r>
    <r>
      <rPr>
        <sz val="10"/>
        <color indexed="8"/>
        <rFont val="宋体"/>
        <family val="3"/>
        <charset val="134"/>
      </rPr>
      <t>年</t>
    </r>
    <phoneticPr fontId="8" type="noConversion"/>
  </si>
  <si>
    <t>出让</t>
  </si>
  <si>
    <t>企业</t>
  </si>
  <si>
    <t>北京市</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</si>
  <si>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号院教育科研项目</t>
    </r>
    <phoneticPr fontId="6" type="noConversion"/>
  </si>
  <si>
    <t>房地产抵押价值</t>
  </si>
  <si>
    <t>抵押</t>
  </si>
  <si>
    <r>
      <t>A</t>
    </r>
    <r>
      <rPr>
        <sz val="10"/>
        <color indexed="8"/>
        <rFont val="宋体"/>
        <family val="3"/>
        <charset val="134"/>
      </rPr>
      <t>座科研楼</t>
    </r>
    <phoneticPr fontId="3" type="noConversion"/>
  </si>
  <si>
    <t>是</t>
  </si>
  <si>
    <r>
      <t>14</t>
    </r>
    <r>
      <rPr>
        <sz val="10"/>
        <color indexed="8"/>
        <rFont val="宋体"/>
        <family val="3"/>
        <charset val="134"/>
      </rPr>
      <t>层</t>
    </r>
    <phoneticPr fontId="3" type="noConversion"/>
  </si>
  <si>
    <t>地上</t>
  </si>
  <si>
    <t>办公楼</t>
  </si>
  <si>
    <r>
      <t>B</t>
    </r>
    <r>
      <rPr>
        <sz val="10"/>
        <color indexed="8"/>
        <rFont val="宋体"/>
        <family val="3"/>
        <charset val="134"/>
      </rPr>
      <t>座科研楼</t>
    </r>
    <phoneticPr fontId="3" type="noConversion"/>
  </si>
  <si>
    <t>地下车库</t>
    <phoneticPr fontId="3" type="noConversion"/>
  </si>
  <si>
    <t>地下</t>
  </si>
  <si>
    <t>车库</t>
  </si>
  <si>
    <t>科研用房</t>
  </si>
  <si>
    <t>科研用房</t>
    <phoneticPr fontId="7" type="noConversion"/>
  </si>
  <si>
    <t>地下车库</t>
    <phoneticPr fontId="7" type="noConversion"/>
  </si>
  <si>
    <t>利息：取LPR加浮动点数</t>
  </si>
  <si>
    <t>在建（套用方法）</t>
  </si>
  <si>
    <t>押一</t>
  </si>
  <si>
    <t>未包含在土地购买价格中</t>
  </si>
  <si>
    <t>全部缴纳</t>
  </si>
  <si>
    <t>已包含在土地取得成本中</t>
  </si>
  <si>
    <t>收益法-科研</t>
  </si>
  <si>
    <t>收益法-科研</t>
    <phoneticPr fontId="16" type="noConversion"/>
  </si>
  <si>
    <t>收益法-车库</t>
  </si>
  <si>
    <t>收益法-车库</t>
    <phoneticPr fontId="16" type="noConversion"/>
  </si>
  <si>
    <t>众汇广场</t>
    <phoneticPr fontId="140" type="noConversion"/>
  </si>
  <si>
    <t>租金</t>
    <phoneticPr fontId="140" type="noConversion"/>
  </si>
  <si>
    <t>七棵树创意园</t>
    <phoneticPr fontId="140" type="noConversion"/>
  </si>
  <si>
    <t>安家科技文创园</t>
    <phoneticPr fontId="140" type="noConversion"/>
  </si>
  <si>
    <t>4元</t>
    <phoneticPr fontId="140" type="noConversion"/>
  </si>
  <si>
    <t>平房国际综合商务会馆</t>
    <phoneticPr fontId="140" type="noConversion"/>
  </si>
  <si>
    <t>4.5元</t>
    <phoneticPr fontId="140" type="noConversion"/>
  </si>
  <si>
    <t>钢混</t>
  </si>
  <si>
    <t>非生产用房</t>
  </si>
  <si>
    <t>自定义</t>
  </si>
  <si>
    <t>按租金收入计税</t>
  </si>
  <si>
    <t>已全部缴纳</t>
  </si>
  <si>
    <t>成本法</t>
  </si>
  <si>
    <t>假设开发法</t>
  </si>
  <si>
    <t>3-4元</t>
    <phoneticPr fontId="140" type="noConversion"/>
  </si>
  <si>
    <t>朗园STATION</t>
    <phoneticPr fontId="140" type="noConversion"/>
  </si>
  <si>
    <t>3.5-5元</t>
    <phoneticPr fontId="140" type="noConversion"/>
  </si>
  <si>
    <t>崔锴</t>
  </si>
  <si>
    <t>郑燚</t>
  </si>
  <si>
    <r>
      <t>A</t>
    </r>
    <r>
      <rPr>
        <sz val="10"/>
        <color indexed="8"/>
        <rFont val="宋体"/>
        <family val="3"/>
        <charset val="134"/>
      </rPr>
      <t>座</t>
    </r>
    <phoneticPr fontId="3" type="noConversion"/>
  </si>
  <si>
    <r>
      <t>B</t>
    </r>
    <r>
      <rPr>
        <sz val="10"/>
        <color indexed="8"/>
        <rFont val="宋体"/>
        <family val="3"/>
        <charset val="134"/>
      </rPr>
      <t>座</t>
    </r>
    <phoneticPr fontId="3" type="noConversion"/>
  </si>
  <si>
    <t>地下车库</t>
    <phoneticPr fontId="3" type="noConversion"/>
  </si>
  <si>
    <t>建筑面积</t>
    <phoneticPr fontId="3" type="noConversion"/>
  </si>
  <si>
    <t>最终</t>
    <phoneticPr fontId="3" type="noConversion"/>
  </si>
  <si>
    <t>精装交付</t>
    <phoneticPr fontId="3" type="noConversion"/>
  </si>
  <si>
    <t>毛坯交付</t>
    <phoneticPr fontId="3" type="noConversion"/>
  </si>
  <si>
    <t>现状</t>
    <phoneticPr fontId="3" type="noConversion"/>
  </si>
  <si>
    <t>主体完成，正在外装</t>
    <phoneticPr fontId="3" type="noConversion"/>
  </si>
  <si>
    <t>工程进度</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</si>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</sst>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lignment vertical="center"/>
    </xf>
    <xf numFmtId="58" fontId="111" fillId="0" borderId="0" xfId="0" applyNumberFormat="1" applyFont="1">
      <alignment vertical="center"/>
    </xf>
    <xf numFmtId="177" fontId="118" fillId="5" borderId="1" xfId="1" applyNumberFormat="1" applyFont="1" applyFill="1" applyBorder="1" applyAlignment="1" applyProtection="1">
      <alignment horizontal="center" vertical="center"/>
      <protection locked="0"/>
    </xf>
    <xf numFmtId="177" fontId="104" fillId="5" borderId="1" xfId="1" applyNumberFormat="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xf numFmtId="10" fontId="104" fillId="5" borderId="1" xfId="1" applyNumberFormat="1" applyFont="1" applyFill="1" applyBorder="1" applyAlignment="1" applyProtection="1">
      <alignment horizontal="center" vertical="center"/>
      <protection locked="0"/>
    </xf>
    <xf numFmtId="9" fontId="118" fillId="5" borderId="5" xfId="0" applyNumberFormat="1" applyFont="1" applyFill="1" applyBorder="1" applyAlignment="1" applyProtection="1">
      <alignment horizontal="center" vertical="center"/>
      <protection locked="0"/>
    </xf>
    <xf numFmtId="176" fontId="104" fillId="5" borderId="24"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10</xdr:col>
      <xdr:colOff>370829</xdr:colOff>
      <xdr:row>35</xdr:row>
      <xdr:rowOff>142190</xdr:rowOff>
    </xdr:to>
    <xdr:pic>
      <xdr:nvPicPr>
        <xdr:cNvPr id="2" name="图片 1"/>
        <xdr:cNvPicPr>
          <a:picLocks noChangeAspect="1"/>
        </xdr:cNvPicPr>
      </xdr:nvPicPr>
      <xdr:blipFill>
        <a:blip xmlns:r="http://schemas.openxmlformats.org/officeDocument/2006/relationships" r:embed="rId1"/>
        <a:stretch>
          <a:fillRect/>
        </a:stretch>
      </xdr:blipFill>
      <xdr:spPr>
        <a:xfrm>
          <a:off x="2133600" y="0"/>
          <a:ext cx="5171429" cy="5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17301</v>
          </cell>
        </row>
        <row r="24">
          <cell r="G24">
            <v>0.05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17104</v>
          </cell>
        </row>
        <row r="42">
          <cell r="E42">
            <v>621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北京市朝阳区红松园1号院教育科研项目房地产抵押价值预评估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受贵公司委托，我公司对北京市朝阳区红松园1号院教育科研项目房地产抵押价值进行了预评估。</v>
      </c>
    </row>
    <row r="7" spans="1:2" s="1317" customFormat="1">
      <c r="A7" s="1315" t="s">
        <v>991</v>
      </c>
      <c r="B7" s="1316" t="str">
        <f>'预评函-1'!A7</f>
        <v>估价对象为北京市朝阳区红松园1号院教育科研项目房地产，为所有。根据《国有土地使用证》[]，估价对象（分摊）出让国有建设用地使用权面积为9950.6平方米，建筑面积为51495平方米。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朝阳区红松园1号院教育科研项目房地产,属开发建设的，该项目尚在开发建设中。根据《国有土地使用证》[]，估价对象（分摊）出让国有建设用地使用权面积为9950.6平方米，规划建筑面积为51495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55815</v>
      </c>
    </row>
    <row r="21" spans="1:2" s="1317" customFormat="1">
      <c r="A21" s="1315" t="s">
        <v>962</v>
      </c>
      <c r="B21" s="1316">
        <f ca="1">'预评函-2'!D7</f>
        <v>10839</v>
      </c>
    </row>
    <row r="22" spans="1:2" s="1317" customFormat="1">
      <c r="A22" s="1315" t="s">
        <v>963</v>
      </c>
      <c r="B22" s="1316" t="str">
        <f ca="1">'预评函-2'!D6</f>
        <v>伍亿伍仟捌佰壹拾伍万元整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55815</v>
      </c>
    </row>
    <row r="31" spans="1:2" s="1317" customFormat="1">
      <c r="A31" s="1315" t="s">
        <v>1001</v>
      </c>
      <c r="B31" s="1316">
        <f ca="1">'预评函-2'!D15</f>
        <v>10839</v>
      </c>
    </row>
    <row r="32" spans="1:2" s="1317" customFormat="1">
      <c r="A32" s="1315" t="s">
        <v>968</v>
      </c>
      <c r="B32" s="1316" t="str">
        <f ca="1">'预评函-2'!D14</f>
        <v>伍亿伍仟捌佰壹拾伍万元整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22576</v>
      </c>
    </row>
    <row r="39" spans="1:2" s="1317" customFormat="1">
      <c r="A39" s="1315" t="s">
        <v>970</v>
      </c>
      <c r="B39" s="1316">
        <f ca="1">'预评函-2'!D21</f>
        <v>4384</v>
      </c>
    </row>
    <row r="40" spans="1:2" s="1317" customFormat="1">
      <c r="A40" s="1315" t="s">
        <v>971</v>
      </c>
      <c r="B40" s="1316" t="str">
        <f ca="1">'预评函-2'!D20</f>
        <v>贰亿贰仟伍佰柒拾陆万元整</v>
      </c>
    </row>
    <row r="41" spans="1:2" s="1317" customFormat="1">
      <c r="A41" s="1315" t="s">
        <v>1017</v>
      </c>
      <c r="B41" s="1316" t="str">
        <f>'预评函-3'!A4</f>
        <v>北京市朝阳区红松园1号院教育科研项目房地产</v>
      </c>
    </row>
    <row r="42" spans="1:2" s="1317" customFormat="1">
      <c r="A42" s="1315" t="s">
        <v>1015</v>
      </c>
      <c r="B42" s="1316" t="str">
        <f>'预评函-3'!B2</f>
        <v>建筑面积</v>
      </c>
    </row>
    <row r="43" spans="1:2" s="1317" customFormat="1">
      <c r="A43" s="1315" t="s">
        <v>1016</v>
      </c>
      <c r="B43" s="1316">
        <f>'预评函-3'!B4</f>
        <v>51495</v>
      </c>
    </row>
    <row r="44" spans="1:2" s="1317" customFormat="1">
      <c r="A44" s="1315" t="s">
        <v>1000</v>
      </c>
      <c r="B44" s="1316" t="str">
        <f>'预评函-3'!C2</f>
        <v>(分摊)土地面积</v>
      </c>
    </row>
    <row r="45" spans="1:2" s="1317" customFormat="1">
      <c r="A45" s="1315" t="s">
        <v>972</v>
      </c>
      <c r="B45" s="1316">
        <f>'预评函-3'!C4</f>
        <v>9950.6</v>
      </c>
    </row>
    <row r="46" spans="1:2" s="1317" customFormat="1">
      <c r="A46" s="1315" t="s">
        <v>998</v>
      </c>
      <c r="B46" s="1316" t="str">
        <f>'预评函-3'!D2</f>
        <v>出让国有建设用地使用权价值</v>
      </c>
    </row>
    <row r="47" spans="1:2" s="1317" customFormat="1">
      <c r="A47" s="1315" t="s">
        <v>973</v>
      </c>
      <c r="B47" s="1316">
        <f ca="1">'预评函-3'!D4</f>
        <v>31815</v>
      </c>
    </row>
    <row r="48" spans="1:2" s="1317" customFormat="1">
      <c r="A48" s="1315" t="s">
        <v>974</v>
      </c>
      <c r="B48" s="1316">
        <f ca="1">'预评函-3'!E4</f>
        <v>6178</v>
      </c>
    </row>
    <row r="49" spans="1:2" s="1317" customFormat="1">
      <c r="A49" s="1315" t="s">
        <v>975</v>
      </c>
      <c r="B49" s="1316" t="str">
        <f ca="1">'预评函-3'!D5</f>
        <v>叁亿壹仟捌佰壹拾伍万元整</v>
      </c>
    </row>
    <row r="50" spans="1:2" s="1317" customFormat="1">
      <c r="A50" s="1315" t="s">
        <v>999</v>
      </c>
      <c r="B50" s="1316" t="str">
        <f>'预评函-3'!F2</f>
        <v>在建建筑物价值</v>
      </c>
    </row>
    <row r="51" spans="1:2" s="1317" customFormat="1">
      <c r="A51" s="1315" t="s">
        <v>976</v>
      </c>
      <c r="B51" s="1316">
        <f ca="1">'预评函-3'!F4</f>
        <v>24000</v>
      </c>
    </row>
    <row r="52" spans="1:2" s="1317" customFormat="1">
      <c r="A52" s="1315" t="s">
        <v>977</v>
      </c>
      <c r="B52" s="1316">
        <f ca="1">'预评函-3'!G4</f>
        <v>4661</v>
      </c>
    </row>
    <row r="53" spans="1:2" s="1317" customFormat="1">
      <c r="A53" s="1315" t="s">
        <v>1005</v>
      </c>
      <c r="B53" s="1316" t="str">
        <f ca="1">'预评函-3'!F5</f>
        <v>贰亿肆仟万元整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4" sqref="E1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3197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2790</v>
      </c>
      <c r="C17" s="1682"/>
    </row>
    <row r="18" spans="1:3">
      <c r="A18" s="1681" t="s">
        <v>1490</v>
      </c>
      <c r="B18" s="1681" t="s">
        <v>2934</v>
      </c>
      <c r="C18" s="1682"/>
    </row>
    <row r="19" spans="1:3">
      <c r="A19" s="1681" t="s">
        <v>1491</v>
      </c>
      <c r="B19" s="1681" t="s">
        <v>3199</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3"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689" t="s">
        <v>651</v>
      </c>
      <c r="C54" s="1686" t="s">
        <v>1008</v>
      </c>
    </row>
    <row r="55" spans="1:4">
      <c r="A55" s="3293"/>
      <c r="B55" s="1689" t="s">
        <v>652</v>
      </c>
      <c r="C55" s="1686" t="s">
        <v>1009</v>
      </c>
    </row>
    <row r="56" spans="1:4">
      <c r="A56" s="3293"/>
      <c r="B56" s="1689" t="s">
        <v>653</v>
      </c>
      <c r="C56" s="1686" t="s">
        <v>1013</v>
      </c>
    </row>
    <row r="57" spans="1:4">
      <c r="A57" s="3293"/>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2" sqref="H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2665</v>
      </c>
      <c r="B1" s="3294" t="str">
        <f>IF(B10="北京市","北京市",C10)&amp;F10&amp;IF(结果表!G1="在建","出让国有建设用地使用权及在建建筑物",IF(结果表!G1="土地","出让国有建设用地使用权",))&amp;B9&amp;"预评估"</f>
        <v>北京市朝阳区红松园1号院教育科研项目房地产抵押价值预评估</v>
      </c>
      <c r="C1" s="3295"/>
      <c r="D1" s="3295"/>
      <c r="E1" s="3295"/>
      <c r="F1" s="3295"/>
      <c r="G1" s="3295"/>
      <c r="H1" s="3295"/>
      <c r="I1" s="3296"/>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北京市朝阳区红松园1号院教育科研项目房地产抵押价值</v>
      </c>
      <c r="T1" s="1881"/>
      <c r="U1" s="1881"/>
      <c r="V1" s="1881"/>
      <c r="W1" s="1881"/>
      <c r="X1" s="1881"/>
      <c r="Y1" s="1881"/>
      <c r="Z1" s="1881"/>
      <c r="AA1" s="1881"/>
      <c r="AB1" s="1881"/>
    </row>
    <row r="2" spans="1:28">
      <c r="A2" s="2540" t="s">
        <v>2666</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北京市朝阳区红松园1号院教育科研项目房地产</v>
      </c>
      <c r="T2" s="1881"/>
      <c r="U2" s="1881"/>
      <c r="V2" s="1881"/>
      <c r="W2" s="1881"/>
      <c r="X2" s="1881"/>
      <c r="Y2" s="1881"/>
      <c r="Z2" s="1881"/>
      <c r="AA2" s="1881"/>
      <c r="AB2" s="1881"/>
    </row>
    <row r="3" spans="1:28">
      <c r="A3" s="307" t="s">
        <v>2667</v>
      </c>
      <c r="B3" s="2546">
        <v>44692</v>
      </c>
      <c r="C3" s="2547" t="s">
        <v>2668</v>
      </c>
      <c r="D3" s="2546">
        <f>B3</f>
        <v>44692</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2669</v>
      </c>
      <c r="B4" s="2548" t="s">
        <v>3217</v>
      </c>
      <c r="C4" s="2549">
        <f ca="1">SUMIF(注册房地产估价师,B4,估价师及机构信息!B3:B24)</f>
        <v>0</v>
      </c>
      <c r="D4" s="2548" t="s">
        <v>3218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2670</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2671</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2672</v>
      </c>
      <c r="B7" s="2560"/>
      <c r="C7" s="2558"/>
      <c r="D7" s="2559"/>
      <c r="E7" s="2838"/>
      <c r="F7" s="2840"/>
      <c r="G7" s="2840"/>
      <c r="H7" s="2840"/>
      <c r="I7" s="2840"/>
      <c r="J7" s="2614"/>
      <c r="K7" s="2791"/>
      <c r="L7" s="2788"/>
      <c r="M7" s="2788"/>
      <c r="N7" s="2614"/>
      <c r="O7" s="2625"/>
      <c r="P7" s="2614"/>
      <c r="Q7" s="2614"/>
      <c r="R7" s="2614"/>
    </row>
    <row r="8" spans="1:28">
      <c r="A8" s="2561" t="s">
        <v>2673</v>
      </c>
      <c r="B8" s="2562" t="s">
        <v>3177</v>
      </c>
      <c r="C8" s="2563"/>
      <c r="D8" s="3297" t="s">
        <v>2674</v>
      </c>
      <c r="E8" s="2564" t="s">
        <v>3176</v>
      </c>
      <c r="F8" s="2565"/>
      <c r="G8" s="2839"/>
      <c r="H8" s="2839"/>
      <c r="I8" s="2839"/>
      <c r="J8" s="2614"/>
      <c r="K8" s="2789"/>
      <c r="L8" s="2788"/>
      <c r="M8" s="2788"/>
      <c r="N8" s="2614"/>
      <c r="O8" s="2625"/>
      <c r="P8" s="2614"/>
      <c r="Q8" s="2614"/>
      <c r="R8" s="2614"/>
    </row>
    <row r="9" spans="1:28" ht="13.5" thickBot="1">
      <c r="A9" s="2566" t="s">
        <v>2675</v>
      </c>
      <c r="B9" s="2567" t="s">
        <v>3176</v>
      </c>
      <c r="C9" s="2568"/>
      <c r="D9" s="3298"/>
      <c r="E9" s="2567" t="s">
        <v>1012</v>
      </c>
      <c r="F9" s="2569"/>
      <c r="G9" s="2841"/>
      <c r="H9" s="2841"/>
      <c r="I9" s="2841"/>
      <c r="J9" s="2614"/>
      <c r="K9" s="2791"/>
      <c r="L9" s="2788"/>
      <c r="M9" s="2788"/>
      <c r="N9" s="2614"/>
      <c r="O9" s="2625"/>
      <c r="P9" s="2614"/>
      <c r="Q9" s="2614"/>
      <c r="R9" s="2614"/>
    </row>
    <row r="10" spans="1:28" ht="13.5" thickTop="1">
      <c r="A10" s="2570" t="s">
        <v>2676</v>
      </c>
      <c r="B10" s="2571" t="s">
        <v>3174</v>
      </c>
      <c r="C10" s="2572"/>
      <c r="D10" s="2555"/>
      <c r="E10" s="2573" t="s">
        <v>2677</v>
      </c>
      <c r="F10" s="2842" t="s">
        <v>3175</v>
      </c>
      <c r="G10" s="2843"/>
      <c r="H10" s="2844"/>
      <c r="I10" s="2845"/>
      <c r="J10" s="2614"/>
      <c r="K10" s="2791"/>
      <c r="L10" s="2788"/>
      <c r="M10" s="2788"/>
      <c r="N10" s="2614"/>
      <c r="O10" s="2625"/>
      <c r="P10" s="2614"/>
      <c r="Q10" s="2614"/>
      <c r="R10" s="2614"/>
    </row>
    <row r="11" spans="1:28">
      <c r="A11" s="2574" t="s">
        <v>2678</v>
      </c>
      <c r="B11" s="2575" t="s">
        <v>3173</v>
      </c>
      <c r="C11" s="2576"/>
      <c r="D11" s="2577"/>
      <c r="E11" s="2543"/>
      <c r="F11" s="2543"/>
      <c r="G11" s="2543"/>
      <c r="H11" s="2543"/>
      <c r="I11" s="2543"/>
      <c r="J11" s="2614"/>
      <c r="K11" s="2791"/>
      <c r="L11" s="2788"/>
      <c r="M11" s="2788"/>
      <c r="N11" s="2614"/>
      <c r="O11" s="2625"/>
      <c r="P11" s="2614"/>
      <c r="Q11" s="2614"/>
      <c r="R11" s="2614"/>
    </row>
    <row r="12" spans="1:28">
      <c r="A12" s="2578" t="s">
        <v>2679</v>
      </c>
      <c r="B12" s="2575" t="s">
        <v>3172</v>
      </c>
      <c r="C12" s="328" t="s">
        <v>2680</v>
      </c>
      <c r="D12" s="2579" t="s">
        <v>2681</v>
      </c>
      <c r="E12" s="2579" t="s">
        <v>2682</v>
      </c>
      <c r="F12" s="2579" t="s">
        <v>2683</v>
      </c>
      <c r="G12" s="2579" t="s">
        <v>2684</v>
      </c>
      <c r="H12" s="2579" t="s">
        <v>2685</v>
      </c>
      <c r="I12" s="2579" t="s">
        <v>2686</v>
      </c>
      <c r="J12" s="2614"/>
      <c r="K12" s="2791"/>
      <c r="L12" s="2788"/>
      <c r="M12" s="2788"/>
      <c r="N12" s="2614"/>
      <c r="O12" s="2625"/>
      <c r="P12" s="2614"/>
      <c r="Q12" s="2614"/>
      <c r="R12" s="2614"/>
    </row>
    <row r="13" spans="1:28">
      <c r="A13" s="1193"/>
      <c r="B13" s="2580"/>
      <c r="C13" s="2581" t="s">
        <v>2687</v>
      </c>
      <c r="D13" s="945"/>
      <c r="E13" s="945"/>
      <c r="F13" s="945"/>
      <c r="G13" s="945">
        <f>I13</f>
        <v>58062</v>
      </c>
      <c r="H13" s="945">
        <f>I13</f>
        <v>58062</v>
      </c>
      <c r="I13" s="945">
        <v>58062</v>
      </c>
      <c r="J13" s="2614"/>
      <c r="K13" s="2791"/>
      <c r="L13" s="2788"/>
      <c r="M13" s="2788"/>
      <c r="N13" s="2614"/>
      <c r="O13" s="2625"/>
      <c r="P13" s="2614"/>
      <c r="Q13" s="2614"/>
      <c r="R13" s="2614"/>
    </row>
    <row r="14" spans="1:28">
      <c r="A14" s="1193"/>
      <c r="B14" s="2580"/>
      <c r="C14" s="2581" t="s">
        <v>2688</v>
      </c>
      <c r="D14" s="2582"/>
      <c r="E14" s="2582"/>
      <c r="F14" s="2582"/>
      <c r="G14" s="2582">
        <v>50</v>
      </c>
      <c r="H14" s="2582">
        <v>50</v>
      </c>
      <c r="I14" s="2582">
        <v>50</v>
      </c>
      <c r="J14" s="2614"/>
      <c r="K14" s="2792"/>
      <c r="L14" s="2788"/>
      <c r="M14" s="2788"/>
      <c r="N14" s="2614"/>
      <c r="O14" s="2625"/>
      <c r="P14" s="2614"/>
      <c r="Q14" s="2614"/>
      <c r="R14" s="2614"/>
    </row>
    <row r="15" spans="1:28">
      <c r="A15" s="325"/>
      <c r="B15" s="2583"/>
      <c r="C15" s="2584" t="s">
        <v>2689</v>
      </c>
      <c r="D15" s="2585" t="str">
        <f>IF(B12="出让",IF(D13="","",ROUNDDOWN(MIN((D13-$D$3)/365,D14),2)),D14)</f>
        <v/>
      </c>
      <c r="E15" s="2585" t="str">
        <f>IF(B12="出让",IF(E13="","",ROUNDDOWN(MIN((E13-$D$3)/365,E14),2)),E14)</f>
        <v/>
      </c>
      <c r="F15" s="2585" t="str">
        <f>IF(B12="出让",IF(F13="","",ROUNDDOWN(MIN((F13-$D$3)/365,F14),2)),F14)</f>
        <v/>
      </c>
      <c r="G15" s="2585">
        <f>IF(B12="出让",IF(G13="","",ROUNDDOWN(MIN((G13-$D$3)/365,G14),2)),G14)</f>
        <v>36.630000000000003</v>
      </c>
      <c r="H15" s="2585">
        <f>IF(B12="出让",IF(H13="","",ROUNDDOWN(MIN((H13-$D$3)/365,H14),2)),H14)</f>
        <v>36.630000000000003</v>
      </c>
      <c r="I15" s="2585">
        <f>IF(B12="出让",IF(I13="","",ROUNDDOWN(MIN((I13-$D$3)/365,I14),2)),I14)</f>
        <v>36.630000000000003</v>
      </c>
      <c r="J15" s="2614"/>
      <c r="K15" s="2793"/>
      <c r="L15" s="2626"/>
      <c r="M15" s="2626"/>
      <c r="N15" s="2684"/>
      <c r="O15" s="2626"/>
      <c r="P15" s="2684"/>
      <c r="Q15" s="2614"/>
      <c r="R15" s="2614"/>
    </row>
    <row r="16" spans="1:28">
      <c r="A16" s="2573" t="s">
        <v>2690</v>
      </c>
      <c r="B16" s="3304"/>
      <c r="C16" s="3305"/>
      <c r="D16" s="3306"/>
      <c r="E16" s="2588" t="s">
        <v>2691</v>
      </c>
      <c r="F16" s="3307"/>
      <c r="G16" s="3308"/>
      <c r="H16" s="3308"/>
      <c r="I16" s="3309"/>
      <c r="J16" s="2614"/>
      <c r="K16" s="2793"/>
      <c r="L16" s="2626"/>
      <c r="M16" s="2626"/>
      <c r="N16" s="2684"/>
      <c r="O16" s="2626"/>
      <c r="P16" s="2684"/>
      <c r="Q16" s="2614"/>
      <c r="R16" s="2614"/>
    </row>
    <row r="17" spans="1:28">
      <c r="A17" s="318" t="s">
        <v>2692</v>
      </c>
      <c r="B17" s="307" t="s">
        <v>2693</v>
      </c>
      <c r="C17" s="11">
        <f>'数据-汇总表'!E3</f>
        <v>51495</v>
      </c>
      <c r="D17" s="2495" t="s">
        <v>2694</v>
      </c>
      <c r="E17" s="3310" t="s">
        <v>2695</v>
      </c>
      <c r="F17" s="3311"/>
      <c r="G17" s="3311"/>
      <c r="H17" s="3311"/>
      <c r="I17" s="3312"/>
      <c r="J17" s="2614"/>
      <c r="K17" s="2794"/>
      <c r="L17" s="2626"/>
      <c r="M17" s="2626"/>
      <c r="N17" s="2684"/>
      <c r="O17" s="2626"/>
      <c r="P17" s="2684"/>
      <c r="Q17" s="2614"/>
      <c r="R17" s="2614"/>
      <c r="S17" s="2614"/>
      <c r="T17" s="2614"/>
      <c r="U17" s="2614"/>
      <c r="V17" s="2614"/>
    </row>
    <row r="18" spans="1:28" ht="24.75" thickBot="1">
      <c r="A18" s="2589" t="s">
        <v>2696</v>
      </c>
      <c r="B18" s="1202" t="s">
        <v>2697</v>
      </c>
      <c r="C18" s="2590">
        <f>'数据-汇总表'!D3</f>
        <v>9950.6</v>
      </c>
      <c r="D18" s="1204" t="s">
        <v>2698</v>
      </c>
      <c r="E18" s="3313" t="s">
        <v>2699</v>
      </c>
      <c r="F18" s="3314"/>
      <c r="G18" s="3314"/>
      <c r="H18" s="3314"/>
      <c r="I18" s="3315"/>
      <c r="J18" s="2614"/>
      <c r="K18" s="2794"/>
      <c r="L18" s="2626"/>
      <c r="M18" s="2626"/>
      <c r="N18" s="2684"/>
      <c r="O18" s="2626"/>
      <c r="P18" s="2684"/>
      <c r="Q18" s="2614"/>
      <c r="R18" s="2614"/>
      <c r="S18" s="2614"/>
      <c r="T18" s="2614"/>
      <c r="U18" s="2614"/>
      <c r="V18" s="2614"/>
    </row>
    <row r="19" spans="1:28" ht="37.5" thickTop="1" thickBot="1">
      <c r="A19" s="332" t="s">
        <v>1499</v>
      </c>
      <c r="B19" s="312" t="s">
        <v>2700</v>
      </c>
      <c r="C19" s="1698"/>
      <c r="D19" s="1699" t="s">
        <v>2701</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2702</v>
      </c>
      <c r="B20" s="3300" t="s">
        <v>2703</v>
      </c>
      <c r="C20" s="3301"/>
      <c r="D20" s="3302" t="s">
        <v>2704</v>
      </c>
      <c r="E20" s="3303"/>
      <c r="F20" s="2823" t="s">
        <v>1500</v>
      </c>
      <c r="G20" s="2840"/>
      <c r="H20" s="2840"/>
      <c r="I20" s="2840"/>
      <c r="J20" s="2614"/>
      <c r="K20" s="3299"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2706</v>
      </c>
      <c r="C21" s="2810" t="s">
        <v>1501</v>
      </c>
      <c r="D21" s="1703" t="s">
        <v>2707</v>
      </c>
      <c r="E21" s="2811" t="s">
        <v>1501</v>
      </c>
      <c r="F21" s="2824"/>
      <c r="G21" s="2840"/>
      <c r="H21" s="2840"/>
      <c r="I21" s="2840"/>
      <c r="J21" s="2614"/>
      <c r="K21" s="329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2708</v>
      </c>
      <c r="C22" s="2810" t="s">
        <v>1502</v>
      </c>
      <c r="D22" s="2839"/>
      <c r="E22" s="2839"/>
      <c r="F22" s="2839"/>
      <c r="G22" s="2840"/>
      <c r="H22" s="2840"/>
      <c r="I22" s="2840"/>
      <c r="J22" s="2614"/>
      <c r="K22" s="329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2709</v>
      </c>
      <c r="B23" s="2677" t="s">
        <v>2710</v>
      </c>
      <c r="C23" s="2814"/>
      <c r="D23" s="2815" t="s">
        <v>2710</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7" t="s">
        <v>2711</v>
      </c>
      <c r="B27" s="325" t="s">
        <v>2712</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7"/>
      <c r="B28" s="307" t="s">
        <v>2713</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7"/>
      <c r="B29" s="307" t="s">
        <v>2714</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8"/>
      <c r="B30" s="307" t="s">
        <v>2715</v>
      </c>
      <c r="C30" s="3319"/>
      <c r="D30" s="3320"/>
      <c r="E30" s="2840"/>
      <c r="F30" s="2840"/>
      <c r="G30" s="2840"/>
      <c r="H30" s="2840"/>
      <c r="I30" s="2840"/>
      <c r="J30" s="2614"/>
      <c r="K30" s="2791"/>
      <c r="L30" s="2788"/>
      <c r="M30" s="2788"/>
      <c r="N30" s="2614"/>
      <c r="O30" s="2625"/>
      <c r="P30" s="2614"/>
      <c r="Q30" s="2614"/>
      <c r="R30" s="2614"/>
      <c r="S30" s="2614"/>
      <c r="T30" s="2614"/>
      <c r="U30" s="2614"/>
      <c r="V30" s="2614"/>
    </row>
    <row r="31" spans="1:28">
      <c r="A31" s="3321" t="s">
        <v>2716</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22"/>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22"/>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2717</v>
      </c>
      <c r="B34" s="2164"/>
      <c r="C34" s="2164"/>
      <c r="D34" s="2164"/>
      <c r="E34" s="2164"/>
      <c r="F34" s="2164"/>
      <c r="G34" s="2164"/>
      <c r="H34" s="2164"/>
      <c r="I34" s="2840"/>
      <c r="J34" s="2614"/>
      <c r="K34" s="2602">
        <f>COUNTIF(B34:H34,"——")</f>
        <v>0</v>
      </c>
      <c r="L34" s="328" t="s">
        <v>2718</v>
      </c>
      <c r="M34" s="328" t="s">
        <v>2719</v>
      </c>
      <c r="N34" s="328" t="s">
        <v>2720</v>
      </c>
      <c r="O34" s="328" t="s">
        <v>2721</v>
      </c>
      <c r="P34" s="328" t="s">
        <v>2722</v>
      </c>
      <c r="Q34" s="328" t="s">
        <v>2723</v>
      </c>
      <c r="R34" s="328" t="s">
        <v>2724</v>
      </c>
      <c r="S34" s="3316" t="s">
        <v>2725</v>
      </c>
      <c r="T34" s="2603" t="str">
        <f>NUMBERSTRING(7-K34,1)&amp;"通"</f>
        <v>七通</v>
      </c>
      <c r="U34" s="2614"/>
      <c r="V34" s="2614"/>
    </row>
    <row r="35" spans="1:30">
      <c r="A35" s="2604"/>
      <c r="B35" s="3323" t="s">
        <v>2726</v>
      </c>
      <c r="C35" s="3323"/>
      <c r="D35" s="3323"/>
      <c r="E35" s="3323"/>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16"/>
      <c r="T35" s="334" t="str">
        <f>IF(T34="一通",L35,IF(T34="二通",M35,IF(T34="三通",N35,IF(T34="四通",O35,IF(T34="五通",P35,IF(T34="六通",Q35,R35))))))</f>
        <v>、、、、、、</v>
      </c>
      <c r="U35" s="2614"/>
      <c r="V35" s="2614"/>
    </row>
    <row r="36" spans="1:30">
      <c r="A36" s="2605"/>
      <c r="B36" s="672" t="s">
        <v>2682</v>
      </c>
      <c r="C36" s="672" t="s">
        <v>2683</v>
      </c>
      <c r="D36" s="672" t="s">
        <v>2681</v>
      </c>
      <c r="E36" s="672" t="s">
        <v>2686</v>
      </c>
      <c r="F36" s="2846"/>
      <c r="G36" s="2840"/>
      <c r="H36" s="2840"/>
      <c r="I36" s="2840"/>
      <c r="J36" s="2614"/>
      <c r="K36" s="2791"/>
      <c r="L36" s="2788"/>
      <c r="M36" s="2788"/>
      <c r="N36" s="2614"/>
      <c r="O36" s="2625"/>
      <c r="P36" s="2614"/>
      <c r="Q36" s="2614"/>
      <c r="R36" s="2614"/>
      <c r="S36" s="2614"/>
      <c r="T36" s="2614"/>
      <c r="U36" s="2614"/>
      <c r="V36" s="2614"/>
    </row>
    <row r="37" spans="1:30">
      <c r="A37" s="2806" t="s">
        <v>2727</v>
      </c>
      <c r="B37" s="2606"/>
      <c r="C37" s="2606"/>
      <c r="D37" s="2606"/>
      <c r="E37" s="2606" t="s">
        <v>522</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2728</v>
      </c>
      <c r="B38" s="2607"/>
      <c r="C38" s="2607"/>
      <c r="D38" s="2607"/>
      <c r="E38" s="2607" t="s">
        <v>355</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2729</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2730</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2731</v>
      </c>
      <c r="B42" s="11" t="s">
        <v>2732</v>
      </c>
      <c r="C42" s="11" t="s">
        <v>2733</v>
      </c>
      <c r="D42" s="11" t="s">
        <v>2734</v>
      </c>
      <c r="E42" s="11" t="s">
        <v>2735</v>
      </c>
      <c r="F42" s="11" t="s">
        <v>2736</v>
      </c>
      <c r="G42" s="11" t="s">
        <v>2737</v>
      </c>
      <c r="H42" s="11" t="s">
        <v>2738</v>
      </c>
      <c r="I42" s="11" t="s">
        <v>2739</v>
      </c>
      <c r="J42" s="2802" t="s">
        <v>2740</v>
      </c>
      <c r="K42" s="2803" t="s">
        <v>2741</v>
      </c>
      <c r="L42" s="2803" t="s">
        <v>2742</v>
      </c>
      <c r="M42" s="2803" t="s">
        <v>2743</v>
      </c>
      <c r="N42" s="2796" t="s">
        <v>2744</v>
      </c>
      <c r="O42" s="2796" t="s">
        <v>2745</v>
      </c>
      <c r="P42" s="2796" t="s">
        <v>2746</v>
      </c>
      <c r="Q42" s="2797" t="s">
        <v>2747</v>
      </c>
      <c r="R42" s="2797" t="s">
        <v>2748</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hidden="1" customWidth="1"/>
    <col min="31" max="31" width="9.75" style="1708" hidden="1" customWidth="1"/>
    <col min="32" max="37" width="9.5" style="1708" hidden="1" customWidth="1"/>
    <col min="38"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1511</v>
      </c>
      <c r="AZ2" s="1160"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10734.17</v>
      </c>
      <c r="B3" s="14">
        <f>IF(C3="否",G5-AT5,G5)</f>
        <v>55550</v>
      </c>
      <c r="C3" s="1715" t="s">
        <v>3179</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55550</v>
      </c>
      <c r="H5" s="16">
        <f t="shared" ref="H5:AT5" si="0">SUM(H13:H656)</f>
        <v>44389</v>
      </c>
      <c r="I5" s="16">
        <f t="shared" si="0"/>
        <v>36484</v>
      </c>
      <c r="J5" s="16">
        <f t="shared" si="0"/>
        <v>0</v>
      </c>
      <c r="K5" s="16">
        <f t="shared" si="0"/>
        <v>7905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7106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270</v>
      </c>
      <c r="AM5" s="16">
        <f t="shared" si="0"/>
        <v>0</v>
      </c>
      <c r="AN5" s="16">
        <f t="shared" si="0"/>
        <v>6836</v>
      </c>
      <c r="AO5" s="16">
        <f t="shared" si="0"/>
        <v>0</v>
      </c>
      <c r="AP5" s="16">
        <f t="shared" si="0"/>
        <v>0</v>
      </c>
      <c r="AQ5" s="16">
        <f t="shared" si="0"/>
        <v>0</v>
      </c>
      <c r="AR5" s="16">
        <f t="shared" si="0"/>
        <v>0</v>
      </c>
      <c r="AS5" s="16">
        <f t="shared" si="0"/>
        <v>0</v>
      </c>
      <c r="AT5" s="16">
        <f t="shared" si="0"/>
        <v>4055</v>
      </c>
      <c r="AU5" s="1480"/>
      <c r="AV5" s="15" t="s">
        <v>1514</v>
      </c>
      <c r="AW5" s="1481"/>
      <c r="AX5" s="1481"/>
      <c r="AY5" s="17" t="s">
        <v>3</v>
      </c>
      <c r="AZ5" s="18">
        <f t="shared" ref="AZ5:BT5" si="1">SUM(AZ13:AZ656)</f>
        <v>51495</v>
      </c>
      <c r="BA5" s="18">
        <f t="shared" si="1"/>
        <v>44389</v>
      </c>
      <c r="BB5" s="18">
        <f t="shared" si="1"/>
        <v>36484</v>
      </c>
      <c r="BC5" s="18">
        <f t="shared" si="1"/>
        <v>7905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7106</v>
      </c>
      <c r="BM5" s="18">
        <f t="shared" si="1"/>
        <v>0</v>
      </c>
      <c r="BN5" s="18">
        <f t="shared" si="1"/>
        <v>0</v>
      </c>
      <c r="BO5" s="18">
        <f t="shared" si="1"/>
        <v>0</v>
      </c>
      <c r="BP5" s="18">
        <f t="shared" si="1"/>
        <v>0</v>
      </c>
      <c r="BQ5" s="18">
        <f t="shared" si="1"/>
        <v>270</v>
      </c>
      <c r="BR5" s="18">
        <f t="shared" si="1"/>
        <v>6836</v>
      </c>
      <c r="BS5" s="18">
        <f t="shared" si="1"/>
        <v>0</v>
      </c>
      <c r="BT5" s="19">
        <f t="shared" si="1"/>
        <v>0</v>
      </c>
    </row>
    <row r="6" spans="1:72" s="1724" customFormat="1" ht="12.75">
      <c r="A6" s="15" t="s">
        <v>1515</v>
      </c>
      <c r="B6" s="1721"/>
      <c r="C6" s="1721"/>
      <c r="D6" s="1722"/>
      <c r="E6" s="16">
        <f>H6+AC6+AT6</f>
        <v>10734.17</v>
      </c>
      <c r="F6" s="16" t="s">
        <v>1</v>
      </c>
      <c r="G6" s="16" t="s">
        <v>2</v>
      </c>
      <c r="H6" s="20">
        <f>SUMIF(I$12:AB$12,"总值",I6:AB6)</f>
        <v>8577.48</v>
      </c>
      <c r="I6" s="16">
        <f t="shared" ref="I6:AB6" si="2">ROUND($A$3*I5/$B$3,2)</f>
        <v>7049.96</v>
      </c>
      <c r="J6" s="16">
        <f t="shared" si="2"/>
        <v>0</v>
      </c>
      <c r="K6" s="16">
        <f t="shared" si="2"/>
        <v>1527.52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1373.1200000000001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52.17</v>
      </c>
      <c r="AM6" s="16">
        <f t="shared" si="3"/>
        <v>0</v>
      </c>
      <c r="AN6" s="16">
        <f t="shared" si="3"/>
        <v>1320.95</v>
      </c>
      <c r="AO6" s="16">
        <f t="shared" si="3"/>
        <v>0</v>
      </c>
      <c r="AP6" s="16">
        <f t="shared" si="3"/>
        <v>0</v>
      </c>
      <c r="AQ6" s="16">
        <f t="shared" si="3"/>
        <v>0</v>
      </c>
      <c r="AR6" s="16">
        <f t="shared" si="3"/>
        <v>0</v>
      </c>
      <c r="AS6" s="16">
        <f t="shared" si="3"/>
        <v>0</v>
      </c>
      <c r="AT6" s="20">
        <f>IF(C3="是",ROUND($A$3*AT5/$B$3,2),0)</f>
        <v>783.57</v>
      </c>
      <c r="AU6" s="1723"/>
      <c r="AV6" s="15" t="s">
        <v>1515</v>
      </c>
      <c r="AW6" s="1721"/>
      <c r="AX6" s="1721"/>
      <c r="AY6" s="21">
        <f>IF(AY3&gt;0,AY3,ROUND($A$3*AZ5/$B$3,2))</f>
        <v>9950.6</v>
      </c>
      <c r="AZ6" s="16" t="s">
        <v>3</v>
      </c>
      <c r="BA6" s="16">
        <f>ROUND($AY$6*BA5/$AZ$5,2)</f>
        <v>8577.48</v>
      </c>
      <c r="BB6" s="16">
        <f>ROUND($AY$6*BB5/$AZ$5,2)</f>
        <v>7049.96</v>
      </c>
      <c r="BC6" s="16">
        <f t="shared" ref="BC6:BH6" si="4">ROUND($AY$6*BC5/$AZ$5,2)</f>
        <v>1527.52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1373.12</v>
      </c>
      <c r="BM6" s="16">
        <f t="shared" si="5"/>
        <v>0</v>
      </c>
      <c r="BN6" s="16">
        <f t="shared" si="5"/>
        <v>0</v>
      </c>
      <c r="BO6" s="16">
        <f t="shared" si="5"/>
        <v>0</v>
      </c>
      <c r="BP6" s="16">
        <f t="shared" si="5"/>
        <v>0</v>
      </c>
      <c r="BQ6" s="16">
        <f t="shared" si="5"/>
        <v>52.17</v>
      </c>
      <c r="BR6" s="16">
        <f t="shared" si="5"/>
        <v>1320.95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8"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3181</v>
      </c>
      <c r="J9" s="898"/>
      <c r="K9" s="1738" t="s">
        <v>3185</v>
      </c>
      <c r="L9" s="898"/>
      <c r="M9" s="1738"/>
      <c r="N9" s="898"/>
      <c r="O9" s="1738"/>
      <c r="P9" s="898"/>
      <c r="Q9" s="1738"/>
      <c r="R9" s="898"/>
      <c r="S9" s="1738"/>
      <c r="T9" s="898"/>
      <c r="U9" s="1738"/>
      <c r="V9" s="898"/>
      <c r="W9" s="1738"/>
      <c r="X9" s="1739"/>
      <c r="Y9" s="1738"/>
      <c r="Z9" s="898"/>
      <c r="AA9" s="1738"/>
      <c r="AB9" s="898"/>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6</v>
      </c>
      <c r="J10" s="898"/>
      <c r="K10" s="1744" t="s">
        <v>3186</v>
      </c>
      <c r="L10" s="898"/>
      <c r="M10" s="1744"/>
      <c r="N10" s="898"/>
      <c r="O10" s="1744"/>
      <c r="P10" s="898"/>
      <c r="Q10" s="1744"/>
      <c r="R10" s="898"/>
      <c r="S10" s="1744"/>
      <c r="T10" s="898"/>
      <c r="U10" s="1744"/>
      <c r="V10" s="898"/>
      <c r="W10" s="1744"/>
      <c r="X10" s="898"/>
      <c r="Y10" s="1744"/>
      <c r="Z10" s="898"/>
      <c r="AA10" s="1744"/>
      <c r="AB10" s="898"/>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f>M9</f>
        <v>0</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3182</v>
      </c>
      <c r="J11" s="1750"/>
      <c r="K11" s="1749" t="s">
        <v>3186</v>
      </c>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工业</v>
      </c>
      <c r="BC11" s="1734" t="str">
        <f>K10</f>
        <v>车库</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办公楼</v>
      </c>
      <c r="BC12" s="1759" t="str">
        <f>K11</f>
        <v>车库</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t="s">
        <v>3180</v>
      </c>
      <c r="C13" s="1162" t="s">
        <v>3178</v>
      </c>
      <c r="D13" s="1760" t="s">
        <v>3179</v>
      </c>
      <c r="E13" s="16">
        <f>IF($C$3="是",ROUND($A$3*G13/$B$3,2),ROUND($A$3*(G13-AT13)/$B$3,2))</f>
        <v>3445.18</v>
      </c>
      <c r="F13" s="32"/>
      <c r="G13" s="33">
        <f>H13+AC13+AT13</f>
        <v>17829</v>
      </c>
      <c r="H13" s="20">
        <f>SUMIF(I$12:AB$12,"总值",I13:AB13)</f>
        <v>17533</v>
      </c>
      <c r="I13" s="1761">
        <v>17533</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250</v>
      </c>
      <c r="AD13" s="1762"/>
      <c r="AE13" s="1762"/>
      <c r="AF13" s="1762"/>
      <c r="AG13" s="1762"/>
      <c r="AH13" s="1762"/>
      <c r="AI13" s="1762"/>
      <c r="AJ13" s="1762"/>
      <c r="AK13" s="1762"/>
      <c r="AL13" s="1762">
        <v>250</v>
      </c>
      <c r="AM13" s="1762"/>
      <c r="AN13" s="1762"/>
      <c r="AO13" s="1762"/>
      <c r="AP13" s="1762"/>
      <c r="AQ13" s="1762"/>
      <c r="AR13" s="1762"/>
      <c r="AS13" s="1762"/>
      <c r="AT13" s="1763">
        <v>46</v>
      </c>
      <c r="AU13" s="1764"/>
      <c r="AV13" s="11">
        <f t="shared" ref="AV13:AX17" si="6">A13</f>
        <v>0</v>
      </c>
      <c r="AW13" s="11" t="str">
        <f t="shared" si="6"/>
        <v>14层</v>
      </c>
      <c r="AX13" s="11" t="str">
        <f t="shared" si="6"/>
        <v>A座科研楼</v>
      </c>
      <c r="AY13" s="1483">
        <f>ROUND($AY$6*AZ13/$AZ$5,2)</f>
        <v>3436.29</v>
      </c>
      <c r="AZ13" s="16">
        <f>BA13+BL13</f>
        <v>17783</v>
      </c>
      <c r="BA13" s="16">
        <f>SUM(BB13:BK13)</f>
        <v>17533</v>
      </c>
      <c r="BB13" s="16">
        <f>IF($D13="是",I13-J13,0)</f>
        <v>17533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250</v>
      </c>
      <c r="BM13" s="16">
        <f>IF($D13="是",AD13-AE13,0)</f>
        <v>0</v>
      </c>
      <c r="BN13" s="16">
        <f>IF($D13="是",AF13-AG13,0)</f>
        <v>0</v>
      </c>
      <c r="BO13" s="16">
        <f>IF($D13="是",AH13-AI13,0)</f>
        <v>0</v>
      </c>
      <c r="BP13" s="16">
        <f>IF($D13="是",AJ13-AK13,0)</f>
        <v>0</v>
      </c>
      <c r="BQ13" s="16">
        <f>IF($D13="是",AL13-AM13,0)</f>
        <v>250</v>
      </c>
      <c r="BR13" s="16">
        <f>IF($D13="是",AN13-AO13,0)</f>
        <v>0</v>
      </c>
      <c r="BS13" s="16">
        <f>IF($D13="是",AP13-AQ13,0)</f>
        <v>0</v>
      </c>
      <c r="BT13" s="22">
        <f>IF($D13="是",AR13-AS13,0)</f>
        <v>0</v>
      </c>
    </row>
    <row r="14" spans="1:72" s="1714" customFormat="1" ht="12.75">
      <c r="A14" s="1162"/>
      <c r="B14" s="1162" t="s">
        <v>3180</v>
      </c>
      <c r="C14" s="1162" t="s">
        <v>3183</v>
      </c>
      <c r="D14" s="1760" t="s">
        <v>3179</v>
      </c>
      <c r="E14" s="16">
        <f>IF($C$3="是",ROUND($A$3*G14/$B$3,2),ROUND($A$3*(G14-AT14)/$B$3,2))</f>
        <v>3661.98</v>
      </c>
      <c r="F14" s="32"/>
      <c r="G14" s="33">
        <f>H14+AC14+AT14</f>
        <v>18951</v>
      </c>
      <c r="H14" s="20">
        <f>SUMIF(I$12:AB$12,"总值",I14:AB14)</f>
        <v>18951</v>
      </c>
      <c r="I14" s="1761">
        <v>18951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14层</v>
      </c>
      <c r="AX14" s="11" t="str">
        <f t="shared" si="6"/>
        <v>B座科研楼</v>
      </c>
      <c r="AY14" s="1483">
        <f>ROUND($AY$6*AZ14/$AZ$5,2)</f>
        <v>3661.98</v>
      </c>
      <c r="AZ14" s="16">
        <f>BA14+BL14</f>
        <v>18951</v>
      </c>
      <c r="BA14" s="16">
        <f>SUM(BB14:BK14)</f>
        <v>18951</v>
      </c>
      <c r="BB14" s="16">
        <f>IF($D14="是",I14-J14,0)</f>
        <v>18951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3241" t="s">
        <v>3184</v>
      </c>
      <c r="D15" s="1760" t="s">
        <v>3179</v>
      </c>
      <c r="E15" s="16">
        <f>IF($C$3="是",ROUND($A$3*G15/$B$3,2),ROUND($A$3*(G15-AT15)/$B$3,2))</f>
        <v>3627.01</v>
      </c>
      <c r="F15" s="32"/>
      <c r="G15" s="33">
        <f>H15+AC15+AT15</f>
        <v>18770</v>
      </c>
      <c r="H15" s="20">
        <f>SUMIF(I$12:AB$12,"总值",I15:AB15)</f>
        <v>7905</v>
      </c>
      <c r="I15" s="1761"/>
      <c r="J15" s="1761"/>
      <c r="K15" s="1761">
        <v>7905</v>
      </c>
      <c r="L15" s="1761"/>
      <c r="M15" s="1761"/>
      <c r="N15" s="1761"/>
      <c r="O15" s="1761"/>
      <c r="P15" s="1761"/>
      <c r="Q15" s="1761"/>
      <c r="R15" s="1761"/>
      <c r="S15" s="1761"/>
      <c r="T15" s="1761"/>
      <c r="U15" s="1761"/>
      <c r="V15" s="1761"/>
      <c r="W15" s="1761"/>
      <c r="X15" s="1761"/>
      <c r="Y15" s="1761"/>
      <c r="Z15" s="1761"/>
      <c r="AA15" s="1761"/>
      <c r="AB15" s="1761"/>
      <c r="AC15" s="16">
        <f>SUMIF(AD$12:AS$12,"总值",AD15:AS15)</f>
        <v>6856</v>
      </c>
      <c r="AD15" s="1762"/>
      <c r="AE15" s="1762"/>
      <c r="AF15" s="1762"/>
      <c r="AG15" s="1762"/>
      <c r="AH15" s="1762"/>
      <c r="AI15" s="1762"/>
      <c r="AJ15" s="1762"/>
      <c r="AK15" s="1762"/>
      <c r="AL15" s="1762">
        <v>20</v>
      </c>
      <c r="AM15" s="1762"/>
      <c r="AN15" s="1762">
        <f>2270+1050+276+3240</f>
        <v>6836</v>
      </c>
      <c r="AO15" s="1762"/>
      <c r="AP15" s="1762"/>
      <c r="AQ15" s="1762"/>
      <c r="AR15" s="1762"/>
      <c r="AS15" s="1762"/>
      <c r="AT15" s="1763">
        <f>3719+290</f>
        <v>4009</v>
      </c>
      <c r="AU15" s="1764"/>
      <c r="AV15" s="11">
        <f t="shared" si="6"/>
        <v>0</v>
      </c>
      <c r="AW15" s="11">
        <f t="shared" si="6"/>
        <v>0</v>
      </c>
      <c r="AX15" s="11" t="str">
        <f t="shared" si="6"/>
        <v>地下车库</v>
      </c>
      <c r="AY15" s="1483">
        <f>ROUND($AY$6*AZ15/$AZ$5,2)</f>
        <v>2852.33</v>
      </c>
      <c r="AZ15" s="16">
        <f>BA15+BL15</f>
        <v>14761</v>
      </c>
      <c r="BA15" s="16">
        <f>SUM(BB15:BK15)</f>
        <v>7905</v>
      </c>
      <c r="BB15" s="16">
        <f>IF($D15="是",I15-J15,0)</f>
        <v>0</v>
      </c>
      <c r="BC15" s="16">
        <f>IF($D15="是",K15-L15,0)</f>
        <v>7905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6856</v>
      </c>
      <c r="BM15" s="16">
        <f>IF($D15="是",AD15-AE15,0)</f>
        <v>0</v>
      </c>
      <c r="BN15" s="16">
        <f>IF($D15="是",AF15-AG15,0)</f>
        <v>0</v>
      </c>
      <c r="BO15" s="16">
        <f>IF($D15="是",AH15-AI15,0)</f>
        <v>0</v>
      </c>
      <c r="BP15" s="16">
        <f>IF($D15="是",AJ15-AK15,0)</f>
        <v>0</v>
      </c>
      <c r="BQ15" s="16">
        <f>IF($D15="是",AL15-AM15,0)</f>
        <v>20</v>
      </c>
      <c r="BR15" s="16">
        <f>IF($D15="是",AN15-AO15,0)</f>
        <v>6836</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C29" sqref="C2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35" t="s">
        <v>1574</v>
      </c>
      <c r="B2" s="3335"/>
      <c r="C2" s="3335"/>
      <c r="D2" s="884" t="s">
        <v>1550</v>
      </c>
      <c r="E2" s="1774" t="s">
        <v>1551</v>
      </c>
      <c r="F2" s="2835"/>
      <c r="G2" s="2826"/>
      <c r="H2" s="2827"/>
      <c r="I2" s="2498" t="s">
        <v>1575</v>
      </c>
      <c r="J2" s="2835"/>
      <c r="K2" s="2835"/>
      <c r="L2" s="2835"/>
      <c r="M2" s="2835"/>
      <c r="N2" s="2837"/>
      <c r="O2" s="2835"/>
      <c r="P2" s="2835"/>
    </row>
    <row r="3" spans="1:16" ht="15.75" thickBot="1">
      <c r="A3" s="3336" t="s">
        <v>1548</v>
      </c>
      <c r="B3" s="3336"/>
      <c r="C3" s="3336"/>
      <c r="D3" s="46">
        <f>'数据-基础表'!AY6</f>
        <v>9950.6</v>
      </c>
      <c r="E3" s="46">
        <f>'数据-基础表'!AZ5</f>
        <v>51495</v>
      </c>
      <c r="F3" s="2835"/>
      <c r="G3" s="1259"/>
      <c r="H3" s="1137" t="s">
        <v>1549</v>
      </c>
      <c r="I3" s="944">
        <f>ROUND('数据-基础表'!B3/'数据-基础表'!A3,2)</f>
        <v>5.18</v>
      </c>
      <c r="J3" s="2835"/>
      <c r="K3" s="2835"/>
      <c r="L3" s="2835"/>
      <c r="M3" s="2835"/>
      <c r="N3" s="2837"/>
      <c r="O3" s="2835"/>
      <c r="P3" s="2835"/>
    </row>
    <row r="4" spans="1:16" ht="15">
      <c r="A4" s="3337"/>
      <c r="B4" s="3338"/>
      <c r="C4" s="3339"/>
      <c r="D4" s="1776" t="s">
        <v>1550</v>
      </c>
      <c r="E4" s="1777" t="s">
        <v>1551</v>
      </c>
      <c r="F4" s="2835"/>
      <c r="G4" s="2828" t="s">
        <v>1576</v>
      </c>
      <c r="H4" s="1137" t="s">
        <v>1556</v>
      </c>
      <c r="I4" s="944">
        <f>ROUND(SUMIF('数据-基础表'!I9:AS9,"地上",'数据-基础表'!I5:AS5)/'数据-基础表'!A3,2)</f>
        <v>3.42</v>
      </c>
      <c r="J4" s="2835"/>
      <c r="K4" s="2835"/>
      <c r="L4" s="2835"/>
      <c r="M4" s="2835"/>
      <c r="N4" s="2837"/>
      <c r="O4" s="2835"/>
      <c r="P4" s="2835"/>
    </row>
    <row r="5" spans="1:16">
      <c r="A5" s="47" t="s">
        <v>1552</v>
      </c>
      <c r="B5" s="3340" t="s">
        <v>1553</v>
      </c>
      <c r="C5" s="3340"/>
      <c r="D5" s="48">
        <f>ROUND($D$3*E5/$E$3,2)</f>
        <v>0</v>
      </c>
      <c r="E5" s="49">
        <f>SUMIF('数据-基础表'!$11:$11,"住宅",'数据-基础表'!$5:$5)</f>
        <v>0</v>
      </c>
      <c r="F5" s="2835"/>
      <c r="G5" s="1259"/>
      <c r="H5" s="1137" t="s">
        <v>1549</v>
      </c>
      <c r="I5" s="944">
        <f>ROUND(E31/D31,2)</f>
        <v>5.18</v>
      </c>
      <c r="J5" s="2835"/>
      <c r="K5" s="2835"/>
      <c r="L5" s="2835"/>
      <c r="M5" s="2835"/>
      <c r="N5" s="2835"/>
      <c r="O5" s="2835"/>
      <c r="P5" s="2835"/>
    </row>
    <row r="6" spans="1:16" ht="15" thickBot="1">
      <c r="A6" s="1779"/>
      <c r="B6" s="3340" t="s">
        <v>1554</v>
      </c>
      <c r="C6" s="3340"/>
      <c r="D6" s="48">
        <f>ROUND($D$3*E6/$E$3,2)</f>
        <v>9950.6</v>
      </c>
      <c r="E6" s="49">
        <f>E3-E5</f>
        <v>51495</v>
      </c>
      <c r="F6" s="2835"/>
      <c r="G6" s="2829" t="s">
        <v>1555</v>
      </c>
      <c r="H6" s="1260" t="s">
        <v>1556</v>
      </c>
      <c r="I6" s="2830">
        <f>ROUND(F31/D31,2)</f>
        <v>3.69</v>
      </c>
      <c r="J6" s="2835"/>
      <c r="K6" s="2835"/>
      <c r="L6" s="2835"/>
      <c r="M6" s="2835"/>
      <c r="N6" s="2835"/>
      <c r="O6" s="2835"/>
      <c r="P6" s="2835"/>
    </row>
    <row r="7" spans="1:16" ht="15.75" thickBot="1">
      <c r="A7" s="3332"/>
      <c r="B7" s="3333"/>
      <c r="C7" s="3334"/>
      <c r="D7" s="1776" t="s">
        <v>1550</v>
      </c>
      <c r="E7" s="1780" t="s">
        <v>1557</v>
      </c>
      <c r="F7" s="2835"/>
      <c r="G7" s="2831" t="s">
        <v>1558</v>
      </c>
      <c r="H7" s="2832"/>
      <c r="I7" s="2833"/>
      <c r="J7" s="2835"/>
      <c r="K7" s="2835"/>
      <c r="L7" s="2835"/>
      <c r="M7" s="2835"/>
      <c r="N7" s="2835"/>
      <c r="O7" s="2835"/>
      <c r="P7" s="2835"/>
    </row>
    <row r="8" spans="1:16">
      <c r="A8" s="47" t="s">
        <v>1559</v>
      </c>
      <c r="B8" s="50" t="s">
        <v>1560</v>
      </c>
      <c r="C8" s="48" t="s">
        <v>1561</v>
      </c>
      <c r="D8" s="48">
        <f t="shared" ref="D8:D15" si="0">ROUND($D$3*E8/$E$3,2)</f>
        <v>7049.96</v>
      </c>
      <c r="E8" s="51">
        <f>SUMIF('数据-基础表'!BB10:BK10,"地上",'数据-基础表'!BB5:BK5)</f>
        <v>36484</v>
      </c>
      <c r="F8" s="2835"/>
      <c r="G8" s="2836"/>
      <c r="H8" s="2836"/>
      <c r="I8" s="2835"/>
      <c r="J8" s="2835"/>
      <c r="K8" s="2835"/>
      <c r="L8" s="2835"/>
      <c r="M8" s="2835"/>
      <c r="N8" s="2835"/>
      <c r="O8" s="2835"/>
      <c r="P8" s="2835"/>
    </row>
    <row r="9" spans="1:16">
      <c r="A9" s="1781"/>
      <c r="B9" s="1782"/>
      <c r="C9" s="48" t="s">
        <v>1562</v>
      </c>
      <c r="D9" s="48">
        <f t="shared" si="0"/>
        <v>0</v>
      </c>
      <c r="E9" s="52">
        <v>0</v>
      </c>
      <c r="F9" s="2835"/>
      <c r="G9" s="2836"/>
      <c r="H9" s="2836"/>
      <c r="I9" s="2835"/>
      <c r="J9" s="2835"/>
      <c r="K9" s="2835"/>
      <c r="L9" s="2835"/>
      <c r="M9" s="2835"/>
      <c r="N9" s="2835"/>
      <c r="O9" s="2835"/>
      <c r="P9" s="2835"/>
    </row>
    <row r="10" spans="1:16">
      <c r="A10" s="1781"/>
      <c r="B10" s="1782"/>
      <c r="C10" s="48" t="s">
        <v>1571</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1563</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1564</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1565</v>
      </c>
      <c r="D13" s="48">
        <f t="shared" si="0"/>
        <v>1527.52</v>
      </c>
      <c r="E13" s="51">
        <f>SUMPRODUCT(('数据-基础表'!BB10:BK10="地下")*('数据-基础表'!BB11:BK11="车库")*('数据-基础表'!BB5:BK5))</f>
        <v>7905</v>
      </c>
      <c r="F13" s="2835"/>
      <c r="G13" s="2836"/>
      <c r="H13" s="2836"/>
      <c r="I13" s="2835"/>
      <c r="J13" s="2835"/>
      <c r="K13" s="2835"/>
      <c r="L13" s="2835"/>
      <c r="M13" s="2835"/>
      <c r="N13" s="2835"/>
      <c r="O13" s="2835"/>
      <c r="P13" s="2835"/>
    </row>
    <row r="14" spans="1:16">
      <c r="A14" s="1781"/>
      <c r="B14" s="1782"/>
      <c r="C14" s="48" t="s">
        <v>1577</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1572</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1566</v>
      </c>
      <c r="D16" s="50">
        <f>SUM(D8:D15)</f>
        <v>8577.48</v>
      </c>
      <c r="E16" s="53">
        <f>SUM(E8:E15)</f>
        <v>44389</v>
      </c>
      <c r="F16" s="2835"/>
      <c r="G16" s="2836"/>
      <c r="H16" s="1783" t="s">
        <v>1578</v>
      </c>
      <c r="I16" s="1784"/>
      <c r="J16" s="1253"/>
      <c r="K16" s="3329" t="s">
        <v>1578</v>
      </c>
      <c r="L16" s="3330"/>
      <c r="M16" s="3330"/>
      <c r="N16" s="3330"/>
      <c r="O16" s="3330"/>
      <c r="P16" s="3331"/>
    </row>
    <row r="17" spans="1:19" ht="15">
      <c r="A17" s="1785" t="s">
        <v>1579</v>
      </c>
      <c r="B17" s="1786" t="s">
        <v>1580</v>
      </c>
      <c r="C17" s="1787" t="s">
        <v>1581</v>
      </c>
      <c r="D17" s="1788" t="s">
        <v>1569</v>
      </c>
      <c r="E17" s="1789" t="s">
        <v>1570</v>
      </c>
      <c r="F17" s="1790"/>
      <c r="G17" s="1791"/>
      <c r="H17" s="1792" t="s">
        <v>1582</v>
      </c>
      <c r="I17" s="1793" t="s">
        <v>1567</v>
      </c>
      <c r="J17" s="1253"/>
      <c r="K17" s="3326" t="s">
        <v>1583</v>
      </c>
      <c r="L17" s="3327"/>
      <c r="M17" s="3328"/>
      <c r="N17" s="3326" t="s">
        <v>1584</v>
      </c>
      <c r="O17" s="3327"/>
      <c r="P17" s="3328"/>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4" t="s">
        <v>1593</v>
      </c>
      <c r="N18" s="1152" t="s">
        <v>1591</v>
      </c>
      <c r="O18" s="1801" t="s">
        <v>1592</v>
      </c>
      <c r="P18" s="944" t="s">
        <v>1593</v>
      </c>
      <c r="R18" s="1137" t="s">
        <v>1594</v>
      </c>
      <c r="S18" s="1137" t="s">
        <v>1595</v>
      </c>
    </row>
    <row r="19" spans="1:19">
      <c r="A19" s="1802"/>
      <c r="B19" s="50" t="s">
        <v>1568</v>
      </c>
      <c r="C19" s="3242" t="s">
        <v>3188</v>
      </c>
      <c r="D19" s="48">
        <f>ROUND($D$3*E19/$E$3,2)</f>
        <v>7049.96</v>
      </c>
      <c r="E19" s="56">
        <f t="shared" ref="E19:E26" si="1">SUM(F19:G19)</f>
        <v>36484</v>
      </c>
      <c r="F19" s="2975">
        <f>'数据-基础表'!I5</f>
        <v>36484</v>
      </c>
      <c r="G19" s="2976"/>
      <c r="H19" s="678">
        <f>ROUND($D$3*I19/$E$3,2)</f>
        <v>1128.5899999999999</v>
      </c>
      <c r="I19" s="51">
        <f t="shared" ref="I19:I26" si="2">IF($I$17="自定义",P19,M19)</f>
        <v>5840.53</v>
      </c>
      <c r="J19" s="1253"/>
      <c r="K19" s="1252">
        <f t="shared" ref="K19:K26" si="3">ROUND(E$28*E19/E$27,2)</f>
        <v>5840.53</v>
      </c>
      <c r="L19" s="1137">
        <f t="shared" ref="L19:L26" si="4">ROUND(IF(COUNTIF(C19,"*住宅*")&gt;0,E$29*E19/E$32,0),2)</f>
        <v>0</v>
      </c>
      <c r="M19" s="1264">
        <f>K19+L19</f>
        <v>5840.53</v>
      </c>
      <c r="N19" s="1804"/>
      <c r="O19" s="1805"/>
      <c r="P19" s="1264">
        <f>N19+O19</f>
        <v>0</v>
      </c>
      <c r="R19" s="1137">
        <f t="shared" ref="R19:S26" si="5">D19+H19</f>
        <v>8178.55</v>
      </c>
      <c r="S19" s="1138">
        <f t="shared" si="5"/>
        <v>42324.53</v>
      </c>
    </row>
    <row r="20" spans="1:19">
      <c r="A20" s="1806"/>
      <c r="B20" s="50" t="s">
        <v>1596</v>
      </c>
      <c r="C20" s="3242" t="s">
        <v>3189</v>
      </c>
      <c r="D20" s="48">
        <f t="shared" ref="D20:D26" si="6">ROUND($D$3*E20/$E$3,2)</f>
        <v>1527.52</v>
      </c>
      <c r="E20" s="56">
        <f t="shared" si="1"/>
        <v>7905</v>
      </c>
      <c r="F20" s="2975"/>
      <c r="G20" s="2976">
        <f>'数据-基础表'!K5</f>
        <v>7905</v>
      </c>
      <c r="H20" s="678">
        <f t="shared" ref="H20:H26" si="7">ROUND($D$3*I20/$E$3,2)</f>
        <v>244.53</v>
      </c>
      <c r="I20" s="51">
        <f t="shared" si="2"/>
        <v>1265.47</v>
      </c>
      <c r="J20" s="1253"/>
      <c r="K20" s="1252">
        <f t="shared" si="3"/>
        <v>1265.47</v>
      </c>
      <c r="L20" s="1137">
        <f t="shared" si="4"/>
        <v>0</v>
      </c>
      <c r="M20" s="1264">
        <f t="shared" ref="M20:M26" si="8">K20+L20</f>
        <v>1265.47</v>
      </c>
      <c r="N20" s="1804"/>
      <c r="O20" s="1805"/>
      <c r="P20" s="1264">
        <f t="shared" ref="P20:P26" si="9">N20+O20</f>
        <v>0</v>
      </c>
      <c r="R20" s="1137">
        <f t="shared" si="5"/>
        <v>1772.05</v>
      </c>
      <c r="S20" s="1138">
        <f t="shared" si="5"/>
        <v>9170.4699999999993</v>
      </c>
    </row>
    <row r="21" spans="1:19">
      <c r="A21" s="1806"/>
      <c r="B21" s="50" t="s">
        <v>1596</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8577.48</v>
      </c>
      <c r="E27" s="1255">
        <f>IF(SUM(E19:E26)='数据-基础表'!BA5,SUM(E19:E26),IF(F27="地上面积有误","面积有误","地下面积有误"))</f>
        <v>44389</v>
      </c>
      <c r="F27" s="1254">
        <f>IF(SUM(F19:F26)=E8,SUM(F19:F26),"地上面积有误")</f>
        <v>36484</v>
      </c>
      <c r="G27" s="1256">
        <f>SUM(G19:G26)</f>
        <v>7905</v>
      </c>
      <c r="H27" s="1257">
        <f>SUM(H19:H26)</f>
        <v>1373.12</v>
      </c>
      <c r="I27" s="1258">
        <f>SUM(I19:I26)</f>
        <v>7106</v>
      </c>
      <c r="J27" s="1253"/>
      <c r="K27" s="1261">
        <f>SUM(K19:K26)</f>
        <v>7106</v>
      </c>
      <c r="L27" s="1262">
        <f>SUM(L19:L26)</f>
        <v>0</v>
      </c>
      <c r="M27" s="1265">
        <f>SUM(M19:M26)</f>
        <v>7106</v>
      </c>
      <c r="N27" s="1261">
        <f t="shared" ref="N27:O27" si="10">SUM(N19:N26)</f>
        <v>0</v>
      </c>
      <c r="O27" s="1262">
        <f t="shared" si="10"/>
        <v>0</v>
      </c>
      <c r="P27" s="1263">
        <f>SUM(P19:P26)</f>
        <v>0</v>
      </c>
      <c r="R27" s="1139">
        <f>IF(SUM(R19:R26)=$D$3,SUM(R19:R26),SUM(R19:R26)&amp;"误差"&amp;ROUND(SUM(R19:R26)-$D$3,2))</f>
        <v>9950.6</v>
      </c>
      <c r="S27" s="1137">
        <f>IF(SUM(S19:S26)=$E$3,SUM(S19:S26),SUM(S19:S26)&amp;"误差"&amp;ROUND(SUM(S19:S26)-E3,2))</f>
        <v>51495</v>
      </c>
    </row>
    <row r="28" spans="1:19">
      <c r="A28" s="1806"/>
      <c r="B28" s="50" t="s">
        <v>1598</v>
      </c>
      <c r="C28" s="1149" t="s">
        <v>1599</v>
      </c>
      <c r="D28" s="48">
        <f>ROUND($D$3*E28/$E$3,2)</f>
        <v>1373.12</v>
      </c>
      <c r="E28" s="56">
        <f>SUM(F28:G28)</f>
        <v>7106</v>
      </c>
      <c r="F28" s="60">
        <f>'数据-基础表'!BQ5+'数据-基础表'!BS5</f>
        <v>270</v>
      </c>
      <c r="G28" s="61">
        <f>'数据-基础表'!BR5+'数据-基础表'!BT5</f>
        <v>6836</v>
      </c>
      <c r="H28" s="2835"/>
      <c r="I28" s="2835"/>
      <c r="J28" s="2835"/>
      <c r="K28" s="2835"/>
      <c r="L28" s="2835"/>
      <c r="M28" s="2835"/>
      <c r="N28" s="2835"/>
      <c r="O28" s="2835"/>
      <c r="P28" s="2835"/>
    </row>
    <row r="29" spans="1:19">
      <c r="A29" s="1806"/>
      <c r="B29" s="50" t="s">
        <v>1598</v>
      </c>
      <c r="C29" s="1810" t="s">
        <v>1600</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1597</v>
      </c>
      <c r="D30" s="1254">
        <f>SUM(D28:D29)</f>
        <v>1373.12</v>
      </c>
      <c r="E30" s="1254">
        <f>SUM(E28:E29)</f>
        <v>7106</v>
      </c>
      <c r="F30" s="1254">
        <f>SUM(F28:F29)</f>
        <v>270</v>
      </c>
      <c r="G30" s="1256">
        <f>SUM(G28:G29)</f>
        <v>6836</v>
      </c>
      <c r="H30" s="2835"/>
      <c r="I30" s="2835"/>
      <c r="J30" s="2835"/>
      <c r="K30" s="2835"/>
      <c r="L30" s="2835"/>
      <c r="M30" s="2835"/>
      <c r="N30" s="2835"/>
      <c r="O30" s="2835"/>
      <c r="P30" s="2835"/>
    </row>
    <row r="31" spans="1:19" ht="15.75" thickBot="1">
      <c r="A31" s="1812"/>
      <c r="B31" s="1813"/>
      <c r="C31" s="924" t="s">
        <v>1601</v>
      </c>
      <c r="D31" s="684">
        <f>D27+D30</f>
        <v>9950.5999999999985</v>
      </c>
      <c r="E31" s="684">
        <f>E27+E30</f>
        <v>51495</v>
      </c>
      <c r="F31" s="685">
        <f>F27+F30</f>
        <v>36754</v>
      </c>
      <c r="G31" s="686">
        <f>G27+G30</f>
        <v>14741</v>
      </c>
      <c r="H31" s="2835"/>
      <c r="I31" s="2835"/>
      <c r="J31" s="2835"/>
      <c r="K31" s="2835"/>
      <c r="L31" s="2835"/>
      <c r="M31" s="2835"/>
      <c r="N31" s="2835"/>
      <c r="O31" s="2835"/>
      <c r="P31" s="2835"/>
    </row>
    <row r="32" spans="1:19">
      <c r="A32" s="1778"/>
      <c r="B32" s="1778" t="s">
        <v>1602</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12" sqref="W12"/>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8.37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1604</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4"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1624</v>
      </c>
      <c r="O5" s="1838" t="s">
        <v>1625</v>
      </c>
      <c r="P5" s="1841" t="s">
        <v>1626</v>
      </c>
      <c r="Q5" s="65" t="s">
        <v>1627</v>
      </c>
      <c r="R5" s="1842" t="s">
        <v>1628</v>
      </c>
      <c r="S5" s="1843" t="s">
        <v>1629</v>
      </c>
      <c r="T5" s="1844" t="s">
        <v>1630</v>
      </c>
      <c r="U5" s="1157" t="s">
        <v>1631</v>
      </c>
      <c r="V5" s="1158" t="s">
        <v>1632</v>
      </c>
      <c r="W5" s="1158" t="s">
        <v>1633</v>
      </c>
      <c r="X5" s="67"/>
      <c r="Y5" s="66" t="s">
        <v>1634</v>
      </c>
      <c r="Z5" s="1845" t="s">
        <v>1631</v>
      </c>
      <c r="AA5" s="1158" t="s">
        <v>1632</v>
      </c>
      <c r="AB5" s="1158" t="s">
        <v>1633</v>
      </c>
      <c r="AC5" s="67"/>
      <c r="AD5" s="67" t="s">
        <v>1634</v>
      </c>
      <c r="AE5" s="1157" t="s">
        <v>1635</v>
      </c>
      <c r="AF5" s="1158" t="s">
        <v>1636</v>
      </c>
      <c r="AG5" s="66" t="s">
        <v>1637</v>
      </c>
      <c r="AH5" s="1157" t="s">
        <v>1638</v>
      </c>
      <c r="AI5" s="1845" t="s">
        <v>1639</v>
      </c>
      <c r="AJ5" s="1845" t="s">
        <v>1640</v>
      </c>
      <c r="AK5" s="1158" t="s">
        <v>1641</v>
      </c>
      <c r="AL5" s="1158" t="s">
        <v>1642</v>
      </c>
      <c r="AM5" s="66" t="s">
        <v>1643</v>
      </c>
      <c r="AN5" s="1846" t="s">
        <v>1644</v>
      </c>
      <c r="AO5" s="1697" t="s">
        <v>1645</v>
      </c>
      <c r="AP5" s="1139"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科研用房</v>
      </c>
      <c r="B6" s="1849" t="str">
        <f>IF(A6=0,"","经营性")</f>
        <v>经营性</v>
      </c>
      <c r="C6" s="1850" t="s">
        <v>6</v>
      </c>
      <c r="D6" s="947">
        <f>SUMIF(项目基本情况!D$12:I$12,C6,项目基本情况!D$14:I$14)</f>
        <v>50</v>
      </c>
      <c r="E6" s="946">
        <f>IF(B6="","",SUMIF(项目基本情况!D$12:I$12,C6,项目基本情况!D$13:I$13))</f>
        <v>58062</v>
      </c>
      <c r="F6" s="68">
        <f>SUMIF(项目基本情况!D$12:I$12,C6,项目基本情况!D$15:I$15)</f>
        <v>36.630000000000003</v>
      </c>
      <c r="G6" s="69">
        <f>IF(ISERROR(ROUND(POWER(1+H6,D6-F6)*(POWER(1+H6,F6)-1)/(POWER(1+H6,D6)-1),3)),0,ROUND(POWER(1+H6,D6-F6)*(POWER(1+H6,F6)-1)/(POWER(1+H6,D6)-1),3))</f>
        <v>0.91200000000000003</v>
      </c>
      <c r="H6" s="740">
        <f>[2]基准地价修正!$G$24</f>
        <v>0.05</v>
      </c>
      <c r="I6" s="740">
        <v>5.5E-2</v>
      </c>
      <c r="J6" s="70">
        <v>0.08</v>
      </c>
      <c r="K6" s="1141">
        <f>SUMIF('数据-汇总表'!C$19:C$33,A6,'数据-汇总表'!E$19:E$33)</f>
        <v>36484</v>
      </c>
      <c r="L6" s="3245">
        <v>4500</v>
      </c>
      <c r="M6" s="71">
        <f t="shared" ref="M6:M14" si="0">ROUND(K6*L6/10000,0)</f>
        <v>16418</v>
      </c>
      <c r="N6" s="3247">
        <f>P21</f>
        <v>0.56999999999999995</v>
      </c>
      <c r="O6" s="71">
        <f>IF($N$5="成新度","——",ROUND(M6*N6,0))</f>
        <v>9358</v>
      </c>
      <c r="P6" s="72">
        <f>IF($N$5="成新度","——",M6-O6)</f>
        <v>7060</v>
      </c>
      <c r="Q6" s="3249">
        <v>0.15</v>
      </c>
      <c r="R6" s="73">
        <f ca="1">SUMIF('数据-汇总表'!C$19:C$33,A6,'数据-汇总表'!R$19:R$27)</f>
        <v>8178.55</v>
      </c>
      <c r="S6" s="54">
        <f>IF('数据-汇总表'!$I$17="按面积比例",SUMIF('数据-汇总表'!C$19:C$33,A6,'数据-汇总表'!K$19:K$33),SUMIF('数据-汇总表'!C$19:C$33,A6,'数据-汇总表'!N$19:N$33))</f>
        <v>5840.53</v>
      </c>
      <c r="T6" s="1286">
        <f>ROUND($L$14*S6/10000,0)</f>
        <v>2628</v>
      </c>
      <c r="U6" s="74">
        <v>4</v>
      </c>
      <c r="V6" s="75">
        <v>3.5000000000000003E-2</v>
      </c>
      <c r="W6" s="75">
        <v>0.1</v>
      </c>
      <c r="X6" s="1151"/>
      <c r="Y6" s="76">
        <v>1</v>
      </c>
      <c r="Z6" s="77"/>
      <c r="AA6" s="70"/>
      <c r="AB6" s="70"/>
      <c r="AC6" s="1151"/>
      <c r="AD6" s="78"/>
      <c r="AE6" s="1152">
        <f ca="1">IF(AN6="",0,SUMIF(INDIRECT("'"&amp;AN6&amp;"'"&amp;"!E:E"),$AE$5,INDIRECT("'"&amp;AN6&amp;"'"&amp;"!F:F")))</f>
        <v>35.770000000000003</v>
      </c>
      <c r="AF6" s="1482"/>
      <c r="AG6" s="142">
        <f>IF(AF6="",0,AE6-AF6)</f>
        <v>0</v>
      </c>
      <c r="AH6" s="79"/>
      <c r="AI6" s="81">
        <v>365</v>
      </c>
      <c r="AJ6" s="82"/>
      <c r="AK6" s="83">
        <v>1.4999999999999999E-2</v>
      </c>
      <c r="AL6" s="84">
        <v>1.5E-3</v>
      </c>
      <c r="AM6" s="85">
        <v>0.01</v>
      </c>
      <c r="AN6" s="1851" t="s">
        <v>3196</v>
      </c>
      <c r="AO6" s="55">
        <f ca="1">SUMIF(INDIRECT("'"&amp;AN6&amp;"'"&amp;"!A:A"),"总价",INDIRECT("'"&amp;AN6&amp;"'"&amp;"!B:B"))</f>
        <v>86453</v>
      </c>
      <c r="AP6" s="1852">
        <f>IF(C6="住宅",K6*L6,0)</f>
        <v>0</v>
      </c>
      <c r="AQ6" s="55">
        <f>ROUND($L$14*$N$14*S6/10000,0)</f>
        <v>1498</v>
      </c>
      <c r="AR6" s="55">
        <f>ROUND($L$14*(1-$N$14)*S6/10000,0)</f>
        <v>1130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地下车库</v>
      </c>
      <c r="B7" s="1849" t="str">
        <f t="shared" ref="B7:B13" si="1">IF(A7=0,"","经营性")</f>
        <v>经营性</v>
      </c>
      <c r="C7" s="1850" t="s">
        <v>3186</v>
      </c>
      <c r="D7" s="947">
        <f>SUMIF(项目基本情况!D$12:I$12,C7,项目基本情况!D$14:I$14)</f>
        <v>50</v>
      </c>
      <c r="E7" s="946">
        <f>IF(B7="","",SUMIF(项目基本情况!D$12:I$12,C7,项目基本情况!D$13:I$13))</f>
        <v>58062</v>
      </c>
      <c r="F7" s="68">
        <f>SUMIF(项目基本情况!D$12:I$12,C7,项目基本情况!D$15:I$15)</f>
        <v>36.630000000000003</v>
      </c>
      <c r="G7" s="69">
        <f t="shared" ref="G7:G11" si="2">IF(ISERROR(ROUND(POWER(1+H7,D7-F7)*(POWER(1+H7,F7)-1)/(POWER(1+H7,D7)-1),3)),0,ROUND(POWER(1+H7,D7-F7)*(POWER(1+H7,F7)-1)/(POWER(1+H7,D7)-1),3))</f>
        <v>0.91200000000000003</v>
      </c>
      <c r="H7" s="740">
        <f>H6</f>
        <v>0.05</v>
      </c>
      <c r="I7" s="740">
        <f>I6</f>
        <v>5.5E-2</v>
      </c>
      <c r="J7" s="70">
        <f>J6</f>
        <v>0.08</v>
      </c>
      <c r="K7" s="1141">
        <f>SUMIF('数据-汇总表'!C$19:C$33,A7,'数据-汇总表'!E$19:E$33)</f>
        <v>7905</v>
      </c>
      <c r="L7" s="3245">
        <f>L6</f>
        <v>4500</v>
      </c>
      <c r="M7" s="71">
        <f t="shared" si="0"/>
        <v>3557</v>
      </c>
      <c r="N7" s="3247">
        <f>N6</f>
        <v>0.56999999999999995</v>
      </c>
      <c r="O7" s="71">
        <f t="shared" ref="O7:O14" si="3">IF($N$5="成新度","——",ROUND(M7*N7,0))</f>
        <v>2027</v>
      </c>
      <c r="P7" s="72">
        <f t="shared" ref="P7:P14" si="4">IF($N$5="成新度","——",M7-O7)</f>
        <v>1530</v>
      </c>
      <c r="Q7" s="742">
        <v>0.05</v>
      </c>
      <c r="R7" s="73">
        <f ca="1">SUMIF('数据-汇总表'!C$19:C$33,A7,'数据-汇总表'!R$19:R$27)</f>
        <v>1772.05</v>
      </c>
      <c r="S7" s="54">
        <f>IF('数据-汇总表'!$I$17="按面积比例",SUMIF('数据-汇总表'!C$19:C$33,A7,'数据-汇总表'!K$19:K$33),SUMIF('数据-汇总表'!C$19:C$33,A7,'数据-汇总表'!N$19:N$33))</f>
        <v>1265.47</v>
      </c>
      <c r="T7" s="1286">
        <f t="shared" ref="T7:T13" si="5">ROUND($L$14*S7/10000,0)</f>
        <v>569</v>
      </c>
      <c r="U7" s="74">
        <v>0.9</v>
      </c>
      <c r="V7" s="75">
        <v>2.5000000000000001E-2</v>
      </c>
      <c r="W7" s="75">
        <v>0.1</v>
      </c>
      <c r="X7" s="1151"/>
      <c r="Y7" s="76">
        <v>1</v>
      </c>
      <c r="Z7" s="77"/>
      <c r="AA7" s="70"/>
      <c r="AB7" s="70"/>
      <c r="AC7" s="1151"/>
      <c r="AD7" s="78"/>
      <c r="AE7" s="1152">
        <f t="shared" ref="AE7:AE13" ca="1" si="6">IF(AN7="",0,SUMIF(INDIRECT("'"&amp;AN7&amp;"'"&amp;"!E:E"),$AE$5,INDIRECT("'"&amp;AN7&amp;"'"&amp;"!F:F")))</f>
        <v>35.770000000000003</v>
      </c>
      <c r="AF7" s="1482"/>
      <c r="AG7" s="142">
        <f t="shared" ref="AG7:AG13" si="7">IF(AF7="",0,AE7-AF7)</f>
        <v>0</v>
      </c>
      <c r="AH7" s="79"/>
      <c r="AI7" s="81">
        <v>365</v>
      </c>
      <c r="AJ7" s="82"/>
      <c r="AK7" s="83">
        <v>1.4999999999999999E-2</v>
      </c>
      <c r="AL7" s="84">
        <v>1.5E-3</v>
      </c>
      <c r="AM7" s="85">
        <v>0.01</v>
      </c>
      <c r="AN7" s="1851" t="s">
        <v>3198</v>
      </c>
      <c r="AO7" s="55">
        <f t="shared" ref="AO7:AO13" ca="1" si="8">SUMIF(INDIRECT("'"&amp;AN7&amp;"'"&amp;"!A:A"),"总价",INDIRECT("'"&amp;AN7&amp;"'"&amp;"!B:B"))</f>
        <v>2167</v>
      </c>
      <c r="AP7" s="1852">
        <f t="shared" ref="AP7:AP13" si="9">IF(C7="住宅",K7*L7,0)</f>
        <v>0</v>
      </c>
      <c r="AQ7" s="55">
        <f t="shared" ref="AQ7:AQ13" si="10">ROUND($L$14*$N$14*S7/10000,0)</f>
        <v>325</v>
      </c>
      <c r="AR7" s="55">
        <f t="shared" ref="AR7:AR13" si="11">ROUND($L$14*(1-$N$14)*S7/10000,0)</f>
        <v>245</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7"/>
      <c r="E14" s="946"/>
      <c r="F14" s="68"/>
      <c r="G14" s="69"/>
      <c r="H14" s="1140"/>
      <c r="I14" s="1140"/>
      <c r="J14" s="1140"/>
      <c r="K14" s="1141">
        <f>SUMIF('数据-汇总表'!C$19:C$33,A14,'数据-汇总表'!E$19:E$33)</f>
        <v>7106</v>
      </c>
      <c r="L14" s="3246">
        <f>L6</f>
        <v>4500</v>
      </c>
      <c r="M14" s="71">
        <f t="shared" si="0"/>
        <v>3198</v>
      </c>
      <c r="N14" s="3248">
        <f>N6</f>
        <v>0.56999999999999995</v>
      </c>
      <c r="O14" s="71">
        <f t="shared" si="3"/>
        <v>1823</v>
      </c>
      <c r="P14" s="72">
        <f t="shared" si="4"/>
        <v>1375</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2"/>
      <c r="D16" s="1856"/>
      <c r="E16" s="93"/>
      <c r="F16" s="93"/>
      <c r="G16" s="94">
        <f>ROUND(SUMPRODUCT(G6:G13,K6:K13)/SUMPRODUCT((G6:G13&gt;0)*(K6:K13)),3)</f>
        <v>0.91200000000000003</v>
      </c>
      <c r="H16" s="95">
        <f>ROUND(SUMPRODUCT(H6:H13,K6:K13)/SUMPRODUCT((H6:H13&gt;0)*(K6:K13)),3)</f>
        <v>0.05</v>
      </c>
      <c r="I16" s="96"/>
      <c r="J16" s="96"/>
      <c r="K16" s="97">
        <f>SUM(K6:K15)</f>
        <v>51495</v>
      </c>
      <c r="L16" s="98">
        <f>ROUND(M16*10000/SUM(K6:K14),0)</f>
        <v>4500</v>
      </c>
      <c r="M16" s="98">
        <f>SUM(M6:M14)</f>
        <v>23173</v>
      </c>
      <c r="N16" s="99">
        <f>ROUND(SUMPRODUCT(M6:M14,N6:N14)/M16,3)</f>
        <v>0.56999999999999995</v>
      </c>
      <c r="O16" s="98">
        <f>SUM(O6:O14)</f>
        <v>13208</v>
      </c>
      <c r="P16" s="98">
        <f>SUM(P6:P14)</f>
        <v>9965</v>
      </c>
      <c r="Q16" s="100">
        <f>ROUND(SUMPRODUCT(Q6:Q13,K6:K13)/SUMPRODUCT((Q6:Q13&gt;0)*(K6:K13)),2)</f>
        <v>0.13</v>
      </c>
      <c r="R16" s="1145">
        <f ca="1">SUM(R6:R13)</f>
        <v>9950.6</v>
      </c>
      <c r="S16" s="101">
        <f>SUM(S6:S13)</f>
        <v>7106</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599" t="s">
        <v>3222</v>
      </c>
      <c r="N17" s="3599" t="s">
        <v>3223</v>
      </c>
      <c r="O17" s="3599" t="s">
        <v>3226</v>
      </c>
      <c r="P17" s="3599" t="s">
        <v>3228</v>
      </c>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t="s">
        <v>3219</v>
      </c>
      <c r="M18" s="2849">
        <f>'数据-基础表'!G13-'数据-基础表'!AT13</f>
        <v>17783</v>
      </c>
      <c r="N18" s="3599" t="s">
        <v>3224</v>
      </c>
      <c r="O18" s="3599" t="s">
        <v>3227</v>
      </c>
      <c r="P18" s="3600">
        <v>0.5</v>
      </c>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v>0</v>
      </c>
      <c r="C19" s="2979" t="s">
        <v>2802</v>
      </c>
      <c r="D19" s="2854"/>
      <c r="E19" s="2851"/>
      <c r="F19" s="2851"/>
      <c r="G19" s="2851"/>
      <c r="H19" s="2851"/>
      <c r="I19" s="2851"/>
      <c r="J19" s="2851"/>
      <c r="K19" s="2850"/>
      <c r="L19" s="2850" t="s">
        <v>3220</v>
      </c>
      <c r="M19" s="2849">
        <f>'数据-基础表'!G14-'数据-基础表'!AT14</f>
        <v>18951</v>
      </c>
      <c r="N19" s="3599" t="s">
        <v>3225</v>
      </c>
      <c r="O19" s="3599" t="s">
        <v>3227</v>
      </c>
      <c r="P19" s="3600">
        <v>0.6</v>
      </c>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3250">
        <v>2</v>
      </c>
      <c r="C20" s="2980" t="s">
        <v>2800</v>
      </c>
      <c r="D20" s="2854"/>
      <c r="E20" s="2851"/>
      <c r="F20" s="2851"/>
      <c r="G20" s="2851"/>
      <c r="H20" s="2851"/>
      <c r="I20" s="2851"/>
      <c r="J20" s="2851"/>
      <c r="K20" s="2850"/>
      <c r="L20" s="3598" t="s">
        <v>3221</v>
      </c>
      <c r="M20" s="2849">
        <f>'数据-基础表'!G15-'数据-基础表'!AT15</f>
        <v>14761</v>
      </c>
      <c r="N20" s="3599" t="s">
        <v>3225</v>
      </c>
      <c r="O20" s="3599" t="s">
        <v>3227</v>
      </c>
      <c r="P20" s="3600">
        <f>P19</f>
        <v>0.6</v>
      </c>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3250">
        <f>B20*N16</f>
        <v>1.1399999999999999</v>
      </c>
      <c r="C21" s="2851"/>
      <c r="D21" s="2854"/>
      <c r="E21" s="2851"/>
      <c r="F21" s="2851"/>
      <c r="G21" s="2851"/>
      <c r="H21" s="2851"/>
      <c r="I21" s="2851"/>
      <c r="J21" s="2851"/>
      <c r="K21" s="2850"/>
      <c r="L21" s="2850"/>
      <c r="M21" s="2849">
        <f>M18+M19+M20</f>
        <v>51495</v>
      </c>
      <c r="N21" s="2849"/>
      <c r="O21" s="2849"/>
      <c r="P21" s="3600">
        <f>ROUND((P18*M18+P19*M19+P20*M20)/M21,2)</f>
        <v>0.56999999999999995</v>
      </c>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09">
        <f>B19+B21</f>
        <v>1.1399999999999999</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0">
        <f>B20-B21</f>
        <v>0.8600000000000001</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1">
        <v>160</v>
      </c>
      <c r="C27" s="2981" t="s">
        <v>2804</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1665</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1666</v>
      </c>
      <c r="B29" s="116">
        <f ca="1">成本法!C10</f>
        <v>1030</v>
      </c>
      <c r="C29" s="2982" t="s">
        <v>2791</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1667</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1668</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1669</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1670</v>
      </c>
      <c r="B33" s="681">
        <v>0.03</v>
      </c>
      <c r="C33" s="2983" t="s">
        <v>2792</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1671</v>
      </c>
      <c r="B34" s="117">
        <v>0</v>
      </c>
      <c r="C34" s="2983" t="s">
        <v>2793</v>
      </c>
      <c r="D34" s="2862" t="s">
        <v>2801</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1672</v>
      </c>
      <c r="B35" s="114">
        <v>200</v>
      </c>
      <c r="C35" s="2983" t="s">
        <v>2794</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1673</v>
      </c>
      <c r="B36" s="118">
        <v>1.4999999999999999E-2</v>
      </c>
      <c r="C36" s="2983" t="s">
        <v>2795</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19">
        <v>0.02</v>
      </c>
      <c r="C37" s="2983" t="s">
        <v>2796</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7">
        <v>0.02</v>
      </c>
      <c r="C38" s="2983" t="s">
        <v>2796</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3190</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0">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2">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3">
        <v>7.0000000000000007E-2</v>
      </c>
      <c r="C44" s="2983" t="s">
        <v>2805</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1">
        <v>0.03</v>
      </c>
      <c r="C45" s="2982" t="s">
        <v>2797</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1">
        <v>0.02</v>
      </c>
      <c r="C46" s="2982" t="s">
        <v>2798</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4"/>
      <c r="C47" s="2985" t="s">
        <v>2806</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5">
        <v>0.03</v>
      </c>
      <c r="C48" s="2982" t="s">
        <v>2797</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1">
        <v>0.02</v>
      </c>
      <c r="C49" s="2982" t="s">
        <v>2799</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8">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137</v>
      </c>
      <c r="C53" s="2837" t="s">
        <v>1690</v>
      </c>
      <c r="D53" s="2984" t="s">
        <v>2803</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1" t="s">
        <v>2783</v>
      </c>
      <c r="B1" s="3342"/>
      <c r="C1" s="3342"/>
      <c r="D1" s="3342"/>
      <c r="E1" s="3342"/>
      <c r="F1" s="3342"/>
      <c r="G1" s="334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2778</v>
      </c>
      <c r="D2" s="2636"/>
      <c r="E2" s="2633"/>
      <c r="F2" s="2637"/>
      <c r="G2" s="2635" t="s">
        <v>2779</v>
      </c>
      <c r="H2" s="887"/>
      <c r="I2" s="887"/>
      <c r="J2" s="887"/>
      <c r="K2" s="887"/>
      <c r="L2" s="887"/>
      <c r="M2" s="887"/>
      <c r="N2" s="887"/>
      <c r="O2" s="887"/>
      <c r="P2" s="887"/>
      <c r="Q2" s="887"/>
      <c r="R2" s="887"/>
    </row>
    <row r="3" spans="1:29" ht="48">
      <c r="A3" s="2616" t="s">
        <v>2780</v>
      </c>
      <c r="B3" s="2638" t="s">
        <v>2749</v>
      </c>
      <c r="C3" s="2639" t="s">
        <v>2781</v>
      </c>
      <c r="D3" s="2640"/>
      <c r="E3" s="2617" t="s">
        <v>2780</v>
      </c>
      <c r="F3" s="2641" t="s">
        <v>2750</v>
      </c>
      <c r="G3" s="2642" t="s">
        <v>2782</v>
      </c>
      <c r="H3" s="887"/>
      <c r="I3" s="887"/>
      <c r="J3" s="887"/>
      <c r="K3" s="887"/>
      <c r="L3" s="887"/>
      <c r="M3" s="887"/>
      <c r="N3" s="887"/>
      <c r="O3" s="887"/>
      <c r="P3" s="887"/>
      <c r="Q3" s="887"/>
      <c r="R3" s="887"/>
    </row>
    <row r="4" spans="1:29" ht="36.75">
      <c r="A4" s="2617"/>
      <c r="B4" s="328" t="s">
        <v>2751</v>
      </c>
      <c r="C4" s="2643" t="s">
        <v>2752</v>
      </c>
      <c r="D4" s="2640"/>
      <c r="E4" s="2644"/>
      <c r="F4" s="1507" t="s">
        <v>2753</v>
      </c>
      <c r="G4" s="2645" t="s">
        <v>2754</v>
      </c>
      <c r="H4" s="887"/>
      <c r="I4" s="887"/>
      <c r="J4" s="887"/>
      <c r="K4" s="887"/>
      <c r="L4" s="887"/>
      <c r="M4" s="887"/>
      <c r="N4" s="887"/>
      <c r="O4" s="887"/>
      <c r="P4" s="887"/>
      <c r="Q4" s="887"/>
      <c r="R4" s="887"/>
    </row>
    <row r="5" spans="1:29" ht="36.75">
      <c r="A5" s="2617"/>
      <c r="B5" s="328" t="s">
        <v>2755</v>
      </c>
      <c r="C5" s="2643" t="s">
        <v>2756</v>
      </c>
      <c r="D5" s="2640"/>
      <c r="E5" s="2644"/>
      <c r="F5" s="328" t="s">
        <v>2757</v>
      </c>
      <c r="G5" s="2645" t="s">
        <v>2758</v>
      </c>
      <c r="H5" s="887"/>
      <c r="I5" s="887"/>
      <c r="J5" s="887"/>
      <c r="K5" s="887"/>
      <c r="L5" s="887"/>
      <c r="M5" s="887"/>
      <c r="N5" s="887"/>
      <c r="O5" s="887"/>
      <c r="P5" s="887"/>
      <c r="Q5" s="887"/>
      <c r="R5" s="887"/>
    </row>
    <row r="6" spans="1:29" ht="36">
      <c r="A6" s="2617"/>
      <c r="B6" s="328" t="s">
        <v>2759</v>
      </c>
      <c r="C6" s="2645" t="s">
        <v>2754</v>
      </c>
      <c r="D6" s="2640"/>
      <c r="E6" s="2644"/>
      <c r="F6" s="328" t="s">
        <v>2760</v>
      </c>
      <c r="G6" s="2645" t="s">
        <v>2761</v>
      </c>
      <c r="H6" s="887"/>
      <c r="I6" s="887"/>
      <c r="J6" s="887"/>
      <c r="K6" s="887"/>
      <c r="L6" s="887"/>
      <c r="M6" s="887"/>
      <c r="N6" s="887"/>
      <c r="O6" s="887"/>
      <c r="P6" s="887"/>
      <c r="Q6" s="887"/>
      <c r="R6" s="887"/>
    </row>
    <row r="7" spans="1:29" ht="24.75" thickBot="1">
      <c r="A7" s="2617"/>
      <c r="B7" s="328" t="s">
        <v>2757</v>
      </c>
      <c r="C7" s="2645" t="s">
        <v>2758</v>
      </c>
      <c r="D7" s="2646"/>
      <c r="E7" s="2647"/>
      <c r="F7" s="2648" t="s">
        <v>2762</v>
      </c>
      <c r="G7" s="2649" t="s">
        <v>2763</v>
      </c>
      <c r="H7" s="887"/>
      <c r="I7" s="887"/>
      <c r="J7" s="887"/>
      <c r="K7" s="887"/>
      <c r="L7" s="887"/>
      <c r="M7" s="887"/>
      <c r="N7" s="887"/>
      <c r="O7" s="887"/>
      <c r="P7" s="887"/>
      <c r="Q7" s="887"/>
      <c r="R7" s="887"/>
    </row>
    <row r="8" spans="1:29">
      <c r="A8" s="2617"/>
      <c r="B8" s="328" t="s">
        <v>2760</v>
      </c>
      <c r="C8" s="2645" t="s">
        <v>2761</v>
      </c>
      <c r="D8" s="2646"/>
      <c r="E8" s="2646"/>
      <c r="F8" s="2650"/>
      <c r="G8" s="2650"/>
      <c r="H8" s="887"/>
      <c r="I8" s="887"/>
      <c r="J8" s="887"/>
      <c r="K8" s="887"/>
      <c r="L8" s="887"/>
      <c r="M8" s="887"/>
      <c r="N8" s="887"/>
      <c r="O8" s="887"/>
      <c r="P8" s="887"/>
      <c r="Q8" s="887"/>
      <c r="R8" s="887"/>
    </row>
    <row r="9" spans="1:29" ht="24">
      <c r="A9" s="2617"/>
      <c r="B9" s="328" t="s">
        <v>2764</v>
      </c>
      <c r="C9" s="2643" t="s">
        <v>2765</v>
      </c>
      <c r="D9" s="2640"/>
      <c r="E9" s="2646"/>
      <c r="F9" s="2650"/>
      <c r="G9" s="2650"/>
      <c r="H9" s="887"/>
      <c r="I9" s="887"/>
      <c r="J9" s="887"/>
      <c r="K9" s="887"/>
      <c r="L9" s="887"/>
      <c r="M9" s="887"/>
      <c r="N9" s="887"/>
      <c r="O9" s="887"/>
      <c r="P9" s="887"/>
      <c r="Q9" s="887"/>
      <c r="R9" s="887"/>
    </row>
    <row r="10" spans="1:29" s="2656" customFormat="1" ht="15" thickBot="1">
      <c r="A10" s="2618"/>
      <c r="B10" s="2651" t="s">
        <v>2766</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2784</v>
      </c>
      <c r="B13" s="2659"/>
      <c r="C13" s="2659"/>
      <c r="D13" s="2657"/>
      <c r="E13" s="2659"/>
      <c r="F13" s="2659"/>
      <c r="G13" s="2659"/>
    </row>
    <row r="14" spans="1:29" ht="15" thickBot="1">
      <c r="A14" s="2669"/>
      <c r="B14" s="2669"/>
      <c r="C14" s="2670" t="s">
        <v>2767</v>
      </c>
      <c r="D14" s="2640"/>
      <c r="E14" s="2671"/>
      <c r="F14" s="2671"/>
      <c r="G14" s="2635" t="s">
        <v>2768</v>
      </c>
    </row>
    <row r="15" spans="1:29" ht="51">
      <c r="A15" s="2619" t="s">
        <v>2769</v>
      </c>
      <c r="B15" s="2672" t="s">
        <v>2749</v>
      </c>
      <c r="C15" s="2673" t="str">
        <f>C3</f>
        <v>估价对象周边居住用地比例、居住小区规模和社区发展完善程度，综合评价居住社区成熟度一般</v>
      </c>
      <c r="D15" s="2640"/>
      <c r="E15" s="2620" t="s">
        <v>2770</v>
      </c>
      <c r="F15" s="2672" t="s">
        <v>2771</v>
      </c>
      <c r="G15" s="2674" t="str">
        <f>G3</f>
        <v>估价对象位于XX开发区，园区建设成熟度XX，产业集聚程度XX</v>
      </c>
    </row>
    <row r="16" spans="1:29" ht="38.25">
      <c r="A16" s="2621"/>
      <c r="B16" s="2675" t="s">
        <v>2751</v>
      </c>
      <c r="C16" s="2676" t="str">
        <f>C4</f>
        <v>估价对象位于XX商圈，周边商业氛围成熟，人流量大，商业繁华度好</v>
      </c>
      <c r="D16" s="2640"/>
      <c r="E16" s="2622"/>
      <c r="F16" s="2677" t="s">
        <v>2753</v>
      </c>
      <c r="G16" s="2678" t="str">
        <f>G4</f>
        <v>估价对象周边道路状况、公共交通通达情况、停车便捷程度，综合评价交通便捷度较好</v>
      </c>
    </row>
    <row r="17" spans="1:18" ht="38.25">
      <c r="A17" s="2621"/>
      <c r="B17" s="2675" t="s">
        <v>2755</v>
      </c>
      <c r="C17" s="2676" t="str">
        <f>C5</f>
        <v>估价对象位于XX商圈，周边办公楼项目较多，入驻率高，办公集聚程度较好</v>
      </c>
      <c r="D17" s="2646"/>
      <c r="E17" s="2622"/>
      <c r="F17" s="2677" t="s">
        <v>2772</v>
      </c>
      <c r="G17" s="2679"/>
    </row>
    <row r="18" spans="1:18" ht="38.25">
      <c r="A18" s="2621"/>
      <c r="B18" s="2677" t="s">
        <v>2759</v>
      </c>
      <c r="C18" s="2678" t="str">
        <f>C6</f>
        <v>估价对象周边道路状况、公共交通通达情况、停车便捷程度，综合评价交通便捷度较好</v>
      </c>
      <c r="D18" s="2646"/>
      <c r="E18" s="2622"/>
      <c r="F18" s="2677" t="s">
        <v>2762</v>
      </c>
      <c r="G18" s="2678" t="str">
        <f>G7</f>
        <v>该园区内是否有污染型企业，绿化情况，卫生条件，整体环境状况判断</v>
      </c>
    </row>
    <row r="19" spans="1:18" ht="25.5">
      <c r="A19" s="2621"/>
      <c r="B19" s="2677" t="s">
        <v>2773</v>
      </c>
      <c r="C19" s="2679"/>
      <c r="D19" s="2640"/>
      <c r="E19" s="2622"/>
      <c r="F19" s="328" t="s">
        <v>2757</v>
      </c>
      <c r="G19" s="2678" t="str">
        <f>G5</f>
        <v>估价对象所在区域公共配套设施齐备情况</v>
      </c>
    </row>
    <row r="20" spans="1:18" ht="25.5">
      <c r="A20" s="2621"/>
      <c r="B20" s="2677" t="s">
        <v>2774</v>
      </c>
      <c r="C20" s="2676" t="str">
        <f>C9</f>
        <v>区域自然环境：；人文环境；综合评价环境状况一般</v>
      </c>
      <c r="D20" s="2646"/>
      <c r="E20" s="2622"/>
      <c r="F20" s="328" t="s">
        <v>2760</v>
      </c>
      <c r="G20" s="2678" t="str">
        <f>G6</f>
        <v>估价对象所在区域基础设施水平</v>
      </c>
    </row>
    <row r="21" spans="1:18" ht="25.5">
      <c r="A21" s="2621"/>
      <c r="B21" s="328" t="s">
        <v>2757</v>
      </c>
      <c r="C21" s="2678" t="str">
        <f>C7</f>
        <v>估价对象所在区域公共配套设施齐备情况</v>
      </c>
      <c r="D21" s="2640"/>
      <c r="E21" s="2622"/>
      <c r="F21" s="2677" t="s">
        <v>2775</v>
      </c>
      <c r="G21" s="2680"/>
    </row>
    <row r="22" spans="1:18" ht="13.5" customHeight="1">
      <c r="A22" s="2621"/>
      <c r="B22" s="328" t="s">
        <v>2760</v>
      </c>
      <c r="C22" s="2678" t="str">
        <f>C8</f>
        <v>估价对象所在区域基础设施水平</v>
      </c>
      <c r="D22" s="2640"/>
      <c r="E22" s="2622"/>
      <c r="F22" s="2677" t="s">
        <v>2766</v>
      </c>
      <c r="G22" s="2679"/>
    </row>
    <row r="23" spans="1:18" s="887" customFormat="1" ht="15" thickBot="1">
      <c r="A23" s="2621"/>
      <c r="B23" s="2677" t="s">
        <v>2775</v>
      </c>
      <c r="C23" s="2680"/>
      <c r="D23" s="1877"/>
      <c r="E23" s="2623"/>
      <c r="F23" s="2681" t="s">
        <v>2776</v>
      </c>
      <c r="G23" s="2682"/>
      <c r="H23" s="2666"/>
      <c r="I23" s="2667"/>
      <c r="J23" s="2666"/>
      <c r="K23" s="2666"/>
      <c r="L23" s="2667"/>
      <c r="M23" s="2666"/>
      <c r="N23" s="2666"/>
      <c r="O23" s="2667"/>
      <c r="P23" s="2666"/>
      <c r="Q23" s="2666"/>
      <c r="R23" s="2668"/>
    </row>
    <row r="24" spans="1:18" s="887" customFormat="1" ht="15" thickBot="1">
      <c r="A24" s="2624"/>
      <c r="B24" s="2681" t="s">
        <v>2777</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51495</v>
      </c>
      <c r="C1" s="2864"/>
      <c r="D1" s="2864"/>
      <c r="E1" s="2864"/>
      <c r="F1" s="2864"/>
      <c r="G1" s="2865"/>
      <c r="H1" s="2866"/>
      <c r="I1" s="2866"/>
      <c r="J1" s="2866"/>
      <c r="K1" s="2866"/>
    </row>
    <row r="2" spans="1:11" ht="16.5">
      <c r="A2" s="2687" t="s">
        <v>1078</v>
      </c>
      <c r="B2" s="2687">
        <f>SUM(C14:C23)</f>
        <v>9950.6</v>
      </c>
      <c r="C2" s="2864"/>
      <c r="D2" s="2864"/>
      <c r="E2" s="2864"/>
      <c r="F2" s="2864"/>
      <c r="G2" s="2865"/>
      <c r="H2" s="2866"/>
      <c r="I2" s="2866"/>
      <c r="J2" s="2866"/>
      <c r="K2" s="2866"/>
    </row>
    <row r="3" spans="1:11" ht="16.5">
      <c r="A3" s="2687" t="s">
        <v>1087</v>
      </c>
      <c r="B3" s="2689">
        <f>项目基本情况!D3</f>
        <v>44692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55815</v>
      </c>
      <c r="C5" s="2687">
        <f ca="1">ROUND(B5*10000/$B$1,0)</f>
        <v>10839</v>
      </c>
      <c r="D5" s="2687">
        <f ca="1">ROUND(B5*10000/$B$2,0)</f>
        <v>56092</v>
      </c>
      <c r="E5" s="2864"/>
      <c r="F5" s="2865"/>
      <c r="G5" s="2865"/>
      <c r="H5" s="2866"/>
      <c r="I5" s="2866"/>
      <c r="J5" s="2866"/>
      <c r="K5" s="2866"/>
    </row>
    <row r="6" spans="1:11" ht="16.5">
      <c r="A6" s="2687" t="s">
        <v>1081</v>
      </c>
      <c r="B6" s="2687">
        <f ca="1">SUM(G14:G23)</f>
        <v>55815</v>
      </c>
      <c r="C6" s="2687">
        <f ca="1">ROUND(B6*10000/$B$1,0)</f>
        <v>10839</v>
      </c>
      <c r="D6" s="2687">
        <f ca="1">ROUND(B6*10000/$B$2,0)</f>
        <v>56092</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 ca="1">SUM(I14:I23)</f>
        <v>22576</v>
      </c>
      <c r="C8" s="2687">
        <f ca="1">ROUND(B8*10000/$B$1,0)</f>
        <v>4384</v>
      </c>
      <c r="D8" s="2687">
        <f ca="1">ROUND(B8*10000/$B$2,0)</f>
        <v>22688</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51495</v>
      </c>
      <c r="C14" s="2693">
        <f>结果表!C118</f>
        <v>9950.6</v>
      </c>
      <c r="D14" s="2693">
        <f ca="1">结果表!H118</f>
        <v>55815</v>
      </c>
      <c r="E14" s="2693">
        <f ca="1">ROUND(D14*10000/B14,0)</f>
        <v>10839</v>
      </c>
      <c r="F14" s="2693">
        <f ca="1">ROUND(D14*10000/C14,0)</f>
        <v>56092</v>
      </c>
      <c r="G14" s="2693">
        <f ca="1">结果表!D122</f>
        <v>55815</v>
      </c>
      <c r="H14" s="2693" t="str">
        <f>结果表!D124</f>
        <v>——</v>
      </c>
      <c r="I14" s="2693">
        <f ca="1">结果表!D126</f>
        <v>22576</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D123" sqref="D123:I123"/>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1706</v>
      </c>
      <c r="B1" s="1883"/>
      <c r="C1" s="1884"/>
      <c r="D1" s="1883"/>
      <c r="E1" s="1883"/>
      <c r="F1" s="1885" t="s">
        <v>1707</v>
      </c>
      <c r="G1" s="1696"/>
      <c r="H1" s="1886" t="str">
        <f>IF(G1="现房","——","估价对象范围")</f>
        <v>估价对象范围</v>
      </c>
      <c r="I1" s="1887"/>
    </row>
    <row r="2" spans="1:12" ht="21.75" customHeight="1" thickBot="1">
      <c r="A2" s="3413" t="str">
        <f>项目基本情况!S2</f>
        <v>北京市朝阳区红松园1号院教育科研项目房地产</v>
      </c>
      <c r="B2" s="3414"/>
      <c r="C2" s="3414"/>
      <c r="D2" s="3414"/>
      <c r="E2" s="3414"/>
      <c r="F2" s="3414"/>
      <c r="G2" s="3414"/>
      <c r="H2" s="3414"/>
      <c r="I2" s="3415"/>
    </row>
    <row r="3" spans="1:12" ht="12.75">
      <c r="A3" s="3417" t="s">
        <v>1708</v>
      </c>
      <c r="B3" s="3418"/>
      <c r="C3" s="3418"/>
      <c r="D3" s="3418"/>
      <c r="E3" s="3418"/>
      <c r="F3" s="3418"/>
      <c r="G3" s="3418"/>
      <c r="H3" s="3418"/>
      <c r="I3" s="3418"/>
    </row>
    <row r="4" spans="1:12" ht="14.25">
      <c r="A4" s="1890" t="s">
        <v>1709</v>
      </c>
      <c r="B4" s="1891" t="s">
        <v>1710</v>
      </c>
      <c r="C4" s="1892" t="s">
        <v>3212</v>
      </c>
      <c r="D4" s="1892" t="s">
        <v>3213</v>
      </c>
      <c r="E4" s="3422" t="s">
        <v>1711</v>
      </c>
      <c r="F4" s="3423"/>
      <c r="G4" s="3423"/>
      <c r="H4" s="3423"/>
      <c r="I4" s="3424"/>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58" t="s">
        <v>1712</v>
      </c>
      <c r="B5" s="3416">
        <v>25</v>
      </c>
      <c r="C5" s="3419"/>
      <c r="D5" s="3407"/>
      <c r="E5" s="135" t="s">
        <v>1713</v>
      </c>
      <c r="F5" s="1893"/>
      <c r="G5" s="1893"/>
      <c r="H5" s="1893"/>
      <c r="I5" s="1507"/>
    </row>
    <row r="6" spans="1:12" ht="12.75">
      <c r="A6" s="3358"/>
      <c r="B6" s="3416"/>
      <c r="C6" s="3421"/>
      <c r="D6" s="3407"/>
      <c r="E6" s="135" t="s">
        <v>1714</v>
      </c>
      <c r="F6" s="1893"/>
      <c r="G6" s="1893"/>
      <c r="H6" s="1893"/>
      <c r="I6" s="1507"/>
    </row>
    <row r="7" spans="1:12" ht="12.75">
      <c r="A7" s="3358"/>
      <c r="B7" s="3416"/>
      <c r="C7" s="3420"/>
      <c r="D7" s="3407"/>
      <c r="E7" s="135" t="s">
        <v>1715</v>
      </c>
      <c r="F7" s="1893"/>
      <c r="G7" s="1893"/>
      <c r="H7" s="1893"/>
      <c r="I7" s="1507"/>
    </row>
    <row r="8" spans="1:12" ht="12.75">
      <c r="A8" s="3358" t="s">
        <v>1716</v>
      </c>
      <c r="B8" s="3416">
        <v>15</v>
      </c>
      <c r="C8" s="3419"/>
      <c r="D8" s="3407"/>
      <c r="E8" s="135" t="s">
        <v>1717</v>
      </c>
      <c r="F8" s="1893"/>
      <c r="G8" s="1893"/>
      <c r="H8" s="1893"/>
      <c r="I8" s="1507"/>
    </row>
    <row r="9" spans="1:12" ht="12.75">
      <c r="A9" s="3358"/>
      <c r="B9" s="3416"/>
      <c r="C9" s="3420"/>
      <c r="D9" s="3407"/>
      <c r="E9" s="135" t="s">
        <v>1718</v>
      </c>
      <c r="F9" s="1893"/>
      <c r="G9" s="1893"/>
      <c r="H9" s="1893"/>
      <c r="I9" s="1507"/>
    </row>
    <row r="10" spans="1:12" ht="12.75">
      <c r="A10" s="3358" t="s">
        <v>1719</v>
      </c>
      <c r="B10" s="3416">
        <v>15</v>
      </c>
      <c r="C10" s="3419"/>
      <c r="D10" s="3407"/>
      <c r="E10" s="135" t="s">
        <v>1720</v>
      </c>
      <c r="F10" s="1893"/>
      <c r="G10" s="1893"/>
      <c r="H10" s="1893"/>
      <c r="I10" s="1507"/>
    </row>
    <row r="11" spans="1:12" ht="12.75">
      <c r="A11" s="3358"/>
      <c r="B11" s="3416"/>
      <c r="C11" s="3420"/>
      <c r="D11" s="3407"/>
      <c r="E11" s="135" t="s">
        <v>1721</v>
      </c>
      <c r="F11" s="1893"/>
      <c r="G11" s="1893"/>
      <c r="H11" s="1893"/>
      <c r="I11" s="1507"/>
    </row>
    <row r="12" spans="1:12" ht="12.75">
      <c r="A12" s="3358" t="s">
        <v>1722</v>
      </c>
      <c r="B12" s="3416">
        <v>15</v>
      </c>
      <c r="C12" s="3419"/>
      <c r="D12" s="3407"/>
      <c r="E12" s="135" t="s">
        <v>1723</v>
      </c>
      <c r="F12" s="1893"/>
      <c r="G12" s="1893"/>
      <c r="H12" s="1893"/>
      <c r="I12" s="1507"/>
    </row>
    <row r="13" spans="1:12" ht="12.75">
      <c r="A13" s="3358"/>
      <c r="B13" s="3416"/>
      <c r="C13" s="3420"/>
      <c r="D13" s="3407"/>
      <c r="E13" s="135" t="s">
        <v>1724</v>
      </c>
      <c r="F13" s="1893"/>
      <c r="G13" s="1893"/>
      <c r="H13" s="1893"/>
      <c r="I13" s="1507"/>
    </row>
    <row r="14" spans="1:12" ht="12.75">
      <c r="A14" s="3358" t="s">
        <v>1725</v>
      </c>
      <c r="B14" s="3416">
        <v>30</v>
      </c>
      <c r="C14" s="3419">
        <v>3</v>
      </c>
      <c r="D14" s="3407">
        <v>7</v>
      </c>
      <c r="E14" s="135" t="s">
        <v>1726</v>
      </c>
      <c r="F14" s="1893"/>
      <c r="G14" s="1893"/>
      <c r="H14" s="1893"/>
      <c r="I14" s="1507"/>
    </row>
    <row r="15" spans="1:12" ht="12.75">
      <c r="A15" s="3358"/>
      <c r="B15" s="3416"/>
      <c r="C15" s="3421"/>
      <c r="D15" s="3407"/>
      <c r="E15" s="135" t="s">
        <v>1727</v>
      </c>
      <c r="F15" s="1893"/>
      <c r="G15" s="1893"/>
      <c r="H15" s="1893"/>
      <c r="I15" s="1507"/>
    </row>
    <row r="16" spans="1:12" ht="12.75">
      <c r="A16" s="3358"/>
      <c r="B16" s="3416"/>
      <c r="C16" s="3420"/>
      <c r="D16" s="3407"/>
      <c r="E16" s="135" t="s">
        <v>1728</v>
      </c>
      <c r="F16" s="1893"/>
      <c r="G16" s="1893"/>
      <c r="H16" s="1893"/>
      <c r="I16" s="1507"/>
    </row>
    <row r="17" spans="1:36" ht="15">
      <c r="A17" s="1894" t="s">
        <v>1729</v>
      </c>
      <c r="B17" s="60"/>
      <c r="C17" s="136">
        <f>SUM(C5:C16)</f>
        <v>3</v>
      </c>
      <c r="D17" s="136">
        <f>SUM(D5:D16)</f>
        <v>7</v>
      </c>
      <c r="E17" s="133"/>
      <c r="F17" s="133"/>
      <c r="G17" s="133"/>
      <c r="H17" s="133"/>
      <c r="I17" s="133"/>
      <c r="K17" s="307"/>
      <c r="L17" s="307" t="s">
        <v>1730</v>
      </c>
      <c r="M17" s="307" t="s">
        <v>1731</v>
      </c>
    </row>
    <row r="18" spans="1:36" ht="31.9" customHeight="1" thickBot="1">
      <c r="A18" s="1895" t="s">
        <v>1732</v>
      </c>
      <c r="B18" s="1896"/>
      <c r="C18" s="137">
        <f>ROUND(C17/SUM(C17:D17),2)</f>
        <v>0.3</v>
      </c>
      <c r="D18" s="137">
        <f>1-C18</f>
        <v>0.7</v>
      </c>
      <c r="E18" s="3438" t="s">
        <v>2628</v>
      </c>
      <c r="F18" s="3439"/>
      <c r="G18" s="3439"/>
      <c r="H18" s="3439"/>
      <c r="I18" s="3439"/>
      <c r="K18" s="307" t="s">
        <v>1733</v>
      </c>
      <c r="L18" s="307">
        <f>IF(C1="",'数据-汇总表'!E3,SUMIF(项目类型,C1,'数据-汇总表'!E17:E26)+SUMIF(项目类型,C1,'数据-汇总表'!I17:I26))</f>
        <v>51495</v>
      </c>
      <c r="M18" s="307">
        <f>IF(C1="",'数据-汇总表'!E3,SUMIF(项目类型,C1,'数据-汇总表'!E17:E26))</f>
        <v>51495</v>
      </c>
    </row>
    <row r="19" spans="1:36" ht="15">
      <c r="A19" s="1897" t="s">
        <v>1734</v>
      </c>
      <c r="B19" s="1898" t="s">
        <v>1735</v>
      </c>
      <c r="C19" s="138">
        <f ca="1">SUMIF(INDIRECT("'"&amp;C4&amp;"'"&amp;"!A:A"),结果表!B19,INDIRECT("'"&amp;C4&amp;"'"&amp;"!B:B"))</f>
        <v>42635</v>
      </c>
      <c r="D19" s="139">
        <f ca="1">SUMIF(INDIRECT("'"&amp;D4&amp;"'"&amp;"!A:A"),结果表!B19,INDIRECT("'"&amp;D4&amp;"'"&amp;"!B:B"))</f>
        <v>61464</v>
      </c>
      <c r="E19" s="1897" t="s">
        <v>1736</v>
      </c>
      <c r="F19" s="1898" t="s">
        <v>1735</v>
      </c>
      <c r="G19" s="140">
        <f ca="1">ROUND(C19*$C$18+D19*$D$18,0)</f>
        <v>55815</v>
      </c>
      <c r="H19" s="1899" t="s">
        <v>1737</v>
      </c>
      <c r="I19" s="133"/>
      <c r="J19" s="733" t="s">
        <v>3171</v>
      </c>
      <c r="K19" s="307" t="s">
        <v>1738</v>
      </c>
      <c r="L19" s="307">
        <f>IF(C1="",'数据-汇总表'!D3,SUMIF(项目类型,C1,'数据-汇总表'!D17:D26)+SUMIF(项目类型,C1,'数据-汇总表'!H17:H27))</f>
        <v>9950.6</v>
      </c>
      <c r="M19" s="307">
        <f>IF(C1="",'数据-汇总表'!D3,SUMIF(项目类型,C1,'数据-汇总表'!D17:D26))</f>
        <v>9950.6</v>
      </c>
    </row>
    <row r="20" spans="1:36" ht="15">
      <c r="A20" s="1900"/>
      <c r="B20" s="1137" t="s">
        <v>1739</v>
      </c>
      <c r="C20" s="141">
        <f ca="1">SUMIF(INDIRECT("'"&amp;C4&amp;"'"&amp;"!A:A"),结果表!B20,INDIRECT("'"&amp;C4&amp;"'"&amp;"!B:B"))</f>
        <v>8279</v>
      </c>
      <c r="D20" s="142">
        <f ca="1">SUMIF(INDIRECT("'"&amp;D4&amp;"'"&amp;"!A:A"),结果表!B20,INDIRECT("'"&amp;D4&amp;"'"&amp;"!B:B"))</f>
        <v>11936</v>
      </c>
      <c r="E20" s="1900"/>
      <c r="F20" s="1137" t="s">
        <v>1739</v>
      </c>
      <c r="G20" s="143">
        <f ca="1">ROUND(C20*$C$18+D20*$D$18,0)</f>
        <v>10839</v>
      </c>
      <c r="H20" s="897" t="s">
        <v>1740</v>
      </c>
      <c r="I20" s="133"/>
      <c r="J20" s="733">
        <v>40038</v>
      </c>
    </row>
    <row r="21" spans="1:36" ht="15" customHeight="1" thickBot="1">
      <c r="A21" s="917"/>
      <c r="B21" s="1901" t="s">
        <v>1741</v>
      </c>
      <c r="C21" s="727">
        <f ca="1">ROUND(C19*10000/L19,0)</f>
        <v>42847</v>
      </c>
      <c r="D21" s="728">
        <f ca="1">ROUND(D19*10000/L19,0)</f>
        <v>61769</v>
      </c>
      <c r="E21" s="917"/>
      <c r="F21" s="1901" t="s">
        <v>1741</v>
      </c>
      <c r="G21" s="144">
        <f ca="1">ROUND(G19*10000/L19,0)</f>
        <v>56092</v>
      </c>
      <c r="H21" s="1902" t="s">
        <v>1740</v>
      </c>
      <c r="I21" s="133"/>
    </row>
    <row r="22" spans="1:36" ht="15" thickBot="1">
      <c r="A22" s="1824" t="s">
        <v>1742</v>
      </c>
      <c r="B22" s="1903"/>
      <c r="C22" s="1904"/>
      <c r="D22" s="729">
        <f ca="1">IF(C19&lt;D19,D19/C19-1,C19/D19-1)</f>
        <v>0.44163246159258818</v>
      </c>
      <c r="E22" s="133"/>
      <c r="F22" s="133"/>
      <c r="G22" s="133"/>
      <c r="H22" s="133"/>
      <c r="I22" s="133"/>
    </row>
    <row r="23" spans="1:36" ht="13.5" thickBot="1">
      <c r="A23" s="1883"/>
      <c r="B23" s="1883"/>
      <c r="C23" s="1883"/>
      <c r="D23" s="1883"/>
      <c r="E23" s="133"/>
      <c r="F23" s="133"/>
      <c r="G23" s="133"/>
      <c r="H23" s="133"/>
      <c r="I23" s="133"/>
    </row>
    <row r="24" spans="1:36" ht="14.25">
      <c r="A24" s="3431" t="s">
        <v>1743</v>
      </c>
      <c r="B24" s="1898" t="s">
        <v>1735</v>
      </c>
      <c r="C24" s="140">
        <f>IF(B30=0,0,D30)</f>
        <v>0</v>
      </c>
      <c r="D24" s="1905"/>
      <c r="E24" s="133"/>
      <c r="F24" s="133"/>
      <c r="G24" s="133"/>
      <c r="H24" s="133"/>
      <c r="I24" s="133"/>
    </row>
    <row r="25" spans="1:36" ht="14.25">
      <c r="A25" s="3432"/>
      <c r="B25" s="1137" t="s">
        <v>1739</v>
      </c>
      <c r="C25" s="145">
        <f>IF(B30=0,0,C30)</f>
        <v>0</v>
      </c>
      <c r="D25" s="1906"/>
      <c r="E25" s="133"/>
      <c r="F25" s="133"/>
      <c r="G25" s="133"/>
      <c r="H25" s="133"/>
      <c r="I25" s="133"/>
    </row>
    <row r="26" spans="1:36" ht="13.5" customHeight="1">
      <c r="A26" s="1907" t="s">
        <v>1744</v>
      </c>
      <c r="B26" s="146" t="s">
        <v>1745</v>
      </c>
      <c r="C26" s="146" t="s">
        <v>1746</v>
      </c>
      <c r="D26" s="147" t="s">
        <v>1747</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1748</v>
      </c>
      <c r="B30" s="146"/>
      <c r="C30" s="146"/>
      <c r="D30" s="146"/>
      <c r="E30" s="2471" t="s">
        <v>2629</v>
      </c>
      <c r="F30" s="133"/>
      <c r="G30" s="133"/>
      <c r="H30" s="133"/>
      <c r="I30" s="133"/>
    </row>
    <row r="31" spans="1:36" s="2477" customFormat="1" ht="26.45" customHeight="1" thickTop="1" thickBot="1">
      <c r="A31" s="2472"/>
      <c r="B31" s="2473"/>
      <c r="C31" s="2473"/>
      <c r="D31" s="2473"/>
      <c r="E31" s="2473"/>
      <c r="F31" s="2473"/>
      <c r="G31" s="2473"/>
      <c r="H31" s="2473"/>
      <c r="I31" s="2474" t="s">
        <v>2630</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8">
        <f ca="1">IF(D32="总价",G19-C24,G20-C25)</f>
        <v>55815</v>
      </c>
      <c r="D32" s="1911" t="s">
        <v>3229</v>
      </c>
      <c r="E32" s="133"/>
      <c r="F32" s="133"/>
      <c r="G32" s="133"/>
      <c r="H32" s="133"/>
      <c r="I32" s="133"/>
    </row>
    <row r="33" spans="1:15" ht="15">
      <c r="A33" s="874" t="s">
        <v>1750</v>
      </c>
      <c r="B33" s="1912"/>
      <c r="C33" s="1913" t="s">
        <v>3230</v>
      </c>
      <c r="D33" s="1914" t="s">
        <v>3212</v>
      </c>
      <c r="E33" s="1915" t="s">
        <v>1751</v>
      </c>
      <c r="F33" s="1916" t="str">
        <f>IF(D32="楼面单价","取值（单价）","取值（总价）")</f>
        <v>取值（总价）</v>
      </c>
      <c r="G33" s="133"/>
      <c r="H33" s="133"/>
      <c r="I33" s="133"/>
    </row>
    <row r="34" spans="1:15" ht="15">
      <c r="A34" s="1917"/>
      <c r="B34" s="1918" t="s">
        <v>1752</v>
      </c>
      <c r="C34" s="152">
        <f ca="1">IF(C33="自定义",F34,C32-C35)</f>
        <v>31815</v>
      </c>
      <c r="D34" s="950">
        <f ca="1">IF(C33="自定义",ROUND(C34/C32,3),IF(C33="收益比率",SUMIF(INDIRECT("'"&amp;D33&amp;"'"&amp;"!b:b"),"土地收益比率",INDIRECT("'"&amp;D33&amp;"'"&amp;"!c:c")),SUMIF(INDIRECT("'"&amp;D33&amp;"'"&amp;"!b:b"),"土地成本比率",INDIRECT("'"&amp;D33&amp;"'"&amp;"!c:c"))))</f>
        <v>0.57000000000000006</v>
      </c>
      <c r="E34" s="1919" t="s">
        <v>1753</v>
      </c>
      <c r="F34" s="1450"/>
      <c r="G34" s="133"/>
      <c r="H34" s="133"/>
      <c r="I34" s="133"/>
    </row>
    <row r="35" spans="1:15" ht="15.75" thickBot="1">
      <c r="A35" s="1920"/>
      <c r="B35" s="1921" t="s">
        <v>1754</v>
      </c>
      <c r="C35" s="1284">
        <f ca="1">IF(C33="自定义",F35,ROUND(C32*D35,0))</f>
        <v>24000</v>
      </c>
      <c r="D35" s="1285">
        <f ca="1">IF(C33="自定义",ROUND(C35/C32,3),IF(C33="收益比率",SUMIF(INDIRECT("'"&amp;D33&amp;"'"&amp;"!b:b"),"建筑物收益比率",INDIRECT("'"&amp;D33&amp;"'"&amp;"!c:c")),SUMIF(INDIRECT("'"&amp;D33&amp;"'"&amp;"!b:b"),"建筑物成本比率",INDIRECT("'"&amp;D33&amp;"'"&amp;"!c:c"))))</f>
        <v>0.43</v>
      </c>
      <c r="E35" s="1922" t="s">
        <v>1755</v>
      </c>
      <c r="F35" s="158"/>
      <c r="G35" s="133"/>
      <c r="H35" s="133"/>
      <c r="I35" s="133"/>
    </row>
    <row r="36" spans="1:15" ht="15.75" thickBot="1">
      <c r="A36" s="3408" t="s">
        <v>1756</v>
      </c>
      <c r="B36" s="1923" t="s">
        <v>1757</v>
      </c>
      <c r="C36" s="149"/>
      <c r="D36" s="1924"/>
      <c r="E36" s="1925"/>
      <c r="F36" s="1926"/>
      <c r="G36" s="133"/>
      <c r="H36" s="133"/>
      <c r="I36" s="133"/>
    </row>
    <row r="37" spans="1:15" ht="15.75" thickBot="1">
      <c r="A37" s="3409"/>
      <c r="B37" s="1810" t="s">
        <v>1758</v>
      </c>
      <c r="C37" s="151"/>
      <c r="D37" s="1253"/>
      <c r="E37" s="1253"/>
      <c r="F37" s="1926"/>
      <c r="G37" s="133"/>
      <c r="H37" s="133"/>
      <c r="I37" s="133"/>
    </row>
    <row r="38" spans="1:15" ht="15.75" thickBot="1">
      <c r="A38" s="3410"/>
      <c r="B38" s="1927" t="s">
        <v>1759</v>
      </c>
      <c r="C38" s="682"/>
      <c r="D38" s="1928" t="s">
        <v>1760</v>
      </c>
      <c r="E38" s="1253"/>
      <c r="F38" s="1926"/>
      <c r="G38" s="133"/>
      <c r="H38" s="133"/>
      <c r="I38" s="133"/>
    </row>
    <row r="39" spans="1:15" ht="15">
      <c r="A39" s="1900" t="s">
        <v>1761</v>
      </c>
      <c r="B39" s="1929" t="s">
        <v>1762</v>
      </c>
      <c r="C39" s="1930" t="s">
        <v>1763</v>
      </c>
      <c r="D39" s="1930" t="s">
        <v>1764</v>
      </c>
      <c r="E39" s="1931" t="s">
        <v>1765</v>
      </c>
      <c r="F39" s="1926"/>
      <c r="G39" s="133"/>
      <c r="H39" s="133"/>
      <c r="I39" s="133"/>
    </row>
    <row r="40" spans="1:15" ht="14.25">
      <c r="A40" s="1932" t="s">
        <v>1766</v>
      </c>
      <c r="B40" s="153"/>
      <c r="C40" s="154"/>
      <c r="D40" s="154"/>
      <c r="E40" s="155"/>
      <c r="F40" s="1926"/>
      <c r="G40" s="133"/>
      <c r="H40" s="133"/>
      <c r="I40" s="133"/>
    </row>
    <row r="41" spans="1:15" ht="14.25">
      <c r="A41" s="1932" t="s">
        <v>1767</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428" t="s">
        <v>1770</v>
      </c>
      <c r="B45" s="3429"/>
      <c r="C45" s="3430"/>
      <c r="D45" s="159">
        <f ca="1">ROUND(H101*F45,0)</f>
        <v>55815</v>
      </c>
      <c r="E45" s="160" t="s">
        <v>1771</v>
      </c>
      <c r="F45" s="161">
        <v>1</v>
      </c>
      <c r="G45" s="162" t="s">
        <v>1772</v>
      </c>
      <c r="H45" s="133"/>
      <c r="I45" s="133"/>
      <c r="J45" s="3345" t="s">
        <v>1773</v>
      </c>
      <c r="K45" s="3345"/>
      <c r="L45" s="3345"/>
      <c r="M45" s="3345"/>
      <c r="N45" s="3345"/>
      <c r="O45" s="3345"/>
    </row>
    <row r="46" spans="1:15" ht="14.25" customHeight="1">
      <c r="A46" s="3425" t="s">
        <v>1774</v>
      </c>
      <c r="B46" s="3426"/>
      <c r="C46" s="3426"/>
      <c r="D46" s="3426"/>
      <c r="E46" s="3426"/>
      <c r="F46" s="3426"/>
      <c r="G46" s="3427"/>
      <c r="H46" s="1942"/>
      <c r="I46" s="163"/>
      <c r="J46" s="2698">
        <v>1</v>
      </c>
      <c r="K46" s="3346" t="s">
        <v>1775</v>
      </c>
      <c r="L46" s="3346"/>
      <c r="M46" s="3347"/>
      <c r="N46" s="3347"/>
      <c r="O46" s="3347"/>
    </row>
    <row r="47" spans="1:15" ht="12" customHeight="1">
      <c r="A47" s="164" t="s">
        <v>1776</v>
      </c>
      <c r="B47" s="165"/>
      <c r="C47" s="166"/>
      <c r="D47" s="1199" t="s">
        <v>1777</v>
      </c>
      <c r="E47" s="307" t="s">
        <v>1778</v>
      </c>
      <c r="F47" s="167" t="s">
        <v>1779</v>
      </c>
      <c r="G47" s="2721" t="s">
        <v>1780</v>
      </c>
      <c r="H47" s="2722"/>
      <c r="I47" s="163"/>
      <c r="J47" s="2698">
        <v>2</v>
      </c>
      <c r="K47" s="3346" t="s">
        <v>1781</v>
      </c>
      <c r="L47" s="3346"/>
      <c r="M47" s="3348">
        <f>'数据-取费表'!B2</f>
        <v>44692</v>
      </c>
      <c r="N47" s="3348"/>
      <c r="O47" s="3348"/>
    </row>
    <row r="48" spans="1:15" ht="25.5">
      <c r="A48" s="3411" t="s">
        <v>1782</v>
      </c>
      <c r="B48" s="3412"/>
      <c r="C48" s="3412"/>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346" t="s">
        <v>1784</v>
      </c>
      <c r="L48" s="3346"/>
      <c r="M48" s="3349">
        <f ca="1">H101</f>
        <v>55815</v>
      </c>
      <c r="N48" s="3349"/>
      <c r="O48" s="3349"/>
    </row>
    <row r="49" spans="1:35" ht="25.5" customHeight="1">
      <c r="A49" s="2506" t="s">
        <v>1785</v>
      </c>
      <c r="B49" s="3394" t="s">
        <v>1786</v>
      </c>
      <c r="C49" s="3394"/>
      <c r="D49" s="1725">
        <v>0</v>
      </c>
      <c r="E49" s="329" t="s">
        <v>1787</v>
      </c>
      <c r="F49" s="2599" t="s">
        <v>34</v>
      </c>
      <c r="G49" s="3377"/>
      <c r="H49" s="2478" t="s">
        <v>2631</v>
      </c>
      <c r="I49" s="2479"/>
      <c r="J49" s="2698">
        <v>4</v>
      </c>
      <c r="K49" s="3346" t="str">
        <f>IF(项目基本情况!E8="房地产抵押价值","房地产抵押价值","抵押担保权已注销时的房地产抵押价值")</f>
        <v>房地产抵押价值</v>
      </c>
      <c r="L49" s="3346"/>
      <c r="M49" s="3349">
        <f ca="1">IF(项目基本情况!E8="房地产抵押价值",H107,H109)</f>
        <v>55815</v>
      </c>
      <c r="N49" s="3349"/>
      <c r="O49" s="3349"/>
    </row>
    <row r="50" spans="1:35" ht="25.5" customHeight="1">
      <c r="A50" s="2726"/>
      <c r="B50" s="3394" t="s">
        <v>1788</v>
      </c>
      <c r="C50" s="3394"/>
      <c r="D50" s="2727"/>
      <c r="E50" s="337"/>
      <c r="F50" s="2599"/>
      <c r="G50" s="3378"/>
      <c r="H50" s="2480" t="s">
        <v>2632</v>
      </c>
      <c r="I50" s="2479"/>
      <c r="J50" s="3345" t="s">
        <v>1789</v>
      </c>
      <c r="K50" s="3345"/>
      <c r="L50" s="3345"/>
      <c r="M50" s="3345"/>
      <c r="N50" s="3345"/>
      <c r="O50" s="3345"/>
    </row>
    <row r="51" spans="1:35" ht="20.45" customHeight="1">
      <c r="A51" s="2728"/>
      <c r="B51" s="3394" t="s">
        <v>1790</v>
      </c>
      <c r="C51" s="3394"/>
      <c r="D51" s="1199"/>
      <c r="E51" s="332"/>
      <c r="F51" s="2599"/>
      <c r="G51" s="3379"/>
      <c r="H51" s="2480" t="s">
        <v>2633</v>
      </c>
      <c r="I51" s="2479"/>
      <c r="J51" s="2699" t="s">
        <v>1791</v>
      </c>
      <c r="K51" s="3346" t="s">
        <v>1792</v>
      </c>
      <c r="L51" s="3346"/>
      <c r="M51" s="2699" t="s">
        <v>1793</v>
      </c>
      <c r="N51" s="2699" t="s">
        <v>1794</v>
      </c>
      <c r="O51" s="2699" t="s">
        <v>1795</v>
      </c>
    </row>
    <row r="52" spans="1:35" ht="24" customHeight="1">
      <c r="A52" s="2508" t="s">
        <v>1796</v>
      </c>
      <c r="B52" s="3394" t="s">
        <v>1797</v>
      </c>
      <c r="C52" s="3394"/>
      <c r="D52" s="1199">
        <f ca="1">ROUND(D45*'数据-取费表'!B41/(1+'数据-取费表'!C42),0)</f>
        <v>2977</v>
      </c>
      <c r="E52" s="2507" t="s">
        <v>1798</v>
      </c>
      <c r="F52" s="2729">
        <f>'数据-取费表'!B41</f>
        <v>5.6000000000000001E-2</v>
      </c>
      <c r="G52" s="2730"/>
      <c r="H52" s="2719"/>
      <c r="I52" s="1943"/>
      <c r="J52" s="2698">
        <v>1</v>
      </c>
      <c r="K52" s="3371" t="s">
        <v>1799</v>
      </c>
      <c r="L52" s="3371"/>
      <c r="M52" s="2700" t="b">
        <f>D48</f>
        <v>0</v>
      </c>
      <c r="N52" s="2698" t="str">
        <f>E48</f>
        <v>销售额×税（费）率</v>
      </c>
      <c r="O52" s="2701">
        <f>F48</f>
        <v>5.6000000000000001E-2</v>
      </c>
    </row>
    <row r="53" spans="1:35" ht="12" customHeight="1">
      <c r="A53" s="2508" t="s">
        <v>1800</v>
      </c>
      <c r="B53" s="3395" t="s">
        <v>2788</v>
      </c>
      <c r="C53" s="3396"/>
      <c r="D53" s="1199">
        <f ca="1">ROUND(D45*'数据-取费表'!B41/(1+'数据-取费表'!C42),0)</f>
        <v>2977</v>
      </c>
      <c r="E53" s="2507" t="s">
        <v>1798</v>
      </c>
      <c r="F53" s="2729">
        <f>'数据-取费表'!B41</f>
        <v>5.6000000000000001E-2</v>
      </c>
      <c r="G53" s="2730"/>
      <c r="H53" s="2719"/>
      <c r="I53" s="1943"/>
      <c r="J53" s="2698">
        <v>2</v>
      </c>
      <c r="K53" s="3371" t="s">
        <v>1801</v>
      </c>
      <c r="L53" s="3371"/>
      <c r="M53" s="2700">
        <f t="shared" ref="M53:O54" ca="1" si="0">D55</f>
        <v>1116</v>
      </c>
      <c r="N53" s="2698" t="str">
        <f t="shared" si="0"/>
        <v>销售额×税（费）率</v>
      </c>
      <c r="O53" s="2701" t="str">
        <f t="shared" si="0"/>
        <v>免征</v>
      </c>
    </row>
    <row r="54" spans="1:35" ht="12" customHeight="1">
      <c r="A54" s="2508" t="s">
        <v>1802</v>
      </c>
      <c r="B54" s="3395" t="s">
        <v>2789</v>
      </c>
      <c r="C54" s="3396"/>
      <c r="D54" s="1199">
        <f ca="1">C68</f>
        <v>2977</v>
      </c>
      <c r="E54" s="332" t="s">
        <v>1803</v>
      </c>
      <c r="F54" s="2729">
        <f>'数据-取费表'!B41</f>
        <v>5.6000000000000001E-2</v>
      </c>
      <c r="G54" s="2730"/>
      <c r="H54" s="2731"/>
      <c r="I54" s="1943"/>
      <c r="J54" s="2698">
        <v>3</v>
      </c>
      <c r="K54" s="3371" t="s">
        <v>1804</v>
      </c>
      <c r="L54" s="3371"/>
      <c r="M54" s="2700">
        <f t="shared" ca="1" si="0"/>
        <v>31591</v>
      </c>
      <c r="N54" s="2698" t="str">
        <f t="shared" si="0"/>
        <v>增值额×税（费）率</v>
      </c>
      <c r="O54" s="2702" t="str">
        <f t="shared" si="0"/>
        <v>免征</v>
      </c>
    </row>
    <row r="55" spans="1:35" ht="24" customHeight="1">
      <c r="A55" s="3434" t="s">
        <v>1805</v>
      </c>
      <c r="B55" s="3412"/>
      <c r="C55" s="3412"/>
      <c r="D55" s="2497">
        <f ca="1">IF(H55="个人住宅",0,ROUND(D45*I55,0))</f>
        <v>1116</v>
      </c>
      <c r="E55" s="2507" t="s">
        <v>1806</v>
      </c>
      <c r="F55" s="2729" t="str">
        <f>IF(H55="正常",I55,"免征")</f>
        <v>免征</v>
      </c>
      <c r="G55" s="2730"/>
      <c r="H55" s="2725"/>
      <c r="I55" s="169">
        <f>'数据-取费表'!B49</f>
        <v>0.02</v>
      </c>
      <c r="J55" s="2698">
        <f>IF(H59="非个人房产","",4)</f>
        <v>4</v>
      </c>
      <c r="K55" s="3371" t="str">
        <f>IF(H59="非个人房产","——","个人所得税")</f>
        <v>个人所得税</v>
      </c>
      <c r="L55" s="3371"/>
      <c r="M55" s="2703">
        <f ca="1">D59</f>
        <v>532</v>
      </c>
      <c r="N55" s="2178" t="str">
        <f>E59</f>
        <v>差额计税</v>
      </c>
      <c r="O55" s="2704">
        <f>F59</f>
        <v>0.01</v>
      </c>
    </row>
    <row r="56" spans="1:35" ht="24.75">
      <c r="A56" s="3434" t="s">
        <v>1807</v>
      </c>
      <c r="B56" s="3412"/>
      <c r="C56" s="3412"/>
      <c r="D56" s="2497">
        <f ca="1">IF(H56="个人住宅",D57,D58)</f>
        <v>31591</v>
      </c>
      <c r="E56" s="2507" t="s">
        <v>1808</v>
      </c>
      <c r="F56" s="2729" t="str">
        <f>IF(H56="正常",F58,"免征")</f>
        <v>免征</v>
      </c>
      <c r="G56" s="2732" t="s">
        <v>1809</v>
      </c>
      <c r="H56" s="2733"/>
      <c r="I56" s="1944"/>
      <c r="J56" s="2698" t="str">
        <f>IF(项目基本情况!K6="上海银行",IF(J55="",4,J55+1),"")</f>
        <v/>
      </c>
      <c r="K56" s="3352" t="str">
        <f>IF(项目基本情况!K6="上海银行","其他处置费用","")</f>
        <v/>
      </c>
      <c r="L56" s="3353"/>
      <c r="M56" s="2700" t="str">
        <f>IF(项目基本情况!K6="上海银行",M69,"")</f>
        <v/>
      </c>
      <c r="N56" s="3352" t="str">
        <f>IF(项目基本情况!K6="上海银行","包含处置中涉及的律师、诉讼、拍卖、评估等费用","")</f>
        <v/>
      </c>
      <c r="O56" s="3355"/>
    </row>
    <row r="57" spans="1:35" ht="12.75">
      <c r="A57" s="2508" t="s">
        <v>1785</v>
      </c>
      <c r="B57" s="3395" t="s">
        <v>1810</v>
      </c>
      <c r="C57" s="3396"/>
      <c r="D57" s="1725">
        <v>0</v>
      </c>
      <c r="E57" s="329" t="s">
        <v>1787</v>
      </c>
      <c r="F57" s="307"/>
      <c r="G57" s="2730"/>
      <c r="H57" s="2734"/>
      <c r="I57" s="1944"/>
      <c r="J57" s="3371">
        <f>IF(AND(J55="",J56=""),4,IF(项目基本情况!K6="上海银行",结果表!J56+1,结果表!J55+1))</f>
        <v>5</v>
      </c>
      <c r="K57" s="3371" t="s">
        <v>1811</v>
      </c>
      <c r="L57" s="2705" t="s">
        <v>1812</v>
      </c>
      <c r="M57" s="2706"/>
      <c r="N57" s="2707">
        <f ca="1">SUMIF(M52:M56,"&lt;9e307")</f>
        <v>33239</v>
      </c>
      <c r="O57" s="2708"/>
      <c r="P57" s="2868">
        <f ca="1">N57/M49</f>
        <v>0.59552091731613366</v>
      </c>
    </row>
    <row r="58" spans="1:35" ht="24.75">
      <c r="A58" s="2508" t="s">
        <v>1796</v>
      </c>
      <c r="B58" s="3395" t="s">
        <v>1813</v>
      </c>
      <c r="C58" s="3394"/>
      <c r="D58" s="2497">
        <f ca="1">IF(H58="转让取得",C81,C97)</f>
        <v>31591</v>
      </c>
      <c r="E58" s="2507" t="s">
        <v>1808</v>
      </c>
      <c r="F58" s="307" t="s">
        <v>34</v>
      </c>
      <c r="G58" s="2730"/>
      <c r="H58" s="2733"/>
      <c r="I58" s="1944"/>
      <c r="J58" s="3371"/>
      <c r="K58" s="3371"/>
      <c r="L58" s="2705" t="s">
        <v>1814</v>
      </c>
      <c r="M58" s="2709"/>
      <c r="N58" s="2710" t="str">
        <f ca="1">NUMBERSTRING(INT(N57*10000),2)&amp;"元整"</f>
        <v>叁亿叁仟贰佰叁拾玖万元整</v>
      </c>
      <c r="O58" s="2711"/>
    </row>
    <row r="59" spans="1:35" ht="24.75" thickBot="1">
      <c r="A59" s="3375" t="s">
        <v>1815</v>
      </c>
      <c r="B59" s="3376"/>
      <c r="C59" s="3376"/>
      <c r="D59" s="2735">
        <f ca="1">IF(H59="非个人房产","——",IF(H59="个人住宅（满五唯一有凭证）",0,IF(H59="个人其他（无凭证）",ROUND(D45*F59,0),ROUND(C67*F59,0))))</f>
        <v>532</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2634</v>
      </c>
      <c r="J59" s="3373">
        <f>J57+1</f>
        <v>6</v>
      </c>
      <c r="K59" s="3371" t="s">
        <v>1816</v>
      </c>
      <c r="L59" s="2698" t="s">
        <v>1812</v>
      </c>
      <c r="M59" s="2712"/>
      <c r="N59" s="2713">
        <f ca="1">M49-N57</f>
        <v>22576</v>
      </c>
      <c r="O59" s="2714"/>
    </row>
    <row r="60" spans="1:35" ht="12" customHeight="1">
      <c r="A60" s="1945"/>
      <c r="B60" s="1883"/>
      <c r="C60" s="1883"/>
      <c r="D60" s="1883"/>
      <c r="E60" s="1713"/>
      <c r="F60" s="1944"/>
      <c r="G60" s="1944"/>
      <c r="H60" s="1946"/>
      <c r="I60" s="133"/>
      <c r="J60" s="3374"/>
      <c r="K60" s="3371"/>
      <c r="L60" s="2705" t="s">
        <v>1814</v>
      </c>
      <c r="M60" s="2709"/>
      <c r="N60" s="2710" t="str">
        <f ca="1">NUMBERSTRING(INT(N59*10000),2)&amp;"元整"</f>
        <v>贰亿贰仟伍佰柒拾陆万元整</v>
      </c>
      <c r="O60" s="2711"/>
    </row>
    <row r="61" spans="1:35" ht="13.5" thickBot="1">
      <c r="A61" s="3433" t="s">
        <v>1817</v>
      </c>
      <c r="B61" s="3433"/>
      <c r="C61" s="3433"/>
      <c r="D61" s="3433"/>
      <c r="E61" s="3433"/>
      <c r="F61" s="1944"/>
      <c r="G61" s="1944"/>
      <c r="H61" s="1946"/>
      <c r="I61" s="133"/>
      <c r="J61" s="2698">
        <f>J59+1</f>
        <v>7</v>
      </c>
      <c r="K61" s="3371" t="s">
        <v>1818</v>
      </c>
      <c r="L61" s="3371"/>
      <c r="M61" s="2715"/>
      <c r="N61" s="2716">
        <f ca="1">ROUND(N59*10000/'数据-汇总表'!E3,0)</f>
        <v>4384</v>
      </c>
      <c r="O61" s="2717"/>
    </row>
    <row r="62" spans="1:35" ht="12.75">
      <c r="A62" s="3390" t="s">
        <v>1819</v>
      </c>
      <c r="B62" s="3391"/>
      <c r="C62" s="2159"/>
      <c r="D62" s="2159" t="s">
        <v>1820</v>
      </c>
      <c r="E62" s="170" t="s">
        <v>1821</v>
      </c>
      <c r="F62" s="1944"/>
      <c r="G62" s="1944"/>
      <c r="H62" s="1946"/>
      <c r="I62" s="133"/>
    </row>
    <row r="63" spans="1:35" ht="12.75">
      <c r="A63" s="177" t="s">
        <v>594</v>
      </c>
      <c r="B63" s="171" t="s">
        <v>1822</v>
      </c>
      <c r="C63" s="2739">
        <f ca="1">ROUND((C64+C65)/(1+'数据-取费表'!C42),0)</f>
        <v>53157</v>
      </c>
      <c r="D63" s="171"/>
      <c r="E63" s="172"/>
      <c r="F63" s="1944"/>
      <c r="G63" s="1944"/>
      <c r="H63" s="1946"/>
      <c r="I63" s="133"/>
      <c r="J63" s="3354" t="s">
        <v>1823</v>
      </c>
      <c r="K63" s="1452" t="s">
        <v>1824</v>
      </c>
      <c r="L63" s="1452">
        <f ca="1">IF(M49&gt;10000,M49*0.5%,IF(AND(M49&gt;1000,M49&lt;=10000),M49*1%,IF(AND(M49&gt;100,M49&lt;=1000),M49*3%,IF(AND(M49&gt;10,M49&lt;=100),M49*5%,M49*8%))))</f>
        <v>279.07499999999999</v>
      </c>
      <c r="M63" s="307">
        <f ca="1">ROUND(L63,1)</f>
        <v>279.10000000000002</v>
      </c>
      <c r="N63" s="2718"/>
      <c r="Z63" s="1888"/>
      <c r="AI63" s="1889"/>
    </row>
    <row r="64" spans="1:35" ht="14.25" customHeight="1">
      <c r="A64" s="173" t="s">
        <v>589</v>
      </c>
      <c r="B64" s="174" t="s">
        <v>1825</v>
      </c>
      <c r="C64" s="2740">
        <f ca="1">D45</f>
        <v>55815</v>
      </c>
      <c r="D64" s="174" t="s">
        <v>32</v>
      </c>
      <c r="E64" s="176"/>
      <c r="F64" s="1944"/>
      <c r="G64" s="1944"/>
      <c r="H64" s="1946"/>
      <c r="I64" s="133"/>
      <c r="J64" s="3354"/>
      <c r="K64" s="1452" t="s">
        <v>1826</v>
      </c>
      <c r="L64" s="1452">
        <f ca="1">IF(M49&gt;2000,M49*0.5%,IF(AND(M49&gt;1000,M49&lt;=2000),M49*0.6%,IF(AND(M49&gt;500,M49&lt;=1000),M49*0.7%,IF(AND(M49&gt;200,M49&lt;=500),M49*0.8%,IF(AND(M49&gt;100,M49&lt;=200),M49*0.9%,IF(AND(M49&gt;50,M49&lt;=100),M49*1%,IF(AND(M49&gt;20,M49&lt;=50),M49*1.5%,IF(AND(M49&gt;10,M49&lt;=20),M49*2%,IF(AND(M49&gt;1,M49&lt;=10),M49*2.5%)))))))))</f>
        <v>279.07499999999999</v>
      </c>
      <c r="M64" s="307">
        <f t="shared" ref="M64:M65" ca="1" si="1">ROUND(L64,1)</f>
        <v>279.10000000000002</v>
      </c>
      <c r="N64" s="2719" t="s">
        <v>1827</v>
      </c>
      <c r="Z64" s="1888"/>
      <c r="AI64" s="1889"/>
    </row>
    <row r="65" spans="1:35" ht="14.25" customHeight="1">
      <c r="A65" s="173" t="s">
        <v>590</v>
      </c>
      <c r="B65" s="174" t="s">
        <v>1828</v>
      </c>
      <c r="C65" s="2741"/>
      <c r="D65" s="174"/>
      <c r="E65" s="176"/>
      <c r="F65" s="1944"/>
      <c r="G65" s="1944"/>
      <c r="H65" s="1946"/>
      <c r="I65" s="133"/>
      <c r="J65" s="3354"/>
      <c r="K65" s="1452" t="s">
        <v>1829</v>
      </c>
      <c r="L65" s="1452">
        <f ca="1">IF(M49&gt;1000,M49*0.1%,IF(AND(M49&gt;500,M49&lt;=1000),M49*0.5%,IF(AND(M49&gt;50,M49&lt;=500),M49*1%,IF(AND(M49&gt;1,M49&lt;=50),M49*1.5%))))</f>
        <v>55.814999999999998</v>
      </c>
      <c r="M65" s="307">
        <f t="shared" ca="1" si="1"/>
        <v>55.8</v>
      </c>
      <c r="N65" s="2719" t="s">
        <v>1827</v>
      </c>
      <c r="Z65" s="1888"/>
      <c r="AI65" s="1889"/>
    </row>
    <row r="66" spans="1:35" ht="14.25" customHeight="1">
      <c r="A66" s="177" t="s">
        <v>591</v>
      </c>
      <c r="B66" s="178" t="s">
        <v>1830</v>
      </c>
      <c r="C66" s="2742"/>
      <c r="D66" s="178" t="s">
        <v>32</v>
      </c>
      <c r="E66" s="1459" t="s">
        <v>1096</v>
      </c>
      <c r="F66" s="1944"/>
      <c r="G66" s="1944"/>
      <c r="H66" s="1946"/>
      <c r="I66" s="133"/>
      <c r="J66" s="3354"/>
      <c r="K66" s="1452" t="s">
        <v>1831</v>
      </c>
      <c r="L66" s="1452">
        <f ca="1">M49*0.5%</f>
        <v>279.07499999999999</v>
      </c>
      <c r="M66" s="307">
        <f ca="1">IF(L66&gt;0.5,0.5,ROUND(L66,0))</f>
        <v>0.5</v>
      </c>
      <c r="N66" s="2719" t="s">
        <v>1832</v>
      </c>
      <c r="Z66" s="1888"/>
      <c r="AI66" s="1889"/>
    </row>
    <row r="67" spans="1:35" ht="14.25" customHeight="1">
      <c r="A67" s="177" t="s">
        <v>592</v>
      </c>
      <c r="B67" s="178" t="s">
        <v>1833</v>
      </c>
      <c r="C67" s="2743">
        <f ca="1">C63-C66</f>
        <v>53157</v>
      </c>
      <c r="D67" s="174" t="s">
        <v>32</v>
      </c>
      <c r="E67" s="176"/>
      <c r="F67" s="1944"/>
      <c r="G67" s="1944"/>
      <c r="H67" s="1946"/>
      <c r="I67" s="133"/>
      <c r="J67" s="3354"/>
      <c r="K67" s="1452" t="s">
        <v>1834</v>
      </c>
      <c r="L67" s="1452">
        <f ca="1">IF(M49&gt;=10000,(8.25+(M49-10000)*0.01%),IF(AND(M49&gt;=8000,M49&lt;10000),(7.85+(M49-8000)*0.02%),IF(AND(M49&gt;=5000,M49&lt;8000),(6.65+(M49-5000)*0.04%),IF(AND(M49&gt;=2000,M49&lt;5000),(4.25+(PM49-2000)*0.08%),IF(AND(M49&gt;=1000,M49&lt;2000),(2.75+(M49-1000)*0.15%),IF(AND(M49&gt;=100,M49&lt;1000),(0.5+(M49-100)*0.25%),IF(AND(M49&gt;0,M49&lt;100),M49*0.5%)))))))</f>
        <v>12.8315</v>
      </c>
      <c r="M67" s="307">
        <f ca="1">ROUND(L67*0.9,1)</f>
        <v>11.5</v>
      </c>
      <c r="N67" s="2718"/>
      <c r="Z67" s="1888"/>
      <c r="AI67" s="1889"/>
    </row>
    <row r="68" spans="1:35" ht="14.25" customHeight="1" thickBot="1">
      <c r="A68" s="180" t="s">
        <v>593</v>
      </c>
      <c r="B68" s="181" t="s">
        <v>1835</v>
      </c>
      <c r="C68" s="2744">
        <f ca="1">IF(C67&lt;=0,0,ROUND(C67*D68,0))</f>
        <v>2977</v>
      </c>
      <c r="D68" s="2745">
        <f>'数据-取费表'!B41</f>
        <v>5.6000000000000001E-2</v>
      </c>
      <c r="E68" s="183"/>
      <c r="F68" s="1944"/>
      <c r="G68" s="1944"/>
      <c r="H68" s="1946"/>
      <c r="I68" s="133"/>
      <c r="J68" s="3354"/>
      <c r="K68" s="1452" t="s">
        <v>1836</v>
      </c>
      <c r="L68" s="1452">
        <f ca="1">IF(M49&gt;10000,M49*0.5%,IF(AND(M49&gt;5000,M49&lt;=10000),M49*1%,IF(AND(M49&gt;1000,M49&lt;=5000),M49*2%,IF(AND(M49&gt;200,M49&lt;=1000),M49*3%,M49*5%))))</f>
        <v>279.07499999999999</v>
      </c>
      <c r="M68" s="307">
        <f ca="1">ROUND(L68,1)</f>
        <v>279.10000000000002</v>
      </c>
      <c r="N68" s="2718"/>
      <c r="Z68" s="1888"/>
      <c r="AI68" s="1889"/>
    </row>
    <row r="69" spans="1:35" s="1908" customFormat="1" ht="16.5" customHeight="1">
      <c r="A69" s="1947"/>
      <c r="B69" s="1948"/>
      <c r="C69" s="1949"/>
      <c r="D69" s="1950"/>
      <c r="E69" s="1951"/>
      <c r="F69" s="1713"/>
      <c r="G69" s="1713"/>
      <c r="H69" s="1712"/>
      <c r="I69" s="1883"/>
      <c r="J69" s="3354"/>
      <c r="K69" s="1452" t="s">
        <v>1837</v>
      </c>
      <c r="L69" s="1452"/>
      <c r="M69" s="307">
        <f ca="1">ROUND(SUM(M63:M68),0)</f>
        <v>905</v>
      </c>
      <c r="N69" s="2720">
        <f ca="1">M69/M49</f>
        <v>1.6214279315596165E-2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8" t="s">
        <v>1838</v>
      </c>
      <c r="B70" s="3399"/>
      <c r="C70" s="3399"/>
      <c r="D70" s="3399"/>
      <c r="E70" s="3399"/>
      <c r="F70" s="3399"/>
      <c r="G70" s="3399"/>
      <c r="H70" s="339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0" t="s">
        <v>1819</v>
      </c>
      <c r="B71" s="3391"/>
      <c r="C71" s="2159"/>
      <c r="D71" s="2159" t="s">
        <v>1820</v>
      </c>
      <c r="E71" s="184" t="s">
        <v>1821</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1839</v>
      </c>
      <c r="C72" s="2743">
        <f ca="1">ROUND(D45/(1+'数据-取费表'!C42),0)</f>
        <v>53157</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1840</v>
      </c>
      <c r="C73" s="2743">
        <f ca="1">C74+C78</f>
        <v>319</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1841</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1842</v>
      </c>
      <c r="C75" s="2746"/>
      <c r="D75" s="174" t="s">
        <v>32</v>
      </c>
      <c r="E75" s="189" t="s">
        <v>1843</v>
      </c>
      <c r="F75" s="2747"/>
      <c r="G75" s="189"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1845</v>
      </c>
      <c r="C76" s="174">
        <f>IF(F75="购房发票",ROUND(C75*H75*D76,0),0)</f>
        <v>0</v>
      </c>
      <c r="D76" s="2749">
        <v>0.05</v>
      </c>
      <c r="E76" s="3395" t="s">
        <v>1846</v>
      </c>
      <c r="F76" s="3394"/>
      <c r="G76" s="3394"/>
      <c r="H76" s="339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1847</v>
      </c>
      <c r="C77" s="174">
        <f>ROUND(IF(G77="个人住宅",0,IF(G77="2016年5月1日前购买",C75*D77,C75*D77/(1+'数据-取费表'!C42))),0)</f>
        <v>0</v>
      </c>
      <c r="D77" s="2750">
        <f>'数据-取费表'!B48+'数据-取费表'!B49</f>
        <v>0.05</v>
      </c>
      <c r="E77" s="2497" t="s">
        <v>1848</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1849</v>
      </c>
      <c r="C78" s="2751">
        <f ca="1">ROUND(D45*D78/(1+'数据-取费表'!C42),0)</f>
        <v>319</v>
      </c>
      <c r="D78" s="2752">
        <f>'数据-取费表'!B43</f>
        <v>6.000000000000001E-3</v>
      </c>
      <c r="E78" s="3387" t="s">
        <v>1850</v>
      </c>
      <c r="F78" s="3388"/>
      <c r="G78" s="3388"/>
      <c r="H78" s="338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1851</v>
      </c>
      <c r="C79" s="2743">
        <f ca="1">C72-C73</f>
        <v>52838</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1852</v>
      </c>
      <c r="C80" s="2753">
        <f ca="1">IF(C79&lt;=0,0,C79/C73)</f>
        <v>165.63636363636363</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1853</v>
      </c>
      <c r="C81" s="2754">
        <f ca="1">ROUND(IF(C79&lt;=0,0,IF(C80&gt;=200%,C79*60%-C73*35%,IF(C80&gt;=100%,C79*50%-C73*15%,IF(C80&gt;=50%,C79*40%-C73*5%,IF(C80&lt;50%,C79*30%,0))))),0)</f>
        <v>31591</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8" t="s">
        <v>1854</v>
      </c>
      <c r="B83" s="3399"/>
      <c r="C83" s="3399"/>
      <c r="D83" s="3399"/>
      <c r="E83" s="3399"/>
      <c r="F83" s="3399"/>
      <c r="G83" s="3399"/>
      <c r="H83" s="339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0" t="s">
        <v>1819</v>
      </c>
      <c r="B84" s="3391"/>
      <c r="C84" s="2159"/>
      <c r="D84" s="2159" t="s">
        <v>1820</v>
      </c>
      <c r="E84" s="184" t="s">
        <v>1821</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1839</v>
      </c>
      <c r="C85" s="2743">
        <f ca="1">ROUND(D45/(1+'数据-取费表'!C42),0)</f>
        <v>53157</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1840</v>
      </c>
      <c r="C86" s="2743">
        <f ca="1">IF(H88="仅含出让金",C87+C90+C91+C92+C93+C94,C87+C91+C92+C93+C94)</f>
        <v>319</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1856</v>
      </c>
      <c r="C88" s="2757"/>
      <c r="D88" s="2752"/>
      <c r="E88" s="198" t="s">
        <v>1857</v>
      </c>
      <c r="F88" s="2500"/>
      <c r="G88" s="199" t="s">
        <v>1858</v>
      </c>
      <c r="H88" s="1960"/>
      <c r="I88" s="1957"/>
      <c r="J88" s="2696"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1847</v>
      </c>
      <c r="C89" s="2751">
        <f>ROUND(C88*D89,0)</f>
        <v>0</v>
      </c>
      <c r="D89" s="2752">
        <f>'数据-取费表'!B48+'数据-取费表'!B49</f>
        <v>0.05</v>
      </c>
      <c r="E89" s="198"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1860</v>
      </c>
      <c r="C90" s="2757"/>
      <c r="D90" s="2752"/>
      <c r="E90" s="198" t="str">
        <f>IF(H88="-","土地取得成本中已包含该笔费用"," ")</f>
        <v xml:space="preserve"> </v>
      </c>
      <c r="F90" s="2500"/>
      <c r="G90" s="3356" t="s">
        <v>2626</v>
      </c>
      <c r="H90" s="3357"/>
      <c r="I90" s="1957"/>
      <c r="J90" s="2696"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1861</v>
      </c>
      <c r="B91" s="174" t="s">
        <v>1862</v>
      </c>
      <c r="C91" s="2751">
        <f>IF(H91="——",成本法!C33,I91)</f>
        <v>0</v>
      </c>
      <c r="D91" s="2752"/>
      <c r="E91" s="3387" t="s">
        <v>1863</v>
      </c>
      <c r="F91" s="3388"/>
      <c r="G91" s="3388"/>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1864</v>
      </c>
      <c r="B92" s="174" t="s">
        <v>1865</v>
      </c>
      <c r="C92" s="2751">
        <f>ROUND((C87+C90+C91)*D92,0)</f>
        <v>0</v>
      </c>
      <c r="D92" s="2758"/>
      <c r="E92" s="3387" t="s">
        <v>1866</v>
      </c>
      <c r="F92" s="3388"/>
      <c r="G92" s="3388"/>
      <c r="H92" s="3389"/>
      <c r="I92" s="1957"/>
      <c r="J92" s="2697"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1867</v>
      </c>
      <c r="B93" s="174" t="s">
        <v>1849</v>
      </c>
      <c r="C93" s="2751">
        <f ca="1">ROUND(D45*D93/(1+'数据-取费表'!C42),0)</f>
        <v>319</v>
      </c>
      <c r="D93" s="2752">
        <f>'数据-取费表'!B43</f>
        <v>6.000000000000001E-3</v>
      </c>
      <c r="E93" s="3387" t="s">
        <v>1850</v>
      </c>
      <c r="F93" s="3388"/>
      <c r="G93" s="3388"/>
      <c r="H93" s="338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1868</v>
      </c>
      <c r="B94" s="174" t="s">
        <v>1869</v>
      </c>
      <c r="C94" s="2757">
        <f>ROUND((C87+C90+C91)*D94,0)</f>
        <v>0</v>
      </c>
      <c r="D94" s="2752">
        <v>0.2</v>
      </c>
      <c r="E94" s="3435" t="s">
        <v>1870</v>
      </c>
      <c r="F94" s="3436"/>
      <c r="G94" s="3436"/>
      <c r="H94" s="3437"/>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1851</v>
      </c>
      <c r="C95" s="2743">
        <f ca="1">ROUND(C85-C86,0)</f>
        <v>52838</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1852</v>
      </c>
      <c r="C96" s="2753">
        <f ca="1">IF(C95&lt;=0,0,C95/C86)</f>
        <v>165.63636363636363</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1853</v>
      </c>
      <c r="C97" s="2754">
        <f ca="1">ROUND(IF(C95&lt;=0,0,IF(C96&gt;=200%,C95*60%-C86*35%,IF(C96&gt;=100%,C95*50%-C86*15%,IF(C96&gt;=50%,C95*40%-C86*5%,IF(C96&lt;50%,C95*30%,0))))),0)</f>
        <v>31591</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1871</v>
      </c>
      <c r="B99" s="1883"/>
      <c r="C99" s="1883"/>
      <c r="D99" s="1883"/>
      <c r="E99" s="1713"/>
      <c r="F99" s="1713"/>
      <c r="G99" s="1713"/>
      <c r="H99" s="1712"/>
      <c r="I99" s="133"/>
    </row>
    <row r="100" spans="1:35" ht="18.75" customHeight="1">
      <c r="A100" s="3337" t="s">
        <v>1872</v>
      </c>
      <c r="B100" s="3338"/>
      <c r="C100" s="3338"/>
      <c r="D100" s="3372"/>
      <c r="E100" s="3338" t="s">
        <v>1873</v>
      </c>
      <c r="F100" s="3338"/>
      <c r="G100" s="3338"/>
      <c r="H100" s="3372"/>
      <c r="I100" s="133"/>
    </row>
    <row r="101" spans="1:35" ht="18.75" customHeight="1">
      <c r="A101" s="3380" t="s">
        <v>1874</v>
      </c>
      <c r="B101" s="3381"/>
      <c r="C101" s="2760" t="str">
        <f>C4</f>
        <v>成本法</v>
      </c>
      <c r="D101" s="2761" t="str">
        <f>D4</f>
        <v>假设开发法</v>
      </c>
      <c r="E101" s="3350" t="s">
        <v>1875</v>
      </c>
      <c r="F101" s="3351"/>
      <c r="G101" s="1963" t="s">
        <v>1876</v>
      </c>
      <c r="H101" s="2770">
        <f ca="1">H118</f>
        <v>55815</v>
      </c>
      <c r="I101" s="133"/>
    </row>
    <row r="102" spans="1:35" ht="18.75" customHeight="1">
      <c r="A102" s="3382" t="s">
        <v>1877</v>
      </c>
      <c r="B102" s="2759" t="s">
        <v>1876</v>
      </c>
      <c r="C102" s="2760">
        <f ca="1">C19</f>
        <v>42635</v>
      </c>
      <c r="D102" s="2761">
        <f ca="1">D19</f>
        <v>61464</v>
      </c>
      <c r="E102" s="3350"/>
      <c r="F102" s="3351"/>
      <c r="G102" s="1963" t="s">
        <v>1878</v>
      </c>
      <c r="H102" s="2730">
        <f ca="1">I118</f>
        <v>10839</v>
      </c>
      <c r="I102" s="133"/>
    </row>
    <row r="103" spans="1:35" ht="42.75" customHeight="1">
      <c r="A103" s="3382"/>
      <c r="B103" s="2759" t="s">
        <v>1878</v>
      </c>
      <c r="C103" s="2762">
        <f ca="1">C20</f>
        <v>8279</v>
      </c>
      <c r="D103" s="2763">
        <f ca="1">D20</f>
        <v>11936</v>
      </c>
      <c r="E103" s="3343" t="s">
        <v>1879</v>
      </c>
      <c r="F103" s="3344"/>
      <c r="G103" s="1964" t="s">
        <v>1880</v>
      </c>
      <c r="H103" s="2770">
        <f>IF(D36="正常操作",H104+H105+H106,H105+H106)</f>
        <v>0</v>
      </c>
      <c r="I103" s="133"/>
    </row>
    <row r="104" spans="1:35" ht="18.75" customHeight="1">
      <c r="A104" s="3382" t="s">
        <v>1881</v>
      </c>
      <c r="B104" s="2764" t="s">
        <v>1876</v>
      </c>
      <c r="C104" s="2765">
        <f ca="1">H118</f>
        <v>55815</v>
      </c>
      <c r="D104" s="2766"/>
      <c r="E104" s="1810" t="s">
        <v>1882</v>
      </c>
      <c r="F104" s="1801"/>
      <c r="G104" s="1964" t="s">
        <v>1880</v>
      </c>
      <c r="H104" s="2771">
        <f>IF(D36="同一抵押权人同一抵押物续贷",C36&amp;"（续贷，未扣减，详见特别提示）",C36)</f>
        <v>0</v>
      </c>
      <c r="I104" s="133"/>
    </row>
    <row r="105" spans="1:35" ht="18.75" customHeight="1" thickBot="1">
      <c r="A105" s="3392"/>
      <c r="B105" s="2767" t="s">
        <v>1878</v>
      </c>
      <c r="C105" s="2768">
        <f ca="1">I118</f>
        <v>10839</v>
      </c>
      <c r="D105" s="2769"/>
      <c r="E105" s="1810" t="s">
        <v>1883</v>
      </c>
      <c r="F105" s="1801"/>
      <c r="G105" s="1964" t="s">
        <v>1880</v>
      </c>
      <c r="H105" s="2772">
        <f>C37</f>
        <v>0</v>
      </c>
      <c r="I105" s="133"/>
    </row>
    <row r="106" spans="1:35" ht="18.75" customHeight="1">
      <c r="A106" s="1883" t="s">
        <v>1884</v>
      </c>
      <c r="B106" s="1883"/>
      <c r="C106" s="1883"/>
      <c r="D106" s="1883"/>
      <c r="E106" s="1965" t="s">
        <v>1885</v>
      </c>
      <c r="F106" s="1801"/>
      <c r="G106" s="1964" t="s">
        <v>1880</v>
      </c>
      <c r="H106" s="2772">
        <f>C38</f>
        <v>0</v>
      </c>
      <c r="I106" s="133"/>
    </row>
    <row r="107" spans="1:35" ht="18.75" customHeight="1">
      <c r="A107" s="133"/>
      <c r="B107" s="133"/>
      <c r="C107" s="133"/>
      <c r="D107" s="133"/>
      <c r="E107" s="3383" t="str">
        <f>IF(项目基本情况!E8="已注销","——","3.房地产抵押价值")</f>
        <v>3.房地产抵押价值</v>
      </c>
      <c r="F107" s="3351"/>
      <c r="G107" s="1963" t="s">
        <v>1876</v>
      </c>
      <c r="H107" s="2770">
        <f ca="1">IF(E107="——","——",H101-H103)</f>
        <v>55815</v>
      </c>
      <c r="I107" s="133"/>
    </row>
    <row r="108" spans="1:35" ht="18.75" customHeight="1">
      <c r="A108" s="133"/>
      <c r="B108" s="133"/>
      <c r="C108" s="133"/>
      <c r="D108" s="133"/>
      <c r="E108" s="3383"/>
      <c r="F108" s="3351"/>
      <c r="G108" s="1963" t="s">
        <v>1878</v>
      </c>
      <c r="H108" s="2730">
        <f ca="1">ROUND(H107*10000/'数据-汇总表'!E3,0)</f>
        <v>10839</v>
      </c>
      <c r="I108" s="133"/>
    </row>
    <row r="109" spans="1:35" ht="18.75" customHeight="1">
      <c r="A109" s="133"/>
      <c r="B109" s="133"/>
      <c r="C109" s="133"/>
      <c r="D109" s="133"/>
      <c r="E109" s="3383" t="str">
        <f>IF(项目基本情况!E8="已注销及未注销","4.抵押担保权已注销时的房地产抵押价值",IF(项目基本情况!E8="已注销","3.抵押担保权已注销时的房地产抵押价值","——"))</f>
        <v>——</v>
      </c>
      <c r="F109" s="3351"/>
      <c r="G109" s="1963" t="s">
        <v>1876</v>
      </c>
      <c r="H109" s="2773" t="str">
        <f>IF(E109="——","——",H101-H105-H106)</f>
        <v>——</v>
      </c>
      <c r="I109" s="133"/>
    </row>
    <row r="110" spans="1:35" ht="18.75" customHeight="1">
      <c r="A110" s="133"/>
      <c r="B110" s="133"/>
      <c r="C110" s="133"/>
      <c r="D110" s="133"/>
      <c r="E110" s="3383"/>
      <c r="F110" s="3351"/>
      <c r="G110" s="1963" t="s">
        <v>1878</v>
      </c>
      <c r="H110" s="2730" t="str">
        <f>IF(H109="——","——",ROUND(H109*10000/'数据-汇总表'!E3,0))</f>
        <v>——</v>
      </c>
      <c r="I110" s="133"/>
    </row>
    <row r="111" spans="1:35" ht="18.75" customHeight="1">
      <c r="A111" s="133"/>
      <c r="B111" s="133"/>
      <c r="C111" s="133"/>
      <c r="D111" s="133"/>
      <c r="E111" s="3384" t="str">
        <f>IF(项目基本情况!E9="抵押净值",IF(OR(项目基本情况!E8="已注销",项目基本情况!E8="房地产抵押价值"),"4.抵押净值","5.抵押净值"),"——")</f>
        <v>4.抵押净值</v>
      </c>
      <c r="F111" s="3370"/>
      <c r="G111" s="1963" t="s">
        <v>1876</v>
      </c>
      <c r="H111" s="2770">
        <f ca="1">IF(E111="——","——",N59)</f>
        <v>22576</v>
      </c>
      <c r="I111" s="133"/>
    </row>
    <row r="112" spans="1:35" ht="18.75" customHeight="1" thickBot="1">
      <c r="A112" s="133"/>
      <c r="B112" s="133"/>
      <c r="C112" s="133"/>
      <c r="D112" s="133"/>
      <c r="E112" s="3385"/>
      <c r="F112" s="3386"/>
      <c r="G112" s="1966" t="s">
        <v>1878</v>
      </c>
      <c r="H112" s="2774">
        <f ca="1">IF(E111="——","——",N61)</f>
        <v>4384</v>
      </c>
      <c r="I112" s="133"/>
    </row>
    <row r="113" spans="1:27" ht="18.75" customHeight="1">
      <c r="A113" s="133"/>
      <c r="B113" s="133"/>
      <c r="C113" s="133"/>
      <c r="D113" s="133"/>
      <c r="E113" s="3393" t="s">
        <v>1884</v>
      </c>
      <c r="F113" s="3393"/>
      <c r="G113" s="3393"/>
      <c r="H113" s="3393"/>
      <c r="I113" s="133"/>
    </row>
    <row r="114" spans="1:27" ht="3.75" customHeight="1">
      <c r="A114" s="1883"/>
      <c r="B114" s="1883"/>
      <c r="C114" s="1883"/>
      <c r="D114" s="1883"/>
      <c r="E114" s="1945"/>
      <c r="F114" s="1945"/>
      <c r="G114" s="1945"/>
      <c r="H114" s="1945"/>
      <c r="I114" s="1883"/>
    </row>
    <row r="115" spans="1:27" ht="18.75" customHeight="1">
      <c r="A115" s="3404" t="s">
        <v>1886</v>
      </c>
      <c r="B115" s="3405"/>
      <c r="C115" s="3405"/>
      <c r="D115" s="3405"/>
      <c r="E115" s="3405"/>
      <c r="F115" s="3405"/>
      <c r="G115" s="3405"/>
      <c r="H115" s="3405"/>
      <c r="I115" s="3406"/>
    </row>
    <row r="116" spans="1:27" ht="27" customHeight="1">
      <c r="A116" s="3358" t="s">
        <v>1887</v>
      </c>
      <c r="B116" s="3362" t="s">
        <v>1888</v>
      </c>
      <c r="C116" s="3362" t="s">
        <v>1889</v>
      </c>
      <c r="D116" s="3368" t="s">
        <v>1890</v>
      </c>
      <c r="E116" s="3369"/>
      <c r="F116" s="3400" t="s">
        <v>1891</v>
      </c>
      <c r="G116" s="3400"/>
      <c r="H116" s="3358" t="s">
        <v>1892</v>
      </c>
      <c r="I116" s="3358"/>
    </row>
    <row r="117" spans="1:27" ht="18.75" customHeight="1">
      <c r="A117" s="3358"/>
      <c r="B117" s="3363"/>
      <c r="C117" s="3363"/>
      <c r="D117" s="2502" t="s">
        <v>1893</v>
      </c>
      <c r="E117" s="2502" t="s">
        <v>1894</v>
      </c>
      <c r="F117" s="2502" t="s">
        <v>1893</v>
      </c>
      <c r="G117" s="2502" t="s">
        <v>1895</v>
      </c>
      <c r="H117" s="2502" t="s">
        <v>1893</v>
      </c>
      <c r="I117" s="2502" t="s">
        <v>1895</v>
      </c>
    </row>
    <row r="118" spans="1:27" ht="24.75" customHeight="1">
      <c r="A118" s="2775" t="str">
        <f>项目基本情况!S2</f>
        <v>北京市朝阳区红松园1号院教育科研项目房地产</v>
      </c>
      <c r="B118" s="2502">
        <f>M18</f>
        <v>51495</v>
      </c>
      <c r="C118" s="2502">
        <f>M19</f>
        <v>9950.6</v>
      </c>
      <c r="D118" s="2502">
        <f ca="1">ROUND(IF(D32="总价",C34,E118*B118/10000),0)</f>
        <v>31815</v>
      </c>
      <c r="E118" s="2502">
        <f ca="1">ROUND(IF(C33="自定义",IF(D32="楼面单价",C34,D118*10000/B118),I118-G118),0)</f>
        <v>6178</v>
      </c>
      <c r="F118" s="2502">
        <f ca="1">ROUND(IF(D32="总价",C35,G118*B118/10000),0)</f>
        <v>24000</v>
      </c>
      <c r="G118" s="2502">
        <f ca="1">ROUND(IF(D32="楼面单价",C35,F118*10000/B118),0)</f>
        <v>4661</v>
      </c>
      <c r="H118" s="2502">
        <f ca="1">ROUND(IF(D32="总价",C32,I118*B118/10000),0)</f>
        <v>55815</v>
      </c>
      <c r="I118" s="2502">
        <f ca="1">ROUND(IF(D32="楼面单价",C32,H118*10000/B118),0)</f>
        <v>10839</v>
      </c>
    </row>
    <row r="119" spans="1:27" ht="18.75" customHeight="1">
      <c r="A119" s="3358" t="s">
        <v>1896</v>
      </c>
      <c r="B119" s="3358"/>
      <c r="C119" s="3358"/>
      <c r="D119" s="3364" t="str">
        <f ca="1">NUMBERSTRING(INT(D118*10000),2)&amp;"元整"</f>
        <v>叁亿壹仟捌佰壹拾伍万元整</v>
      </c>
      <c r="E119" s="3365"/>
      <c r="F119" s="3364" t="str">
        <f ca="1">NUMBERSTRING(INT(F118*10000),2)&amp;"元整"</f>
        <v>贰亿肆仟万元整</v>
      </c>
      <c r="G119" s="3365"/>
      <c r="H119" s="3364" t="str">
        <f ca="1">NUMBERSTRING(INT(H118*10000),2)&amp;"元整"</f>
        <v>伍亿伍仟捌佰壹拾伍万元整</v>
      </c>
      <c r="I119" s="3365"/>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1" t="s">
        <v>1896</v>
      </c>
      <c r="B121" s="3402"/>
      <c r="C121" s="3403"/>
      <c r="D121" s="3364" t="str">
        <f>IF(D120=0,"零元整",NUMBERSTRING(INT(D120*10000),2)&amp;"元整")</f>
        <v>零元整</v>
      </c>
      <c r="E121" s="3366"/>
      <c r="F121" s="3366"/>
      <c r="G121" s="3366"/>
      <c r="H121" s="3366"/>
      <c r="I121" s="3365"/>
      <c r="AA121" s="733"/>
    </row>
    <row r="122" spans="1:27" ht="18.75" customHeight="1">
      <c r="A122" s="3370" t="str">
        <f>IF(项目基本情况!B9="房地产市场价值","",MID(E107,3,LEN(E107)-2))</f>
        <v>房地产抵押价值</v>
      </c>
      <c r="B122" s="3370"/>
      <c r="C122" s="3370"/>
      <c r="D122" s="3359">
        <f ca="1">H107</f>
        <v>55815</v>
      </c>
      <c r="E122" s="3360"/>
      <c r="F122" s="3360"/>
      <c r="G122" s="3360"/>
      <c r="H122" s="3360"/>
      <c r="I122" s="3361"/>
      <c r="AA122" s="733"/>
    </row>
    <row r="123" spans="1:27" ht="18.75" customHeight="1">
      <c r="A123" s="3358" t="s">
        <v>1896</v>
      </c>
      <c r="B123" s="3358"/>
      <c r="C123" s="3358"/>
      <c r="D123" s="3364" t="str">
        <f ca="1">NUMBERSTRING(INT(D122*10000),2)&amp;"元整"</f>
        <v>伍亿伍仟捌佰壹拾伍万元整</v>
      </c>
      <c r="E123" s="3366"/>
      <c r="F123" s="3366"/>
      <c r="G123" s="3366"/>
      <c r="H123" s="3366"/>
      <c r="I123" s="3365"/>
      <c r="AA123" s="733"/>
    </row>
    <row r="124" spans="1:27" ht="18.75" customHeight="1">
      <c r="A124" s="3370" t="str">
        <f>IF(项目基本情况!B9="房地产市场价值","",MID(E109,3,LEN(E109)-2))</f>
        <v/>
      </c>
      <c r="B124" s="3370"/>
      <c r="C124" s="3370"/>
      <c r="D124" s="3359" t="str">
        <f>H109</f>
        <v>——</v>
      </c>
      <c r="E124" s="3360"/>
      <c r="F124" s="3360"/>
      <c r="G124" s="3360"/>
      <c r="H124" s="3360"/>
      <c r="I124" s="3361"/>
      <c r="AA124" s="733"/>
    </row>
    <row r="125" spans="1:27" ht="18.75" customHeight="1">
      <c r="A125" s="3358" t="s">
        <v>1896</v>
      </c>
      <c r="B125" s="3358"/>
      <c r="C125" s="3358"/>
      <c r="D125" s="3364" t="e">
        <f>NUMBERSTRING(INT(D124*10000),2)&amp;"元整"</f>
        <v>#VALUE!</v>
      </c>
      <c r="E125" s="3366"/>
      <c r="F125" s="3366"/>
      <c r="G125" s="3366"/>
      <c r="H125" s="3366"/>
      <c r="I125" s="3365"/>
      <c r="AA125" s="733"/>
    </row>
    <row r="126" spans="1:27" ht="18.75" customHeight="1">
      <c r="A126" s="3370" t="str">
        <f>IF(项目基本情况!B9="房地产市场价值","",MID(E111,3,LEN(E111)-2))</f>
        <v>抵押净值</v>
      </c>
      <c r="B126" s="3370"/>
      <c r="C126" s="3370"/>
      <c r="D126" s="3359">
        <f ca="1">H111</f>
        <v>22576</v>
      </c>
      <c r="E126" s="3360"/>
      <c r="F126" s="3360"/>
      <c r="G126" s="3360"/>
      <c r="H126" s="3360"/>
      <c r="I126" s="3361"/>
      <c r="AA126" s="733"/>
    </row>
    <row r="127" spans="1:27" ht="18.75" customHeight="1">
      <c r="A127" s="3358" t="s">
        <v>1896</v>
      </c>
      <c r="B127" s="3358"/>
      <c r="C127" s="3358"/>
      <c r="D127" s="3364" t="str">
        <f ca="1">NUMBERSTRING(INT(D126*10000),2)&amp;"元整"</f>
        <v>贰亿贰仟伍佰柒拾陆万元整</v>
      </c>
      <c r="E127" s="3366"/>
      <c r="F127" s="3366"/>
      <c r="G127" s="3366"/>
      <c r="H127" s="3366"/>
      <c r="I127" s="3365"/>
      <c r="AA127" s="733"/>
    </row>
    <row r="128" spans="1:27" ht="21.75" customHeight="1">
      <c r="A128" s="3367" t="s">
        <v>1897</v>
      </c>
      <c r="B128" s="3367"/>
      <c r="C128" s="3367"/>
      <c r="D128" s="3367"/>
      <c r="E128" s="3367"/>
      <c r="F128" s="3367"/>
      <c r="G128" s="3367"/>
      <c r="H128" s="3367"/>
      <c r="I128" s="3367"/>
      <c r="AA128" s="733"/>
    </row>
    <row r="129" spans="1:35" ht="21.75" customHeight="1">
      <c r="A129" s="1967" t="s">
        <v>1898</v>
      </c>
      <c r="B129" s="1968"/>
      <c r="C129" s="1969" t="s">
        <v>1899</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1900</v>
      </c>
      <c r="G135" s="1984"/>
      <c r="H135" s="1984"/>
      <c r="I135" s="1985" t="s">
        <v>1901</v>
      </c>
    </row>
    <row r="136" spans="1:35" ht="21.75" customHeight="1">
      <c r="A136" s="733"/>
      <c r="B136" s="1986" t="s">
        <v>1902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1903</v>
      </c>
    </row>
    <row r="139" spans="1:35" ht="21.75" customHeight="1">
      <c r="A139" s="733"/>
      <c r="B139" s="1986" t="s">
        <v>1904</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1903</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7" sqref="G2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4"/>
      <c r="C1" s="203"/>
      <c r="D1" s="203"/>
      <c r="E1" s="203"/>
      <c r="F1" s="203"/>
      <c r="G1" s="1240">
        <f>MATCH(B1,'数据-取费表'!A6:A16,0)+5</f>
        <v>8</v>
      </c>
    </row>
    <row r="2" spans="1:9" s="205" customFormat="1" ht="18" customHeight="1">
      <c r="A2" s="206" t="s">
        <v>1906</v>
      </c>
      <c r="B2" s="207">
        <f ca="1">IF(D2="——",C52,C52-E2)</f>
        <v>42635</v>
      </c>
      <c r="C2" s="204" t="s">
        <v>1907</v>
      </c>
      <c r="D2" s="1989" t="s">
        <v>70</v>
      </c>
      <c r="E2" s="1283" t="e">
        <f ca="1">SUMIF(INDIRECT("'"&amp;G2&amp;"'"&amp;"!A:A"),"承租人权益价值",INDIRECT("'"&amp;G2&amp;"'"&amp;"!c:c"))</f>
        <v>#REF!</v>
      </c>
      <c r="F2" s="1990" t="s">
        <v>1907</v>
      </c>
      <c r="G2" s="1991"/>
    </row>
    <row r="3" spans="1:9" s="205" customFormat="1" ht="18" customHeight="1" thickBot="1">
      <c r="A3" s="208" t="s">
        <v>1908</v>
      </c>
      <c r="B3" s="209">
        <f ca="1">ROUND(B2*10000/(IF(B1="",'数据-汇总表'!E3,INDIRECT("'数据-取费表'!k"&amp;$G$1))),0)</f>
        <v>8279</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 ca="1">C6+C7+C8</f>
        <v>19641</v>
      </c>
      <c r="D5" s="216" t="s">
        <v>1913</v>
      </c>
      <c r="E5" s="217" t="s">
        <v>1914</v>
      </c>
      <c r="F5" s="217" t="s">
        <v>1915</v>
      </c>
      <c r="G5" s="218"/>
    </row>
    <row r="6" spans="1:9" s="219" customFormat="1" ht="13.5" customHeight="1">
      <c r="A6" s="866" t="s">
        <v>1916</v>
      </c>
      <c r="B6" s="220" t="s">
        <v>1917</v>
      </c>
      <c r="C6" s="221">
        <f>[3]基准地价修正!$E$42+[3]基准地价修正!$E$33</f>
        <v>17725</v>
      </c>
      <c r="D6" s="222"/>
      <c r="E6" s="223"/>
      <c r="F6" s="223"/>
      <c r="G6" s="224"/>
    </row>
    <row r="7" spans="1:9" s="219" customFormat="1" ht="13.5" customHeight="1">
      <c r="A7" s="866" t="s">
        <v>1918</v>
      </c>
      <c r="B7" s="220" t="s">
        <v>1919</v>
      </c>
      <c r="C7" s="225">
        <f>ROUND(C6*F7,0)</f>
        <v>886</v>
      </c>
      <c r="D7" s="225"/>
      <c r="E7" s="223"/>
      <c r="F7" s="226">
        <f>IF(项目基本情况!B8="出让",0,'数据-取费表'!B48+'数据-取费表'!B49)</f>
        <v>0.05</v>
      </c>
      <c r="G7" s="224"/>
    </row>
    <row r="8" spans="1:9" s="228" customFormat="1">
      <c r="A8" s="866" t="s">
        <v>1920</v>
      </c>
      <c r="B8" s="220" t="s">
        <v>1921</v>
      </c>
      <c r="C8" s="225">
        <f ca="1">IF(G8="已包含在土地购买价格中","0",IF(B1="",'数据-取费表'!B29,IF(G9="全部缴纳",C9+C10,H9)))</f>
        <v>1030</v>
      </c>
      <c r="D8" s="227"/>
      <c r="E8" s="225"/>
      <c r="F8" s="226"/>
      <c r="G8" s="1992" t="s">
        <v>3193</v>
      </c>
    </row>
    <row r="9" spans="1:9" s="219" customFormat="1" ht="13.5" customHeight="1">
      <c r="A9" s="867" t="s">
        <v>619</v>
      </c>
      <c r="B9" s="229" t="s">
        <v>1922</v>
      </c>
      <c r="C9" s="230">
        <f ca="1">ROUND(D9*E9/10000,0)</f>
        <v>0</v>
      </c>
      <c r="D9" s="934">
        <f ca="1">IF(B1="",'数据-汇总表'!E5,IF(INDIRECT("'数据-取费表'!c"&amp;$G$1)="住宅",INDIRECT("'数据-取费表'!k"&amp;$G$1),0))</f>
        <v>0</v>
      </c>
      <c r="E9" s="230">
        <f>'数据-取费表'!B27</f>
        <v>160</v>
      </c>
      <c r="F9" s="226"/>
      <c r="G9" s="1993" t="s">
        <v>3194</v>
      </c>
      <c r="H9" s="1251"/>
      <c r="I9" s="1994" t="s">
        <v>1923</v>
      </c>
    </row>
    <row r="10" spans="1:9" s="219" customFormat="1" ht="13.5" customHeight="1">
      <c r="A10" s="867" t="s">
        <v>620</v>
      </c>
      <c r="B10" s="229" t="s">
        <v>1924</v>
      </c>
      <c r="C10" s="230">
        <f ca="1">ROUND(D10*E10/10000,0)</f>
        <v>1030</v>
      </c>
      <c r="D10" s="934">
        <f ca="1">IF(B1="",'数据-汇总表'!E6,IF(INDIRECT("'数据-取费表'!c"&amp;$G$1)="住宅",INDIRECT("'数据-取费表'!s"&amp;$G$1),INDIRECT("'数据-取费表'!k"&amp;$G$1)+INDIRECT("'数据-取费表'!s"&amp;$G$1)))</f>
        <v>51495</v>
      </c>
      <c r="E10" s="230">
        <f>'数据-取费表'!B28</f>
        <v>200</v>
      </c>
      <c r="F10" s="226"/>
      <c r="G10" s="231"/>
    </row>
    <row r="11" spans="1:9" s="219" customFormat="1" ht="13.5" hidden="1" customHeight="1">
      <c r="A11" s="232" t="s">
        <v>7</v>
      </c>
      <c r="B11" s="220" t="s">
        <v>1925</v>
      </c>
      <c r="C11" s="216"/>
      <c r="D11" s="936"/>
      <c r="E11" s="223"/>
      <c r="F11" s="223"/>
      <c r="G11" s="224"/>
    </row>
    <row r="12" spans="1:9" s="219" customFormat="1" ht="13.5" hidden="1" customHeight="1">
      <c r="A12" s="232" t="s">
        <v>8</v>
      </c>
      <c r="B12" s="220" t="s">
        <v>1926</v>
      </c>
      <c r="C12" s="216">
        <v>0</v>
      </c>
      <c r="D12" s="936"/>
      <c r="E12" s="233"/>
      <c r="F12" s="226">
        <v>3.0499999999999999E-2</v>
      </c>
      <c r="G12" s="224"/>
    </row>
    <row r="13" spans="1:9" s="219" customFormat="1" ht="13.5" hidden="1" customHeight="1">
      <c r="A13" s="232" t="s">
        <v>9</v>
      </c>
      <c r="B13" s="220" t="s">
        <v>1927</v>
      </c>
      <c r="C13" s="216"/>
      <c r="D13" s="936"/>
      <c r="E13" s="223"/>
      <c r="F13" s="223"/>
      <c r="G13" s="224"/>
    </row>
    <row r="14" spans="1:9" s="219" customFormat="1" ht="13.5" hidden="1" customHeight="1">
      <c r="A14" s="232" t="s">
        <v>10</v>
      </c>
      <c r="B14" s="220" t="s">
        <v>1928</v>
      </c>
      <c r="C14" s="216"/>
      <c r="D14" s="936"/>
      <c r="E14" s="223"/>
      <c r="F14" s="223"/>
      <c r="G14" s="224" t="s">
        <v>1929</v>
      </c>
    </row>
    <row r="15" spans="1:9" s="219" customFormat="1" ht="13.5" hidden="1" customHeight="1">
      <c r="A15" s="232" t="s">
        <v>11</v>
      </c>
      <c r="B15" s="220" t="s">
        <v>1930</v>
      </c>
      <c r="C15" s="225"/>
      <c r="D15" s="936"/>
      <c r="E15" s="223"/>
      <c r="F15" s="223"/>
      <c r="G15" s="224" t="s">
        <v>1931</v>
      </c>
    </row>
    <row r="16" spans="1:9" s="219" customFormat="1" ht="13.5" hidden="1" customHeight="1">
      <c r="A16" s="232" t="s">
        <v>12</v>
      </c>
      <c r="B16" s="220" t="s">
        <v>1928</v>
      </c>
      <c r="C16" s="225"/>
      <c r="D16" s="936"/>
      <c r="E16" s="223"/>
      <c r="F16" s="223"/>
      <c r="G16" s="224"/>
    </row>
    <row r="17" spans="1:7" s="219" customFormat="1" ht="13.5" hidden="1" customHeight="1">
      <c r="A17" s="232" t="s">
        <v>13</v>
      </c>
      <c r="B17" s="220" t="s">
        <v>1932</v>
      </c>
      <c r="C17" s="234"/>
      <c r="D17" s="937"/>
      <c r="E17" s="234"/>
      <c r="F17" s="234"/>
      <c r="G17" s="224" t="s">
        <v>1931</v>
      </c>
    </row>
    <row r="18" spans="1:7" s="219" customFormat="1" ht="13.5" hidden="1" customHeight="1">
      <c r="A18" s="232" t="s">
        <v>14</v>
      </c>
      <c r="B18" s="220" t="s">
        <v>1933</v>
      </c>
      <c r="C18" s="225">
        <v>0</v>
      </c>
      <c r="D18" s="936"/>
      <c r="E18" s="223"/>
      <c r="F18" s="226">
        <v>3.0499999999999999E-2</v>
      </c>
      <c r="G18" s="224" t="s">
        <v>1934</v>
      </c>
    </row>
    <row r="19" spans="1:7" s="228" customFormat="1" ht="13.5" customHeight="1">
      <c r="A19" s="260" t="s">
        <v>1935</v>
      </c>
      <c r="B19" s="215" t="s">
        <v>1936</v>
      </c>
      <c r="C19" s="216" t="str">
        <f>IF(G19="已包含在土地取得成本中","0",ROUND(D19*E19/10000,0))</f>
        <v>0</v>
      </c>
      <c r="D19" s="938">
        <f ca="1">D9+D10</f>
        <v>51495</v>
      </c>
      <c r="E19" s="216">
        <f>'数据-取费表'!B31</f>
        <v>200</v>
      </c>
      <c r="F19" s="236"/>
      <c r="G19" s="1992" t="s">
        <v>3195</v>
      </c>
    </row>
    <row r="20" spans="1:7" s="219" customFormat="1" ht="13.5" customHeight="1">
      <c r="A20" s="260" t="s">
        <v>1937</v>
      </c>
      <c r="B20" s="215" t="s">
        <v>1938</v>
      </c>
      <c r="C20" s="237">
        <f ca="1">ROUND((C5+C19)*F20,0)</f>
        <v>393</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6">
        <f ca="1">ROUND(SUM(C23:C25),0)</f>
        <v>952</v>
      </c>
      <c r="D22" s="240">
        <f ca="1">C26</f>
        <v>5.0000000000000001E-4</v>
      </c>
      <c r="E22" s="241" t="s">
        <v>1942</v>
      </c>
      <c r="F22" s="242">
        <f ca="1">'数据-取费表'!B40</f>
        <v>4.2000000000000003E-2</v>
      </c>
      <c r="G22" s="239" t="str">
        <f>IF('数据-取费表'!B22&lt;=1,"单利计息","复利计息")</f>
        <v>复利计息</v>
      </c>
    </row>
    <row r="23" spans="1:7" s="219" customFormat="1" ht="13.5" customHeight="1">
      <c r="A23" s="868" t="s">
        <v>1946</v>
      </c>
      <c r="B23" s="220" t="s">
        <v>1947</v>
      </c>
      <c r="C23" s="1217">
        <f ca="1">ROUND(IF('数据-取费表'!B22&lt;=1,C5*F22*'数据-取费表'!B23,C5*(POWER((1+F22),'数据-取费表'!B23)-1)),0)</f>
        <v>943</v>
      </c>
      <c r="D23" s="243"/>
      <c r="E23" s="243"/>
      <c r="F23" s="244"/>
      <c r="G23" s="245" t="s">
        <v>1948</v>
      </c>
    </row>
    <row r="24" spans="1:7" s="219" customFormat="1" ht="13.5" customHeight="1">
      <c r="A24" s="868" t="s">
        <v>1949</v>
      </c>
      <c r="B24" s="220" t="s">
        <v>1950</v>
      </c>
      <c r="C24" s="1217">
        <f ca="1">ROUND(IF('数据-取费表'!B22&lt;=1,C19*F22*('数据-取费表'!B19/2+'数据-取费表'!B21),C19*(POWER((1+F22),('数据-取费表'!B19/2+'数据-取费表'!B21))-1)),0)</f>
        <v>0</v>
      </c>
      <c r="D24" s="243"/>
      <c r="E24" s="243"/>
      <c r="F24" s="244"/>
      <c r="G24" s="245" t="s">
        <v>1951</v>
      </c>
    </row>
    <row r="25" spans="1:7" s="219" customFormat="1" ht="24">
      <c r="A25" s="868" t="s">
        <v>1952</v>
      </c>
      <c r="B25" s="220" t="s">
        <v>1953</v>
      </c>
      <c r="C25" s="1217">
        <f ca="1">ROUND(IF('数据-取费表'!B22&lt;=1,C20*F22*'数据-取费表'!B23/2,C20*(POWER((1+F22),'数据-取费表'!B23/2)-1)),0)</f>
        <v>9</v>
      </c>
      <c r="D25" s="243"/>
      <c r="E25" s="246"/>
      <c r="F25" s="244"/>
      <c r="G25" s="247" t="s">
        <v>1954</v>
      </c>
    </row>
    <row r="26" spans="1:7" s="219" customFormat="1">
      <c r="A26" s="868" t="s">
        <v>614</v>
      </c>
      <c r="B26" s="220" t="s">
        <v>1955</v>
      </c>
      <c r="C26" s="243">
        <f ca="1">ROUND(IF('数据-取费表'!B22&lt;=1,F21*F22*'数据-取费表'!B23/2,F21*(POWER((1+F22),'数据-取费表'!B23/2)-1)),4)</f>
        <v>5.0000000000000001E-4</v>
      </c>
      <c r="D26" s="243"/>
      <c r="E26" s="246"/>
      <c r="F26" s="244"/>
      <c r="G26" s="248"/>
    </row>
    <row r="27" spans="1:7" s="219" customFormat="1" ht="24.75">
      <c r="A27" s="260" t="s">
        <v>1956</v>
      </c>
      <c r="B27" s="249" t="s">
        <v>1957</v>
      </c>
      <c r="C27" s="250">
        <f ca="1">C28</f>
        <v>1485</v>
      </c>
      <c r="D27" s="240">
        <f ca="1">C29</f>
        <v>1.5E-3</v>
      </c>
      <c r="E27" s="241" t="s">
        <v>1958</v>
      </c>
      <c r="F27" s="251">
        <f ca="1">IF(B1="",'数据-取费表'!Q16,INDIRECT("'数据-取费表'!q"&amp;$G$1))</f>
        <v>0.13</v>
      </c>
      <c r="G27" s="252" t="s">
        <v>1959</v>
      </c>
    </row>
    <row r="28" spans="1:7" s="219" customFormat="1" ht="13.5" customHeight="1">
      <c r="A28" s="868" t="s">
        <v>610</v>
      </c>
      <c r="B28" s="253" t="s">
        <v>1960</v>
      </c>
      <c r="C28" s="254">
        <f ca="1">ROUND((C5+C19+C20)*F27*'数据-取费表'!B21/'数据-取费表'!B20,0)</f>
        <v>1485</v>
      </c>
      <c r="D28" s="240"/>
      <c r="E28" s="241"/>
      <c r="F28" s="251"/>
      <c r="G28" s="252"/>
    </row>
    <row r="29" spans="1:7" s="219" customFormat="1" ht="13.5" customHeight="1">
      <c r="A29" s="868" t="s">
        <v>611</v>
      </c>
      <c r="B29" s="253" t="s">
        <v>1961</v>
      </c>
      <c r="C29" s="243">
        <f ca="1">ROUND(C21*F27*'数据-取费表'!B21/'数据-取费表'!B20,4)</f>
        <v>1.5E-3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24301</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14389</v>
      </c>
      <c r="D33" s="237"/>
      <c r="E33" s="217"/>
      <c r="F33" s="246"/>
      <c r="G33" s="239"/>
    </row>
    <row r="34" spans="1:7" s="263" customFormat="1" ht="13.5" customHeight="1">
      <c r="A34" s="868" t="s">
        <v>610</v>
      </c>
      <c r="B34" s="220" t="s">
        <v>1969</v>
      </c>
      <c r="C34" s="225">
        <f ca="1">IF(B1="",IF(F34=100%,'数据-取费表'!M16,'数据-取费表'!O16),IF(F34=100%,INDIRECT("'数据-取费表'!m"&amp;$G$1)+INDIRECT("'数据-取费表'!t"&amp;$G$1),INDIRECT("'数据-取费表'!o"&amp;$G$1)+INDIRECT("'数据-取费表'!aq"&amp;$G$1)))</f>
        <v>13208</v>
      </c>
      <c r="D34" s="222"/>
      <c r="E34" s="225"/>
      <c r="F34" s="262">
        <f ca="1">IF('数据-取费表'!B24=0,1,IF(B1="",'数据-取费表'!N16,INDIRECT("'数据-取费表'!n"&amp;$G$1)))</f>
        <v>0.56999999999999995</v>
      </c>
      <c r="G34" s="224" t="s">
        <v>1970</v>
      </c>
    </row>
    <row r="35" spans="1:7" ht="13.5" customHeight="1">
      <c r="A35" s="868" t="s">
        <v>615</v>
      </c>
      <c r="B35" s="220" t="s">
        <v>1971</v>
      </c>
      <c r="C35" s="225">
        <f ca="1">ROUND(C34*F35,0)</f>
        <v>396</v>
      </c>
      <c r="D35" s="225"/>
      <c r="E35" s="225"/>
      <c r="F35" s="264">
        <f>'数据-取费表'!B33</f>
        <v>0.03</v>
      </c>
      <c r="G35" s="224" t="s">
        <v>1972</v>
      </c>
    </row>
    <row r="36" spans="1:7" ht="24">
      <c r="A36" s="868"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8" t="s">
        <v>617</v>
      </c>
      <c r="B37" s="220" t="s">
        <v>1975</v>
      </c>
      <c r="C37" s="254">
        <f ca="1">ROUND(E37*D37*F34/10000,0)</f>
        <v>587</v>
      </c>
      <c r="D37" s="222">
        <f ca="1">D19</f>
        <v>51495</v>
      </c>
      <c r="E37" s="254">
        <f>'数据-取费表'!B35</f>
        <v>200</v>
      </c>
      <c r="F37" s="264"/>
      <c r="G37" s="266" t="s">
        <v>1976</v>
      </c>
    </row>
    <row r="38" spans="1:7" ht="13.5" customHeight="1">
      <c r="A38" s="868" t="s">
        <v>618</v>
      </c>
      <c r="B38" s="220" t="s">
        <v>1977</v>
      </c>
      <c r="C38" s="225">
        <f ca="1">ROUND(C34*F38,0)</f>
        <v>198</v>
      </c>
      <c r="D38" s="225"/>
      <c r="E38" s="225"/>
      <c r="F38" s="264">
        <f>'数据-取费表'!B36</f>
        <v>1.4999999999999999E-2</v>
      </c>
      <c r="G38" s="224" t="s">
        <v>1972</v>
      </c>
    </row>
    <row r="39" spans="1:7" s="219" customFormat="1" ht="13.5" customHeight="1">
      <c r="A39" s="260" t="s">
        <v>1978</v>
      </c>
      <c r="B39" s="215" t="s">
        <v>1979</v>
      </c>
      <c r="C39" s="237">
        <f ca="1">ROUND(C33*F20,0)</f>
        <v>288</v>
      </c>
      <c r="D39" s="237"/>
      <c r="E39" s="237"/>
      <c r="F39" s="2485">
        <f>F20</f>
        <v>0.02</v>
      </c>
      <c r="G39" s="239" t="s">
        <v>1980</v>
      </c>
    </row>
    <row r="40" spans="1:7" s="219" customFormat="1" ht="13.5" customHeight="1">
      <c r="A40" s="260" t="s">
        <v>1981</v>
      </c>
      <c r="B40" s="215" t="s">
        <v>1982</v>
      </c>
      <c r="C40" s="1447">
        <f>F21</f>
        <v>0.02</v>
      </c>
      <c r="D40" s="241" t="s">
        <v>1983</v>
      </c>
      <c r="E40" s="237"/>
      <c r="F40" s="2485">
        <f>F21</f>
        <v>0.02</v>
      </c>
      <c r="G40" s="239" t="s">
        <v>1984</v>
      </c>
    </row>
    <row r="41" spans="1:7" s="219" customFormat="1" ht="13.5" customHeight="1">
      <c r="A41" s="260" t="s">
        <v>1985</v>
      </c>
      <c r="B41" s="215" t="s">
        <v>1986</v>
      </c>
      <c r="C41" s="237">
        <f ca="1">ROUND(SUM(C42:C43),0)</f>
        <v>348</v>
      </c>
      <c r="D41" s="240">
        <f ca="1">C44</f>
        <v>5.0000000000000001E-4</v>
      </c>
      <c r="E41" s="241" t="s">
        <v>1983</v>
      </c>
      <c r="F41" s="2486">
        <f ca="1">F22</f>
        <v>4.2000000000000003E-2</v>
      </c>
      <c r="G41" s="239" t="str">
        <f>IF('数据-取费表'!B22&lt;=1,"单利计息","复利计息")</f>
        <v>复利计息</v>
      </c>
    </row>
    <row r="42" spans="1:7" ht="13.5" customHeight="1">
      <c r="A42" s="868" t="s">
        <v>610</v>
      </c>
      <c r="B42" s="220" t="s">
        <v>1987</v>
      </c>
      <c r="C42" s="243">
        <f ca="1">ROUND(IF('数据-取费表'!B22&lt;=1,C33*F22*'数据-取费表'!B21/2,C33*(POWER((1+F22),'数据-取费表'!B21/2)-1)),0)</f>
        <v>341</v>
      </c>
      <c r="D42" s="243"/>
      <c r="E42" s="243"/>
      <c r="F42" s="244"/>
      <c r="G42" s="3440" t="s">
        <v>1988</v>
      </c>
    </row>
    <row r="43" spans="1:7" ht="13.5" customHeight="1">
      <c r="A43" s="868" t="s">
        <v>611</v>
      </c>
      <c r="B43" s="220" t="s">
        <v>1989</v>
      </c>
      <c r="C43" s="243">
        <f ca="1">ROUND(IF('数据-取费表'!B22&lt;=1,C39*F22*'数据-取费表'!B21/2,C39*(POWER((1+F22),'数据-取费表'!B21/2)-1)),0)</f>
        <v>7</v>
      </c>
      <c r="D43" s="243"/>
      <c r="E43" s="243"/>
      <c r="F43" s="244"/>
      <c r="G43" s="3441"/>
    </row>
    <row r="44" spans="1:7" ht="13.5" customHeight="1">
      <c r="A44" s="868" t="s">
        <v>612</v>
      </c>
      <c r="B44" s="220" t="s">
        <v>1990</v>
      </c>
      <c r="C44" s="243">
        <f ca="1">ROUND(IF('数据-取费表'!B22&lt;=1,C40*F22*'数据-取费表'!B21/2,C40*(POWER((1+F22),'数据-取费表'!B21/2)-1)),4)</f>
        <v>5.0000000000000001E-4</v>
      </c>
      <c r="D44" s="243"/>
      <c r="E44" s="243"/>
      <c r="F44" s="244"/>
      <c r="G44" s="3442"/>
    </row>
    <row r="45" spans="1:7" s="219" customFormat="1" ht="13.5" customHeight="1">
      <c r="A45" s="260" t="s">
        <v>1991</v>
      </c>
      <c r="B45" s="249" t="s">
        <v>1957</v>
      </c>
      <c r="C45" s="250">
        <f ca="1">C46</f>
        <v>1908</v>
      </c>
      <c r="D45" s="240">
        <f ca="1">C47</f>
        <v>2.5999999999999999E-3</v>
      </c>
      <c r="E45" s="241" t="s">
        <v>1983</v>
      </c>
      <c r="F45" s="2487">
        <f ca="1">F27</f>
        <v>0.13</v>
      </c>
      <c r="G45" s="252" t="s">
        <v>1992</v>
      </c>
    </row>
    <row r="46" spans="1:7" s="219" customFormat="1" ht="13.5" customHeight="1">
      <c r="A46" s="868" t="s">
        <v>610</v>
      </c>
      <c r="B46" s="253" t="s">
        <v>1993</v>
      </c>
      <c r="C46" s="254">
        <f ca="1">ROUND((C33+C39)*F27,0)</f>
        <v>1908</v>
      </c>
      <c r="D46" s="268"/>
      <c r="E46" s="241"/>
      <c r="F46" s="251"/>
      <c r="G46" s="252"/>
    </row>
    <row r="47" spans="1:7" s="219" customFormat="1" ht="13.5" customHeight="1">
      <c r="A47" s="868" t="s">
        <v>611</v>
      </c>
      <c r="B47" s="253" t="s">
        <v>1994</v>
      </c>
      <c r="C47" s="243">
        <f ca="1">ROUND(C40*F27,4)</f>
        <v>2.5999999999999999E-3</v>
      </c>
      <c r="D47" s="268"/>
      <c r="E47" s="241"/>
      <c r="F47" s="251"/>
      <c r="G47" s="252"/>
    </row>
    <row r="48" spans="1:7" s="219" customFormat="1" ht="13.5" customHeight="1">
      <c r="A48" s="260" t="s">
        <v>1956</v>
      </c>
      <c r="B48" s="215" t="s">
        <v>1995</v>
      </c>
      <c r="C48" s="1447">
        <f>ROUND(F30/(1+'数据-取费表'!C42),4)</f>
        <v>5.33E-2</v>
      </c>
      <c r="D48" s="241" t="s">
        <v>1983</v>
      </c>
      <c r="E48" s="237"/>
      <c r="F48" s="2486">
        <f>F30</f>
        <v>5.6000000000000001E-2</v>
      </c>
      <c r="G48" s="239" t="s">
        <v>1996</v>
      </c>
    </row>
    <row r="49" spans="1:7" ht="16.5" customHeight="1">
      <c r="A49" s="260" t="s">
        <v>1962</v>
      </c>
      <c r="B49" s="215" t="s">
        <v>1997</v>
      </c>
      <c r="C49" s="237">
        <f ca="1">ROUND((C33+C39+C41+C45)/(1-C40-D41-D45-C48),0)</f>
        <v>18334</v>
      </c>
      <c r="D49" s="237"/>
      <c r="E49" s="237"/>
      <c r="F49" s="269"/>
      <c r="G49" s="239" t="s">
        <v>1998</v>
      </c>
    </row>
    <row r="50" spans="1:7" s="263" customFormat="1" ht="24">
      <c r="A50" s="260" t="s">
        <v>1999</v>
      </c>
      <c r="B50" s="215" t="s">
        <v>2000</v>
      </c>
      <c r="C50" s="237"/>
      <c r="D50" s="237"/>
      <c r="E50" s="237"/>
      <c r="F50" s="269">
        <f>IF('数据-取费表'!B24=0,'数据-取费表'!N16,1)</f>
        <v>1</v>
      </c>
      <c r="G50" s="252" t="s">
        <v>2001</v>
      </c>
    </row>
    <row r="51" spans="1:7" ht="16.5" customHeight="1">
      <c r="A51" s="260" t="s">
        <v>2002</v>
      </c>
      <c r="B51" s="215" t="s">
        <v>2003</v>
      </c>
      <c r="C51" s="237">
        <f ca="1">ROUND(C49*F50,0)</f>
        <v>18334</v>
      </c>
      <c r="D51" s="237"/>
      <c r="E51" s="237"/>
      <c r="F51" s="269"/>
      <c r="G51" s="239" t="s">
        <v>2004</v>
      </c>
    </row>
    <row r="52" spans="1:7" s="213" customFormat="1" ht="16.5" thickBot="1">
      <c r="A52" s="270" t="s">
        <v>2005</v>
      </c>
      <c r="B52" s="271"/>
      <c r="C52" s="272">
        <f ca="1">C31+C51</f>
        <v>42635</v>
      </c>
      <c r="D52" s="271"/>
      <c r="E52" s="271"/>
      <c r="F52" s="271"/>
      <c r="G52" s="273"/>
    </row>
    <row r="55" spans="1:7" ht="15">
      <c r="B55" s="275" t="s">
        <v>2006</v>
      </c>
      <c r="C55" s="276"/>
    </row>
    <row r="56" spans="1:7">
      <c r="B56" s="278" t="s">
        <v>1237</v>
      </c>
      <c r="C56" s="280">
        <f ca="1">1-C57</f>
        <v>0.57000000000000006</v>
      </c>
    </row>
    <row r="57" spans="1:7">
      <c r="B57" s="278" t="s">
        <v>1238</v>
      </c>
      <c r="C57" s="279">
        <f ca="1">ROUND(C51/C52,3)</f>
        <v>0.43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1" t="str">
        <f>项目基本情况!B1</f>
        <v>北京市朝阳区红松园1号院教育科研项目房地产抵押价值预评估</v>
      </c>
      <c r="C37" s="3251"/>
      <c r="D37" s="3251"/>
      <c r="E37" s="3251"/>
      <c r="F37" s="3251"/>
      <c r="G37" s="3251"/>
      <c r="H37" s="3251"/>
      <c r="I37" s="3251"/>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4"/>
      <c r="C1" s="1995" t="s">
        <v>2007</v>
      </c>
      <c r="D1" s="203"/>
      <c r="E1" s="203"/>
      <c r="F1" s="203"/>
      <c r="G1" s="1240">
        <f>MATCH(B1,'数据-取费表'!A6:A16,0)+5</f>
        <v>8</v>
      </c>
      <c r="H1" s="1172" t="str">
        <f>IF(ISERROR(FIND("住宅",B1)),"非住宅","住宅")</f>
        <v>非住宅</v>
      </c>
    </row>
    <row r="2" spans="1:8" s="205" customFormat="1" ht="18" customHeight="1">
      <c r="A2" s="206" t="s">
        <v>1906</v>
      </c>
      <c r="B2" s="207">
        <f ca="1">ROUND(IF(D2="——",C52/10000,C52/10000-E2),0)</f>
        <v>35451</v>
      </c>
      <c r="C2" s="204" t="s">
        <v>1907</v>
      </c>
      <c r="D2" s="1989" t="s">
        <v>70</v>
      </c>
      <c r="E2" s="1283" t="e">
        <f ca="1">SUMIF(INDIRECT("'"&amp;G2&amp;"'"&amp;"!A:A"),"承租人权益价值",INDIRECT("'"&amp;G2&amp;"'"&amp;"!c:c"))</f>
        <v>#REF!</v>
      </c>
      <c r="F2" s="1990" t="s">
        <v>1907</v>
      </c>
      <c r="G2" s="1991"/>
    </row>
    <row r="3" spans="1:8" s="205" customFormat="1" ht="18" customHeight="1" thickBot="1">
      <c r="A3" s="208" t="s">
        <v>1908</v>
      </c>
      <c r="B3" s="209">
        <f ca="1">ROUND(B2*10000/(IF(B1="",'数据-汇总表'!E3,INDIRECT("'数据-取费表'!k"&amp;$G$1))),0)</f>
        <v>6884</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10299000</v>
      </c>
      <c r="D5" s="216" t="s">
        <v>1913</v>
      </c>
      <c r="E5" s="217" t="s">
        <v>1914</v>
      </c>
      <c r="F5" s="217" t="s">
        <v>1915</v>
      </c>
      <c r="G5" s="218"/>
    </row>
    <row r="6" spans="1:8" s="219" customFormat="1" ht="13.5" customHeight="1">
      <c r="A6" s="866" t="s">
        <v>1916</v>
      </c>
      <c r="B6" s="220" t="s">
        <v>1917</v>
      </c>
      <c r="C6" s="221"/>
      <c r="D6" s="222"/>
      <c r="E6" s="223"/>
      <c r="F6" s="223"/>
      <c r="G6" s="224"/>
    </row>
    <row r="7" spans="1:8" s="219" customFormat="1" ht="13.5" customHeight="1">
      <c r="A7" s="866" t="s">
        <v>1918</v>
      </c>
      <c r="B7" s="220" t="s">
        <v>1919</v>
      </c>
      <c r="C7" s="225">
        <f>ROUND(C6*F7,0)</f>
        <v>0</v>
      </c>
      <c r="D7" s="225"/>
      <c r="E7" s="223"/>
      <c r="F7" s="226">
        <f>IF(项目基本情况!B8="出让",0,'数据-取费表'!B48+'数据-取费表'!B49)</f>
        <v>0.05</v>
      </c>
      <c r="G7" s="224"/>
    </row>
    <row r="8" spans="1:8" s="228" customFormat="1">
      <c r="A8" s="866" t="s">
        <v>1920</v>
      </c>
      <c r="B8" s="220" t="s">
        <v>1921</v>
      </c>
      <c r="C8" s="225">
        <f ca="1">IF(G8="已包含在土地购买价格中",0,C9+C10)</f>
        <v>10299000</v>
      </c>
      <c r="D8" s="227"/>
      <c r="E8" s="225"/>
      <c r="F8" s="226"/>
      <c r="G8" s="1992"/>
    </row>
    <row r="9" spans="1:8" s="219" customFormat="1" ht="13.5" customHeight="1">
      <c r="A9" s="867" t="s">
        <v>619</v>
      </c>
      <c r="B9" s="229" t="s">
        <v>1922</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1924</v>
      </c>
      <c r="C10" s="230">
        <f ca="1">ROUND(D10*E10,0)</f>
        <v>10299000</v>
      </c>
      <c r="D10" s="934">
        <f ca="1">IF(B1="",'数据-汇总表'!E6,IF(INDIRECT("'数据-取费表'!c"&amp;$G$1)="住宅",INDIRECT("'数据-取费表'!s"&amp;$G$1),INDIRECT("'数据-取费表'!k"&amp;$G$1)+INDIRECT("'数据-取费表'!s"&amp;$G$1)))</f>
        <v>51495</v>
      </c>
      <c r="E10" s="230">
        <f>'数据-取费表'!B28</f>
        <v>200</v>
      </c>
      <c r="F10" s="226"/>
      <c r="G10" s="231"/>
    </row>
    <row r="11" spans="1:8" s="219" customFormat="1" ht="13.5" hidden="1" customHeight="1">
      <c r="A11" s="232" t="s">
        <v>7</v>
      </c>
      <c r="B11" s="220" t="s">
        <v>1925</v>
      </c>
      <c r="C11" s="216"/>
      <c r="D11" s="936"/>
      <c r="E11" s="223"/>
      <c r="F11" s="223"/>
      <c r="G11" s="224"/>
    </row>
    <row r="12" spans="1:8" s="219" customFormat="1" ht="13.5" hidden="1" customHeight="1">
      <c r="A12" s="232" t="s">
        <v>8</v>
      </c>
      <c r="B12" s="220" t="s">
        <v>2008</v>
      </c>
      <c r="C12" s="216">
        <v>0</v>
      </c>
      <c r="D12" s="936"/>
      <c r="E12" s="233"/>
      <c r="F12" s="226">
        <v>3.0499999999999999E-2</v>
      </c>
      <c r="G12" s="224"/>
    </row>
    <row r="13" spans="1:8" s="219" customFormat="1" ht="13.5" hidden="1" customHeight="1">
      <c r="A13" s="232" t="s">
        <v>9</v>
      </c>
      <c r="B13" s="220" t="s">
        <v>2009</v>
      </c>
      <c r="C13" s="216"/>
      <c r="D13" s="936"/>
      <c r="E13" s="223"/>
      <c r="F13" s="223"/>
      <c r="G13" s="224"/>
    </row>
    <row r="14" spans="1:8" s="219" customFormat="1" ht="13.5" hidden="1" customHeight="1">
      <c r="A14" s="232" t="s">
        <v>10</v>
      </c>
      <c r="B14" s="220" t="s">
        <v>1921</v>
      </c>
      <c r="C14" s="216"/>
      <c r="D14" s="936"/>
      <c r="E14" s="223"/>
      <c r="F14" s="223"/>
      <c r="G14" s="224" t="s">
        <v>2010</v>
      </c>
    </row>
    <row r="15" spans="1:8" s="219" customFormat="1" ht="13.5" hidden="1" customHeight="1">
      <c r="A15" s="232" t="s">
        <v>11</v>
      </c>
      <c r="B15" s="220" t="s">
        <v>2011</v>
      </c>
      <c r="C15" s="225"/>
      <c r="D15" s="936"/>
      <c r="E15" s="223"/>
      <c r="F15" s="223"/>
      <c r="G15" s="224" t="s">
        <v>2012</v>
      </c>
    </row>
    <row r="16" spans="1:8" s="219" customFormat="1" ht="13.5" hidden="1" customHeight="1">
      <c r="A16" s="232" t="s">
        <v>12</v>
      </c>
      <c r="B16" s="220" t="s">
        <v>1921</v>
      </c>
      <c r="C16" s="225"/>
      <c r="D16" s="936"/>
      <c r="E16" s="223"/>
      <c r="F16" s="223"/>
      <c r="G16" s="224"/>
    </row>
    <row r="17" spans="1:7" s="219" customFormat="1" ht="13.5" hidden="1" customHeight="1">
      <c r="A17" s="232" t="s">
        <v>13</v>
      </c>
      <c r="B17" s="220" t="s">
        <v>2013</v>
      </c>
      <c r="C17" s="234"/>
      <c r="D17" s="937"/>
      <c r="E17" s="234"/>
      <c r="F17" s="234"/>
      <c r="G17" s="224" t="s">
        <v>2012</v>
      </c>
    </row>
    <row r="18" spans="1:7" s="219" customFormat="1" ht="13.5" hidden="1" customHeight="1">
      <c r="A18" s="232" t="s">
        <v>14</v>
      </c>
      <c r="B18" s="220" t="s">
        <v>2014</v>
      </c>
      <c r="C18" s="225">
        <v>0</v>
      </c>
      <c r="D18" s="936"/>
      <c r="E18" s="223"/>
      <c r="F18" s="226">
        <v>3.0499999999999999E-2</v>
      </c>
      <c r="G18" s="224" t="s">
        <v>2015</v>
      </c>
    </row>
    <row r="19" spans="1:7" s="228" customFormat="1" ht="13.5" customHeight="1">
      <c r="A19" s="260" t="s">
        <v>2016</v>
      </c>
      <c r="B19" s="215" t="s">
        <v>2017</v>
      </c>
      <c r="C19" s="216">
        <f ca="1">IF(G19="已包含在土地取得成本中","0",ROUND(D19*E19,0))</f>
        <v>10299000</v>
      </c>
      <c r="D19" s="938">
        <f ca="1">D9+D10</f>
        <v>51495</v>
      </c>
      <c r="E19" s="216">
        <f>'数据-取费表'!B31</f>
        <v>200</v>
      </c>
      <c r="F19" s="236"/>
      <c r="G19" s="1992"/>
    </row>
    <row r="20" spans="1:7" s="219" customFormat="1" ht="13.5" customHeight="1">
      <c r="A20" s="260" t="s">
        <v>2018</v>
      </c>
      <c r="B20" s="215" t="s">
        <v>2019</v>
      </c>
      <c r="C20" s="237">
        <f ca="1">ROUND((C5+C19)*F20,0)</f>
        <v>411960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41">
        <f ca="1">ROUND(SUM(C23:C25),0)</f>
        <v>1783868</v>
      </c>
      <c r="D22" s="240">
        <f ca="1">C26</f>
        <v>8.0000000000000004E-4</v>
      </c>
      <c r="E22" s="241" t="s">
        <v>2023</v>
      </c>
      <c r="F22" s="242">
        <f ca="1">'数据-取费表'!B40</f>
        <v>4.2000000000000003E-2</v>
      </c>
      <c r="G22" s="239" t="str">
        <f>IF('数据-取费表'!B22&lt;=1,"单利计息","复利计息")</f>
        <v>复利计息</v>
      </c>
    </row>
    <row r="23" spans="1:7" s="219" customFormat="1" ht="13.5" customHeight="1">
      <c r="A23" s="868" t="s">
        <v>1916</v>
      </c>
      <c r="B23" s="220" t="s">
        <v>2027</v>
      </c>
      <c r="C23" s="1242">
        <f ca="1">ROUND(IF('数据-取费表'!B22&lt;=1,C5*F22*'数据-取费表'!B22,C5*(POWER((1+F22),'数据-取费表'!B22)-1)),0)</f>
        <v>883283</v>
      </c>
      <c r="D23" s="243"/>
      <c r="E23" s="243"/>
      <c r="F23" s="244"/>
      <c r="G23" s="245" t="s">
        <v>2028</v>
      </c>
    </row>
    <row r="24" spans="1:7" s="219" customFormat="1" ht="13.5" customHeight="1">
      <c r="A24" s="868" t="s">
        <v>1918</v>
      </c>
      <c r="B24" s="220" t="s">
        <v>2029</v>
      </c>
      <c r="C24" s="1242">
        <f ca="1">ROUND(IF('数据-取费表'!B22&lt;=1,C19*F22*('数据-取费表'!B19/2+'数据-取费表'!B20),C19*(POWER((1+F22),('数据-取费表'!B19/2+'数据-取费表'!B20))-1)),0)</f>
        <v>883283</v>
      </c>
      <c r="D24" s="243"/>
      <c r="E24" s="243"/>
      <c r="F24" s="244"/>
      <c r="G24" s="245" t="s">
        <v>2030</v>
      </c>
    </row>
    <row r="25" spans="1:7" s="219" customFormat="1" ht="24">
      <c r="A25" s="868" t="s">
        <v>1920</v>
      </c>
      <c r="B25" s="220" t="s">
        <v>2031</v>
      </c>
      <c r="C25" s="1242">
        <f ca="1">ROUND(IF('数据-取费表'!B22&lt;=1,C20*F22*'数据-取费表'!B22/2,C20*(POWER((1+F22),'数据-取费表'!B22/2)-1)),0)</f>
        <v>17302</v>
      </c>
      <c r="D25" s="243"/>
      <c r="E25" s="246"/>
      <c r="F25" s="244"/>
      <c r="G25" s="247" t="s">
        <v>2032</v>
      </c>
    </row>
    <row r="26" spans="1:7" s="219" customFormat="1">
      <c r="A26" s="868" t="s">
        <v>614</v>
      </c>
      <c r="B26" s="220" t="s">
        <v>1955</v>
      </c>
      <c r="C26" s="243">
        <f ca="1">ROUND(IF('数据-取费表'!B22&lt;=1,F21*F22*'数据-取费表'!B22/2,F21*(POWER((1+F22),'数据-取费表'!B22/2)-1)),4)</f>
        <v>8.0000000000000004E-4</v>
      </c>
      <c r="D26" s="243"/>
      <c r="E26" s="246"/>
      <c r="F26" s="244"/>
      <c r="G26" s="248"/>
    </row>
    <row r="27" spans="1:7" s="219" customFormat="1" ht="24.75">
      <c r="A27" s="260" t="s">
        <v>1956</v>
      </c>
      <c r="B27" s="249" t="s">
        <v>1957</v>
      </c>
      <c r="C27" s="250">
        <f ca="1">C28</f>
        <v>2731295</v>
      </c>
      <c r="D27" s="240">
        <f ca="1">C29</f>
        <v>2.5999999999999999E-3</v>
      </c>
      <c r="E27" s="241" t="s">
        <v>1958</v>
      </c>
      <c r="F27" s="251">
        <f ca="1">IF(B1="",'数据-取费表'!Q16,INDIRECT("'数据-取费表'!q"&amp;$G$1))</f>
        <v>0.13</v>
      </c>
      <c r="G27" s="252" t="s">
        <v>1959</v>
      </c>
    </row>
    <row r="28" spans="1:7" s="219" customFormat="1" ht="13.5" customHeight="1">
      <c r="A28" s="868" t="s">
        <v>610</v>
      </c>
      <c r="B28" s="253" t="s">
        <v>1960</v>
      </c>
      <c r="C28" s="254">
        <f ca="1">ROUND((C5+C19+C20)*F27,0)</f>
        <v>2731295</v>
      </c>
      <c r="D28" s="240"/>
      <c r="E28" s="241"/>
      <c r="F28" s="251"/>
      <c r="G28" s="252"/>
    </row>
    <row r="29" spans="1:7" s="219" customFormat="1" ht="13.5" customHeight="1">
      <c r="A29" s="868" t="s">
        <v>611</v>
      </c>
      <c r="B29" s="253" t="s">
        <v>1961</v>
      </c>
      <c r="C29" s="243">
        <f ca="1">ROUND(C21*F27,4)</f>
        <v>2.5999999999999999E-3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27645536</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252454238</v>
      </c>
      <c r="D33" s="237"/>
      <c r="E33" s="217"/>
      <c r="F33" s="246"/>
      <c r="G33" s="239"/>
    </row>
    <row r="34" spans="1:7" s="263" customFormat="1" ht="13.5" customHeight="1">
      <c r="A34" s="868" t="s">
        <v>610</v>
      </c>
      <c r="B34" s="220" t="s">
        <v>1969</v>
      </c>
      <c r="C34" s="225">
        <f ca="1">ROUND(IF(B1="",SUMPRODUCT('数据-取费表'!K6:K14,'数据-取费表'!L6:L14),INDIRECT("'数据-取费表'!l"&amp;$G$1)*INDIRECT("'数据-取费表'!k"&amp;$G$1)+'数据-取费表'!L14*INDIRECT("'数据-取费表'!S"&amp;$G$1)),0)</f>
        <v>231727500</v>
      </c>
      <c r="D34" s="222"/>
      <c r="E34" s="225"/>
      <c r="F34" s="262"/>
      <c r="G34" s="224"/>
    </row>
    <row r="35" spans="1:7" ht="13.5" customHeight="1">
      <c r="A35" s="868" t="s">
        <v>615</v>
      </c>
      <c r="B35" s="220" t="s">
        <v>1971</v>
      </c>
      <c r="C35" s="225">
        <f ca="1">ROUND(C34*F35,0)</f>
        <v>6951825</v>
      </c>
      <c r="D35" s="225"/>
      <c r="E35" s="225"/>
      <c r="F35" s="264">
        <f>'数据-取费表'!B33</f>
        <v>0.03</v>
      </c>
      <c r="G35" s="224" t="s">
        <v>1972</v>
      </c>
    </row>
    <row r="36" spans="1:7" ht="24">
      <c r="A36" s="868"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8" t="s">
        <v>617</v>
      </c>
      <c r="B37" s="220" t="s">
        <v>1975</v>
      </c>
      <c r="C37" s="254">
        <f ca="1">ROUND(E37*D37,0)</f>
        <v>10299000</v>
      </c>
      <c r="D37" s="222">
        <f ca="1">D19</f>
        <v>51495</v>
      </c>
      <c r="E37" s="254">
        <f>'数据-取费表'!B35</f>
        <v>200</v>
      </c>
      <c r="F37" s="264"/>
      <c r="G37" s="266"/>
    </row>
    <row r="38" spans="1:7" ht="13.5" customHeight="1">
      <c r="A38" s="868" t="s">
        <v>618</v>
      </c>
      <c r="B38" s="220" t="s">
        <v>1977</v>
      </c>
      <c r="C38" s="225">
        <f ca="1">ROUND(C34*F38,0)</f>
        <v>3475913</v>
      </c>
      <c r="D38" s="225"/>
      <c r="E38" s="225"/>
      <c r="F38" s="264">
        <f>'数据-取费表'!B36</f>
        <v>1.4999999999999999E-2</v>
      </c>
      <c r="G38" s="224" t="s">
        <v>1972</v>
      </c>
    </row>
    <row r="39" spans="1:7" s="219" customFormat="1" ht="13.5" customHeight="1">
      <c r="A39" s="260" t="s">
        <v>1978</v>
      </c>
      <c r="B39" s="215" t="s">
        <v>1979</v>
      </c>
      <c r="C39" s="237">
        <f ca="1">ROUND(C33*F20,0)</f>
        <v>5049085</v>
      </c>
      <c r="D39" s="237"/>
      <c r="E39" s="237"/>
      <c r="F39" s="2485">
        <f>F20</f>
        <v>0.02</v>
      </c>
      <c r="G39" s="239" t="s">
        <v>1980</v>
      </c>
    </row>
    <row r="40" spans="1:7" s="219" customFormat="1" ht="13.5" customHeight="1">
      <c r="A40" s="260" t="s">
        <v>1981</v>
      </c>
      <c r="B40" s="215" t="s">
        <v>1982</v>
      </c>
      <c r="C40" s="1447">
        <f>F21</f>
        <v>0.02</v>
      </c>
      <c r="D40" s="241" t="s">
        <v>1983</v>
      </c>
      <c r="E40" s="237"/>
      <c r="F40" s="2485">
        <f>F21</f>
        <v>0.02</v>
      </c>
      <c r="G40" s="239" t="s">
        <v>1984</v>
      </c>
    </row>
    <row r="41" spans="1:7" s="219" customFormat="1" ht="13.5" customHeight="1">
      <c r="A41" s="260" t="s">
        <v>1985</v>
      </c>
      <c r="B41" s="215" t="s">
        <v>1986</v>
      </c>
      <c r="C41" s="237">
        <f ca="1">ROUND(SUM(C42:C43),0)</f>
        <v>10815140</v>
      </c>
      <c r="D41" s="240">
        <f ca="1">C44</f>
        <v>8.0000000000000004E-4</v>
      </c>
      <c r="E41" s="241" t="s">
        <v>1983</v>
      </c>
      <c r="F41" s="2486">
        <f ca="1">F22</f>
        <v>4.2000000000000003E-2</v>
      </c>
      <c r="G41" s="239" t="str">
        <f>IF('数据-取费表'!B22&lt;=1,"单利计息","复利计息")</f>
        <v>复利计息</v>
      </c>
    </row>
    <row r="42" spans="1:7" ht="13.5" customHeight="1">
      <c r="A42" s="868" t="s">
        <v>610</v>
      </c>
      <c r="B42" s="220" t="s">
        <v>1987</v>
      </c>
      <c r="C42" s="243">
        <f ca="1">ROUND(IF('数据-取费表'!B22&lt;=1,C33*F22*'数据-取费表'!B20/2,C33*(POWER((1+F22),'数据-取费表'!B20/2)-1)),0)</f>
        <v>10603078</v>
      </c>
      <c r="D42" s="243"/>
      <c r="E42" s="243"/>
      <c r="F42" s="244"/>
      <c r="G42" s="3440" t="s">
        <v>2035</v>
      </c>
    </row>
    <row r="43" spans="1:7" ht="13.5" customHeight="1">
      <c r="A43" s="868" t="s">
        <v>611</v>
      </c>
      <c r="B43" s="220" t="s">
        <v>1989</v>
      </c>
      <c r="C43" s="243">
        <f ca="1">ROUND(IF('数据-取费表'!B22&lt;=1,C39*F22*'数据-取费表'!B20/2,C39*(POWER((1+F22),'数据-取费表'!B20/2)-1)),0)</f>
        <v>212062</v>
      </c>
      <c r="D43" s="243"/>
      <c r="E43" s="243"/>
      <c r="F43" s="244"/>
      <c r="G43" s="3441"/>
    </row>
    <row r="44" spans="1:7" ht="13.5" customHeight="1">
      <c r="A44" s="868" t="s">
        <v>612</v>
      </c>
      <c r="B44" s="220" t="s">
        <v>1990</v>
      </c>
      <c r="C44" s="243">
        <f ca="1">ROUND(IF('数据-取费表'!B22&lt;=1,C40*F22*'数据-取费表'!B20/2,C40*(POWER((1+F22),'数据-取费表'!B20/2)-1)),4)</f>
        <v>8.0000000000000004E-4</v>
      </c>
      <c r="D44" s="243"/>
      <c r="E44" s="243"/>
      <c r="F44" s="244"/>
      <c r="G44" s="3442"/>
    </row>
    <row r="45" spans="1:7" s="219" customFormat="1" ht="13.5" customHeight="1">
      <c r="A45" s="260" t="s">
        <v>1991</v>
      </c>
      <c r="B45" s="249" t="s">
        <v>1957</v>
      </c>
      <c r="C45" s="250">
        <f ca="1">C46</f>
        <v>33475432</v>
      </c>
      <c r="D45" s="240">
        <f ca="1">C47</f>
        <v>2.5999999999999999E-3</v>
      </c>
      <c r="E45" s="241" t="s">
        <v>1983</v>
      </c>
      <c r="F45" s="2487">
        <f ca="1">F27</f>
        <v>0.13</v>
      </c>
      <c r="G45" s="252" t="s">
        <v>1992</v>
      </c>
    </row>
    <row r="46" spans="1:7" s="219" customFormat="1" ht="13.5" customHeight="1">
      <c r="A46" s="868" t="s">
        <v>610</v>
      </c>
      <c r="B46" s="253" t="s">
        <v>1993</v>
      </c>
      <c r="C46" s="254">
        <f ca="1">ROUND((C33+C39)*F27,0)</f>
        <v>33475432</v>
      </c>
      <c r="D46" s="268"/>
      <c r="E46" s="241"/>
      <c r="F46" s="251"/>
      <c r="G46" s="252"/>
    </row>
    <row r="47" spans="1:7" s="219" customFormat="1" ht="13.5" customHeight="1">
      <c r="A47" s="868" t="s">
        <v>611</v>
      </c>
      <c r="B47" s="253" t="s">
        <v>1994</v>
      </c>
      <c r="C47" s="243">
        <f ca="1">ROUND(C40*F27,4)</f>
        <v>2.5999999999999999E-3</v>
      </c>
      <c r="D47" s="268"/>
      <c r="E47" s="241"/>
      <c r="F47" s="251"/>
      <c r="G47" s="252"/>
    </row>
    <row r="48" spans="1:7" s="219" customFormat="1" ht="13.5" customHeight="1">
      <c r="A48" s="260" t="s">
        <v>1956</v>
      </c>
      <c r="B48" s="215" t="s">
        <v>1995</v>
      </c>
      <c r="C48" s="267">
        <f>ROUND(F30/(1+'数据-取费表'!C42),4)</f>
        <v>5.33E-2</v>
      </c>
      <c r="D48" s="241" t="s">
        <v>1983</v>
      </c>
      <c r="E48" s="237"/>
      <c r="F48" s="2486">
        <f>F30</f>
        <v>5.6000000000000001E-2</v>
      </c>
      <c r="G48" s="239" t="s">
        <v>1996</v>
      </c>
    </row>
    <row r="49" spans="1:7" ht="16.5" customHeight="1">
      <c r="A49" s="260" t="s">
        <v>1962</v>
      </c>
      <c r="B49" s="215" t="s">
        <v>2036</v>
      </c>
      <c r="C49" s="237">
        <f ca="1">ROUND((C33+C39+C41+C45)/(1-C40-D41-D45-C48),0)</f>
        <v>326864394</v>
      </c>
      <c r="D49" s="237"/>
      <c r="E49" s="237"/>
      <c r="F49" s="269"/>
      <c r="G49" s="239" t="s">
        <v>1998</v>
      </c>
    </row>
    <row r="50" spans="1:7" s="263" customFormat="1">
      <c r="A50" s="260" t="s">
        <v>1999</v>
      </c>
      <c r="B50" s="215" t="s">
        <v>2000</v>
      </c>
      <c r="C50" s="237"/>
      <c r="D50" s="237"/>
      <c r="E50" s="237"/>
      <c r="F50" s="269">
        <f>IF('数据-取费表'!B24=0,'数据-取费表'!N16,1)</f>
        <v>1</v>
      </c>
      <c r="G50" s="252"/>
    </row>
    <row r="51" spans="1:7" ht="16.5" customHeight="1">
      <c r="A51" s="260" t="s">
        <v>2002</v>
      </c>
      <c r="B51" s="215" t="s">
        <v>2037</v>
      </c>
      <c r="C51" s="237">
        <f ca="1">ROUND(C49*F50,0)</f>
        <v>326864394</v>
      </c>
      <c r="D51" s="237"/>
      <c r="E51" s="237"/>
      <c r="F51" s="269"/>
      <c r="G51" s="239" t="s">
        <v>2004</v>
      </c>
    </row>
    <row r="52" spans="1:7" s="213" customFormat="1" ht="16.5" thickBot="1">
      <c r="A52" s="270" t="s">
        <v>2005</v>
      </c>
      <c r="B52" s="271"/>
      <c r="C52" s="272">
        <f ca="1">C31+C51</f>
        <v>354509930</v>
      </c>
      <c r="D52" s="271"/>
      <c r="E52" s="271"/>
      <c r="F52" s="271"/>
      <c r="G52" s="273"/>
    </row>
    <row r="55" spans="1:7" ht="15">
      <c r="B55" s="275" t="s">
        <v>2006</v>
      </c>
      <c r="C55" s="276"/>
    </row>
    <row r="56" spans="1:7">
      <c r="B56" s="278" t="s">
        <v>1237</v>
      </c>
      <c r="C56" s="280">
        <f ca="1">1-C57</f>
        <v>7.7999999999999958E-2</v>
      </c>
    </row>
    <row r="57" spans="1:7">
      <c r="B57" s="278" t="s">
        <v>1238</v>
      </c>
      <c r="C57" s="279">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28" sqref="O2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2038</v>
      </c>
      <c r="B1" s="1305"/>
      <c r="C1" s="1306"/>
      <c r="D1" s="1304"/>
      <c r="E1" s="2986"/>
      <c r="F1" s="2986"/>
      <c r="G1" s="2849"/>
      <c r="H1" s="2986"/>
      <c r="I1" s="2986"/>
      <c r="J1" s="2986"/>
      <c r="K1" s="2987">
        <f>MATCH(C1,'数据-取费表'!A6:A16,0)+5</f>
        <v>8</v>
      </c>
    </row>
    <row r="2" spans="1:33" ht="18" customHeight="1">
      <c r="A2" s="206" t="s">
        <v>1906</v>
      </c>
      <c r="B2" s="209">
        <f ca="1">C32</f>
        <v>61464</v>
      </c>
      <c r="C2" s="281" t="s">
        <v>2039</v>
      </c>
      <c r="D2" s="281"/>
      <c r="E2" s="2986"/>
      <c r="F2" s="2986"/>
      <c r="G2" s="2986"/>
      <c r="H2" s="2986"/>
      <c r="I2" s="2986"/>
      <c r="J2" s="2986"/>
      <c r="K2" s="2986"/>
    </row>
    <row r="3" spans="1:33" ht="18" customHeight="1" thickBot="1">
      <c r="A3" s="208" t="s">
        <v>1908</v>
      </c>
      <c r="B3" s="209">
        <f ca="1">ROUND(B2*10000/IF(C1="",'数据-汇总表'!E3,INDIRECT("'数据-取费表'!K"&amp;$K$1)),0)</f>
        <v>11936</v>
      </c>
      <c r="C3" s="281" t="s">
        <v>2040</v>
      </c>
      <c r="D3" s="281"/>
      <c r="E3" s="2986"/>
      <c r="F3" s="2986"/>
      <c r="G3" s="2986"/>
      <c r="H3" s="2986"/>
      <c r="I3" s="2986"/>
      <c r="J3" s="2986"/>
      <c r="K3" s="2986"/>
    </row>
    <row r="4" spans="1:33" s="873" customFormat="1" ht="16.5" customHeight="1">
      <c r="A4" s="870" t="s">
        <v>2041</v>
      </c>
      <c r="B4" s="871"/>
      <c r="C4" s="913">
        <f ca="1">SUM(C8:K8)</f>
        <v>88620</v>
      </c>
      <c r="D4" s="871"/>
      <c r="E4" s="871"/>
      <c r="F4" s="871"/>
      <c r="G4" s="871"/>
      <c r="H4" s="871"/>
      <c r="I4" s="871"/>
      <c r="J4" s="871"/>
      <c r="K4" s="872"/>
    </row>
    <row r="5" spans="1:33" s="877" customFormat="1" ht="15">
      <c r="A5" s="874" t="s">
        <v>2042</v>
      </c>
      <c r="B5" s="875" t="s">
        <v>2043</v>
      </c>
      <c r="C5" s="1996" t="s">
        <v>3187</v>
      </c>
      <c r="D5" s="1996" t="s">
        <v>48</v>
      </c>
      <c r="E5" s="1996"/>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2044</v>
      </c>
      <c r="C6" s="879">
        <f ca="1">'收益法-科研'!B3</f>
        <v>23696</v>
      </c>
      <c r="D6" s="879">
        <f ca="1">'收益法-车库'!B3</f>
        <v>2741</v>
      </c>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2045</v>
      </c>
      <c r="B7" s="135" t="s">
        <v>2046</v>
      </c>
      <c r="C7" s="282">
        <f>SUMIF('数据-汇总表'!$C19:$C33,假设开发法!C5,'数据-汇总表'!$E19:$E33)</f>
        <v>36484</v>
      </c>
      <c r="D7" s="282">
        <f>SUMIF('数据-汇总表'!$C19:$C33,假设开发法!D5,'数据-汇总表'!$E19:$E33)</f>
        <v>7905</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2047</v>
      </c>
      <c r="B8" s="168" t="s">
        <v>2048</v>
      </c>
      <c r="C8" s="914">
        <f ca="1">'收益法-科研'!B2</f>
        <v>86453</v>
      </c>
      <c r="D8" s="914">
        <f ca="1">'收益法-车库'!B2</f>
        <v>2167</v>
      </c>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2049</v>
      </c>
      <c r="B9" s="871"/>
      <c r="C9" s="871"/>
      <c r="D9" s="871"/>
      <c r="E9" s="871"/>
      <c r="F9" s="871"/>
      <c r="G9" s="871"/>
      <c r="H9" s="871"/>
      <c r="I9" s="871"/>
      <c r="J9" s="871"/>
      <c r="K9" s="872"/>
    </row>
    <row r="10" spans="1:33" s="887" customFormat="1" ht="13.5" customHeight="1">
      <c r="A10" s="874" t="s">
        <v>2050</v>
      </c>
      <c r="B10" s="8" t="s">
        <v>2051</v>
      </c>
      <c r="C10" s="883" t="s">
        <v>2052</v>
      </c>
      <c r="D10" s="884" t="s">
        <v>2053</v>
      </c>
      <c r="E10" s="884" t="s">
        <v>2054</v>
      </c>
      <c r="F10" s="884" t="s">
        <v>2055</v>
      </c>
      <c r="G10" s="8"/>
      <c r="H10" s="885"/>
      <c r="I10" s="885"/>
      <c r="J10" s="885"/>
      <c r="K10" s="886"/>
    </row>
    <row r="11" spans="1:33" s="892" customFormat="1" ht="13.5" customHeight="1">
      <c r="A11" s="888" t="s">
        <v>1060</v>
      </c>
      <c r="B11" s="889" t="s">
        <v>2056</v>
      </c>
      <c r="C11" s="284">
        <f ca="1">IF(C1="",'数据-取费表'!P16,INDIRECT("'数据-取费表'!p"&amp;$K$1)+INDIRECT("'数据-取费表'!ar"&amp;$K$1))</f>
        <v>9965</v>
      </c>
      <c r="D11" s="890"/>
      <c r="E11" s="334"/>
      <c r="F11" s="891">
        <f ca="1">1-IF('数据-取费表'!B24=0,1,IF(C1="",'数据-取费表'!N16,INDIRECT("'数据-取费表'!n"&amp;$K$1)))</f>
        <v>0.43000000000000005</v>
      </c>
      <c r="G11" s="8"/>
      <c r="H11" s="885"/>
      <c r="I11" s="885"/>
      <c r="J11" s="885"/>
      <c r="K11" s="886"/>
    </row>
    <row r="12" spans="1:33" s="892" customFormat="1" ht="13.5" customHeight="1">
      <c r="A12" s="888" t="s">
        <v>1061</v>
      </c>
      <c r="B12" s="889" t="s">
        <v>2057</v>
      </c>
      <c r="C12" s="24">
        <f ca="1">ROUND(C11*F12,0)</f>
        <v>299</v>
      </c>
      <c r="D12" s="890"/>
      <c r="E12" s="334"/>
      <c r="F12" s="893">
        <f>'数据-取费表'!B33</f>
        <v>0.03</v>
      </c>
      <c r="G12" s="8" t="s">
        <v>2058</v>
      </c>
      <c r="H12" s="885"/>
      <c r="I12" s="885"/>
      <c r="J12" s="885"/>
      <c r="K12" s="886"/>
    </row>
    <row r="13" spans="1:33" s="892" customFormat="1" ht="13.5" customHeight="1">
      <c r="A13" s="888" t="s">
        <v>1062</v>
      </c>
      <c r="B13" s="889" t="s">
        <v>2059</v>
      </c>
      <c r="C13" s="24">
        <f ca="1">ROUND(IF(C1="",SUMIF('数据-取费表'!C:C,"住宅",'数据-取费表'!P:P)*F13,IF(INDIRECT("'数据-取费表'!c"&amp;$K$1)="住宅",INDIRECT("'数据-取费表'!P"&amp;$K$1)*F13,0)),0)</f>
        <v>0</v>
      </c>
      <c r="D13" s="935"/>
      <c r="E13" s="334"/>
      <c r="F13" s="893">
        <f>'数据-取费表'!B34</f>
        <v>0</v>
      </c>
      <c r="G13" s="8" t="s">
        <v>2060</v>
      </c>
      <c r="H13" s="885"/>
      <c r="I13" s="885"/>
      <c r="J13" s="885"/>
      <c r="K13" s="886"/>
    </row>
    <row r="14" spans="1:33" s="894" customFormat="1" ht="13.5" customHeight="1">
      <c r="A14" s="888" t="s">
        <v>1063</v>
      </c>
      <c r="B14" s="889" t="s">
        <v>2061</v>
      </c>
      <c r="C14" s="24">
        <f ca="1">ROUND(D14*E14*F11/10000,0)</f>
        <v>443</v>
      </c>
      <c r="D14" s="935">
        <f ca="1">IF(C1="",'数据-汇总表'!E3,INDIRECT("'数据-取费表'!K"&amp;$K$1)+INDIRECT("'数据-取费表'!S"&amp;$K$1))</f>
        <v>51495</v>
      </c>
      <c r="E14" s="24">
        <f>'数据-取费表'!B35</f>
        <v>200</v>
      </c>
      <c r="F14" s="893"/>
      <c r="G14" s="8" t="s">
        <v>2062</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2063</v>
      </c>
      <c r="C15" s="900">
        <f ca="1">ROUND(C11*F15,0)</f>
        <v>149</v>
      </c>
      <c r="D15" s="895"/>
      <c r="E15" s="900"/>
      <c r="F15" s="901">
        <f>'数据-取费表'!B36</f>
        <v>1.4999999999999999E-2</v>
      </c>
      <c r="G15" s="135" t="s">
        <v>2064</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2065</v>
      </c>
      <c r="C16" s="900">
        <f ca="1">SUM(C11:C15)</f>
        <v>10856</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2066</v>
      </c>
      <c r="C17" s="24">
        <f ca="1">ROUND(D17*E17/10000,0)</f>
        <v>0</v>
      </c>
      <c r="D17" s="935">
        <f ca="1">D14</f>
        <v>51495</v>
      </c>
      <c r="E17" s="24">
        <f>'数据-取费表'!B32</f>
        <v>0</v>
      </c>
      <c r="F17" s="895"/>
      <c r="G17" s="135" t="s">
        <v>2067</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2068</v>
      </c>
      <c r="C18" s="24">
        <f ca="1">C19+C20-IF(C1="",'数据-取费表'!B29,IF(G18="已全部缴纳",C19+C20,H18))</f>
        <v>0</v>
      </c>
      <c r="D18" s="935"/>
      <c r="E18" s="24"/>
      <c r="F18" s="893"/>
      <c r="G18" s="1998" t="s">
        <v>3211</v>
      </c>
      <c r="H18" s="1301"/>
      <c r="I18" s="1999" t="s">
        <v>2069</v>
      </c>
      <c r="J18" s="896"/>
      <c r="K18" s="897"/>
    </row>
    <row r="19" spans="1:33" s="892" customFormat="1" ht="13.5" customHeight="1">
      <c r="A19" s="888" t="s">
        <v>624</v>
      </c>
      <c r="B19" s="889" t="s">
        <v>2070</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2071</v>
      </c>
      <c r="C20" s="24">
        <f ca="1">ROUND(D20*E20/10000,0)</f>
        <v>1030</v>
      </c>
      <c r="D20" s="935">
        <f ca="1">IF(C1="",'数据-汇总表'!E6,IF(INDIRECT("'数据-取费表'!c"&amp;$K$1)="住宅",INDIRECT("'数据-取费表'!s"&amp;$K$1),INDIRECT("'数据-取费表'!k"&amp;$K$1)+INDIRECT("'数据-取费表'!s"&amp;$K$1)))</f>
        <v>51495</v>
      </c>
      <c r="E20" s="24">
        <f>'数据-取费表'!B28</f>
        <v>200</v>
      </c>
      <c r="F20" s="893"/>
      <c r="G20" s="15"/>
      <c r="H20" s="898"/>
      <c r="I20" s="898"/>
      <c r="J20" s="898"/>
      <c r="K20" s="899"/>
    </row>
    <row r="21" spans="1:33" s="892" customFormat="1" ht="13.5" customHeight="1">
      <c r="A21" s="878" t="s">
        <v>621</v>
      </c>
      <c r="B21" s="902" t="s">
        <v>2072</v>
      </c>
      <c r="C21" s="903">
        <f ca="1">C16+C17+C18</f>
        <v>10856</v>
      </c>
      <c r="D21" s="904"/>
      <c r="E21" s="286"/>
      <c r="F21" s="286"/>
      <c r="G21" s="135" t="s">
        <v>2073</v>
      </c>
      <c r="H21" s="896"/>
      <c r="I21" s="896"/>
      <c r="J21" s="896"/>
      <c r="K21" s="897"/>
    </row>
    <row r="22" spans="1:33" s="892" customFormat="1" ht="13.5" customHeight="1">
      <c r="A22" s="878" t="s">
        <v>2045</v>
      </c>
      <c r="B22" s="902" t="s">
        <v>2074</v>
      </c>
      <c r="C22" s="903">
        <f ca="1">ROUND(C21*F22,0)</f>
        <v>217</v>
      </c>
      <c r="D22" s="286"/>
      <c r="E22" s="286"/>
      <c r="F22" s="905">
        <f>'数据-取费表'!B37</f>
        <v>0.02</v>
      </c>
      <c r="G22" s="8" t="s">
        <v>2075</v>
      </c>
      <c r="H22" s="885"/>
      <c r="I22" s="885"/>
      <c r="J22" s="885"/>
      <c r="K22" s="886"/>
    </row>
    <row r="23" spans="1:33" s="892" customFormat="1" ht="13.5" customHeight="1">
      <c r="A23" s="878" t="s">
        <v>2047</v>
      </c>
      <c r="B23" s="902" t="s">
        <v>2076</v>
      </c>
      <c r="C23" s="903">
        <f ca="1">ROUND(C4*F23*F11,0)</f>
        <v>762</v>
      </c>
      <c r="D23" s="286"/>
      <c r="E23" s="286"/>
      <c r="F23" s="905">
        <f>'数据-取费表'!B38</f>
        <v>0.02</v>
      </c>
      <c r="G23" s="8" t="s">
        <v>2077</v>
      </c>
      <c r="H23" s="885"/>
      <c r="I23" s="885"/>
      <c r="J23" s="885"/>
      <c r="K23" s="886"/>
    </row>
    <row r="24" spans="1:33" s="892" customFormat="1" ht="13.5" customHeight="1">
      <c r="A24" s="878" t="s">
        <v>2078</v>
      </c>
      <c r="B24" s="902" t="s">
        <v>2079</v>
      </c>
      <c r="C24" s="285">
        <f>ROUND(F24/(1+'数据-取费表'!C42),4)</f>
        <v>4.7600000000000003E-2</v>
      </c>
      <c r="D24" s="286" t="s">
        <v>15</v>
      </c>
      <c r="E24" s="286"/>
      <c r="F24" s="905">
        <f>IF(项目基本情况!B8="出让",0,'数据-取费表'!B48+'数据-取费表'!B49)</f>
        <v>0.05</v>
      </c>
      <c r="G24" s="8" t="s">
        <v>2080</v>
      </c>
      <c r="H24" s="907"/>
      <c r="I24" s="907"/>
      <c r="J24" s="907"/>
      <c r="K24" s="908"/>
    </row>
    <row r="25" spans="1:33" s="892" customFormat="1" ht="13.5" customHeight="1">
      <c r="A25" s="878" t="s">
        <v>2081</v>
      </c>
      <c r="B25" s="904" t="s">
        <v>2082</v>
      </c>
      <c r="C25" s="1218">
        <f ca="1">C27</f>
        <v>211</v>
      </c>
      <c r="D25" s="285">
        <f ca="1">C26</f>
        <v>3.7699999999999997E-2</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2083</v>
      </c>
      <c r="C26" s="1219">
        <f ca="1">ROUND(IF('数据-取费表'!B22&lt;=1,(1+C24)*F25*'数据-取费表'!B24,(1+C24)*(POWER((1+F25),'数据-取费表'!B24)-1)),4)</f>
        <v>3.7699999999999997E-2</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2084</v>
      </c>
      <c r="C27" s="1220">
        <f ca="1">ROUND(IF('数据-取费表'!B22&lt;=1,(C21+C22+C23)*F25*'数据-取费表'!B24/2,(C21+C22+C23)*(POWER((1+F25),'数据-取费表'!B24/2)-1)),0)</f>
        <v>211</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2085</v>
      </c>
      <c r="B28" s="2001" t="s">
        <v>2086</v>
      </c>
      <c r="C28" s="292">
        <f ca="1">C30</f>
        <v>1539</v>
      </c>
      <c r="D28" s="285">
        <f ca="1">C29</f>
        <v>5.8599999999999999E-2</v>
      </c>
      <c r="E28" s="287" t="s">
        <v>15</v>
      </c>
      <c r="F28" s="293">
        <f ca="1">IF(C1="",'数据-取费表'!Q16,INDIRECT("'数据-取费表'!q"&amp;$K$1))</f>
        <v>0.13</v>
      </c>
      <c r="G28" s="906"/>
      <c r="H28" s="907"/>
      <c r="I28" s="907"/>
      <c r="J28" s="907"/>
      <c r="K28" s="908"/>
    </row>
    <row r="29" spans="1:33" s="296" customFormat="1" ht="13.5" customHeight="1">
      <c r="A29" s="888" t="s">
        <v>622</v>
      </c>
      <c r="B29" s="911" t="s">
        <v>2087</v>
      </c>
      <c r="C29" s="289">
        <f ca="1">ROUND((1+C24)*F28*'数据-取费表'!B24/'数据-取费表'!B20,4)</f>
        <v>5.8599999999999999E-2</v>
      </c>
      <c r="D29" s="289"/>
      <c r="E29" s="290"/>
      <c r="F29" s="295"/>
      <c r="G29" s="135" t="s">
        <v>2088</v>
      </c>
      <c r="H29" s="896"/>
      <c r="I29" s="896"/>
      <c r="J29" s="896"/>
      <c r="K29" s="897"/>
    </row>
    <row r="30" spans="1:33" s="296" customFormat="1" ht="13.5" customHeight="1">
      <c r="A30" s="888" t="s">
        <v>623</v>
      </c>
      <c r="B30" s="911" t="s">
        <v>2089</v>
      </c>
      <c r="C30" s="297">
        <f ca="1">ROUND((C21+C22+C23)*F28,0)</f>
        <v>1539</v>
      </c>
      <c r="D30" s="289"/>
      <c r="E30" s="290"/>
      <c r="F30" s="295"/>
      <c r="G30" s="135"/>
      <c r="H30" s="896"/>
      <c r="I30" s="896"/>
      <c r="J30" s="896"/>
      <c r="K30" s="897"/>
    </row>
    <row r="31" spans="1:33" s="892" customFormat="1" ht="13.5" customHeight="1" thickBot="1">
      <c r="A31" s="2002" t="s">
        <v>2090</v>
      </c>
      <c r="B31" s="922" t="s">
        <v>2091</v>
      </c>
      <c r="C31" s="923">
        <f ca="1">ROUND(C4*F31/(1+'数据-取费表'!C42),0)</f>
        <v>4726</v>
      </c>
      <c r="D31" s="924"/>
      <c r="E31" s="925"/>
      <c r="F31" s="926">
        <f>'数据-取费表'!B41</f>
        <v>5.6000000000000001E-2</v>
      </c>
      <c r="G31" s="927" t="s">
        <v>2092</v>
      </c>
      <c r="H31" s="928"/>
      <c r="I31" s="928"/>
      <c r="J31" s="928"/>
      <c r="K31" s="929"/>
    </row>
    <row r="32" spans="1:33" s="887" customFormat="1" ht="13.5" customHeight="1" thickBot="1">
      <c r="A32" s="917" t="s">
        <v>2093</v>
      </c>
      <c r="B32" s="918"/>
      <c r="C32" s="919">
        <f ca="1">ROUND((C4-C21-C22-C23-C25-C28-C31)/(1+C24+D25+D28),0)</f>
        <v>61464</v>
      </c>
      <c r="D32" s="918"/>
      <c r="E32" s="918"/>
      <c r="F32" s="918"/>
      <c r="G32" s="920" t="s">
        <v>2094</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H41" sqref="H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3187</v>
      </c>
      <c r="D1" s="1496" t="s">
        <v>3191</v>
      </c>
      <c r="E1" s="1497" t="s">
        <v>1111</v>
      </c>
      <c r="F1" s="1173">
        <f ca="1">J53</f>
        <v>35.770000000000003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86453</v>
      </c>
      <c r="C2" s="1521" t="s">
        <v>1240</v>
      </c>
      <c r="D2" s="1521"/>
      <c r="E2" s="1522"/>
      <c r="F2" s="1523"/>
      <c r="G2" s="2884"/>
      <c r="H2" s="2873"/>
      <c r="I2" s="2873"/>
      <c r="J2" s="2873"/>
      <c r="K2" s="2874"/>
      <c r="L2" s="2873"/>
      <c r="M2" s="2873"/>
    </row>
    <row r="3" spans="1:37" ht="18" customHeight="1" thickBot="1">
      <c r="A3" s="1524" t="s">
        <v>1241</v>
      </c>
      <c r="B3" s="1525">
        <f ca="1">IF(ISERROR(B2*10000/F43),0,ROUND(B2*10000/F43,0))</f>
        <v>23696</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4800</v>
      </c>
      <c r="D5" s="1498" t="s">
        <v>1126</v>
      </c>
      <c r="E5" s="1183"/>
      <c r="F5" s="1184"/>
      <c r="G5" s="1518"/>
      <c r="H5" s="304">
        <v>1</v>
      </c>
      <c r="I5" s="305" t="s">
        <v>1125</v>
      </c>
      <c r="J5" s="1182">
        <f ca="1">J6+J10+J12</f>
        <v>0</v>
      </c>
      <c r="K5" s="1498" t="s">
        <v>1126</v>
      </c>
      <c r="L5" s="1183"/>
      <c r="M5" s="1184"/>
    </row>
    <row r="6" spans="1:37" ht="18" customHeight="1">
      <c r="A6" s="1181" t="s">
        <v>822</v>
      </c>
      <c r="B6" s="3445" t="s">
        <v>1127</v>
      </c>
      <c r="C6" s="1186">
        <f ca="1">ROUND(F6*F8*F7*(1-F9)/10000,0)</f>
        <v>4794</v>
      </c>
      <c r="D6" s="159" t="s">
        <v>2605</v>
      </c>
      <c r="E6" s="307" t="s">
        <v>1129</v>
      </c>
      <c r="F6" s="308">
        <f ca="1">INDIRECT("'数据-取费表'!u"&amp;$G$1)</f>
        <v>4</v>
      </c>
      <c r="G6" s="1518"/>
      <c r="H6" s="1181" t="s">
        <v>822</v>
      </c>
      <c r="I6" s="3445" t="s">
        <v>1127</v>
      </c>
      <c r="J6" s="306">
        <f ca="1">ROUND(M6*M8*M7*(1-M9)/10000,0)</f>
        <v>0</v>
      </c>
      <c r="K6" s="159" t="s">
        <v>2604</v>
      </c>
      <c r="L6" s="307" t="s">
        <v>1129</v>
      </c>
      <c r="M6" s="308">
        <f ca="1">INDIRECT("'数据-取费表'!z"&amp;$G$1)</f>
        <v>0</v>
      </c>
    </row>
    <row r="7" spans="1:37" ht="18" customHeight="1">
      <c r="A7" s="1185"/>
      <c r="B7" s="3446"/>
      <c r="C7" s="1187"/>
      <c r="D7" s="312"/>
      <c r="E7" s="1188" t="s">
        <v>1130</v>
      </c>
      <c r="F7" s="308">
        <f ca="1">IF(INDIRECT("'数据-取费表'!ah"&amp;$G$1)="",INDIRECT("'数据-取费表'!k"&amp;$G$1),INDIRECT("'数据-取费表'!ah"&amp;$G$1))</f>
        <v>36484</v>
      </c>
      <c r="G7" s="1518"/>
      <c r="H7" s="309"/>
      <c r="I7" s="3446"/>
      <c r="J7" s="311"/>
      <c r="K7" s="312"/>
      <c r="L7" s="307" t="s">
        <v>1130</v>
      </c>
      <c r="M7" s="308">
        <f ca="1">F7</f>
        <v>36484</v>
      </c>
    </row>
    <row r="8" spans="1:37" ht="18" customHeight="1">
      <c r="A8" s="309"/>
      <c r="B8" s="3446"/>
      <c r="C8" s="311"/>
      <c r="D8" s="312"/>
      <c r="E8" s="307" t="s">
        <v>1131</v>
      </c>
      <c r="F8" s="308">
        <f ca="1">INDIRECT("'数据-取费表'!ai"&amp;$G$1)</f>
        <v>365</v>
      </c>
      <c r="G8" s="1518"/>
      <c r="H8" s="309"/>
      <c r="I8" s="3446"/>
      <c r="J8" s="311"/>
      <c r="K8" s="312"/>
      <c r="L8" s="307" t="s">
        <v>1131</v>
      </c>
      <c r="M8" s="308">
        <f ca="1">INDIRECT("'数据-取费表'!ai"&amp;$G$1)</f>
        <v>365</v>
      </c>
    </row>
    <row r="9" spans="1:37" ht="18" customHeight="1">
      <c r="A9" s="309"/>
      <c r="B9" s="3447"/>
      <c r="C9" s="311"/>
      <c r="D9" s="312"/>
      <c r="E9" s="307" t="s">
        <v>1132</v>
      </c>
      <c r="F9" s="317">
        <f ca="1">INDIRECT("'数据-取费表'!w"&amp;$G$1)</f>
        <v>0.1</v>
      </c>
      <c r="G9" s="1518"/>
      <c r="H9" s="309"/>
      <c r="I9" s="3447"/>
      <c r="J9" s="311"/>
      <c r="K9" s="312"/>
      <c r="L9" s="318" t="s">
        <v>1132</v>
      </c>
      <c r="M9" s="319">
        <f ca="1">INDIRECT("'数据-取费表'!ab"&amp;$G$1)</f>
        <v>0</v>
      </c>
    </row>
    <row r="10" spans="1:37" ht="18" customHeight="1">
      <c r="A10" s="1181" t="s">
        <v>826</v>
      </c>
      <c r="B10" s="1499" t="s">
        <v>1133</v>
      </c>
      <c r="C10" s="321">
        <f ca="1">ROUND(IF(F10="押一",C6/12*F11,IF(F10="押二",C6/12*2*F11,IF(F10="押三",C6/12*3*F11,C11*F11))),0)</f>
        <v>6</v>
      </c>
      <c r="D10" s="1500" t="s">
        <v>2613</v>
      </c>
      <c r="E10" s="318" t="s">
        <v>1134</v>
      </c>
      <c r="F10" s="1228" t="s">
        <v>3192</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27334</v>
      </c>
      <c r="D13" s="1193" t="s">
        <v>1139</v>
      </c>
      <c r="E13" s="1193" t="s">
        <v>1140</v>
      </c>
      <c r="F13" s="1194">
        <f ca="1">INDIRECT("'数据-取费表'!y"&amp;$G$1)</f>
        <v>1</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19046</v>
      </c>
      <c r="D14" s="1479" t="s">
        <v>1142</v>
      </c>
      <c r="E14" s="1476"/>
      <c r="F14" s="324"/>
      <c r="G14" s="1518"/>
      <c r="H14" s="1093" t="s">
        <v>822</v>
      </c>
      <c r="I14" s="307" t="s">
        <v>1143</v>
      </c>
      <c r="J14" s="24">
        <f ca="1">C29</f>
        <v>27334</v>
      </c>
      <c r="K14" s="15"/>
      <c r="L14" s="896"/>
      <c r="M14" s="897"/>
    </row>
    <row r="15" spans="1:37" s="1531" customFormat="1" ht="18" customHeight="1" thickBot="1">
      <c r="A15" s="1093" t="s">
        <v>823</v>
      </c>
      <c r="B15" s="307" t="s">
        <v>1144</v>
      </c>
      <c r="C15" s="24">
        <f ca="1">ROUND(C14*F15,0)</f>
        <v>571</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649</v>
      </c>
      <c r="K16" s="1199" t="s">
        <v>1149</v>
      </c>
      <c r="L16" s="1200"/>
      <c r="M16" s="1184"/>
    </row>
    <row r="17" spans="1:37" s="1531" customFormat="1" ht="18" customHeight="1">
      <c r="A17" s="1093" t="s">
        <v>1114</v>
      </c>
      <c r="B17" s="307" t="s">
        <v>1150</v>
      </c>
      <c r="C17" s="24">
        <f ca="1">ROUND(F17*(F43+INDIRECT("'数据-取费表'!S"&amp;$G$1))/10000,0)</f>
        <v>846</v>
      </c>
      <c r="D17" s="307" t="s">
        <v>1151</v>
      </c>
      <c r="E17" s="307" t="s">
        <v>1152</v>
      </c>
      <c r="F17" s="26">
        <f>'数据-取费表'!B35</f>
        <v>200</v>
      </c>
      <c r="G17" s="1530"/>
      <c r="H17" s="1093" t="s">
        <v>822</v>
      </c>
      <c r="I17" s="307" t="s">
        <v>1153</v>
      </c>
      <c r="J17" s="2484">
        <f ca="1">ROUND(IF(AND(项目基本情况!B11="自然人",项目基本情况!B10="北京市"),J6*M17/(1+'数据-取费表'!C42),J18+J19+J20),0)</f>
        <v>239</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286</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20749</v>
      </c>
      <c r="D19" s="135" t="s">
        <v>1160</v>
      </c>
      <c r="E19" s="1494"/>
      <c r="F19" s="26"/>
      <c r="G19" s="1518"/>
      <c r="H19" s="1093" t="s">
        <v>823</v>
      </c>
      <c r="I19" s="307" t="s">
        <v>1161</v>
      </c>
      <c r="J19" s="24">
        <f ca="1">IF(K19="按租金收入计税",ROUND(J6*M19/(1+'数据-取费表'!C42),2),ROUND(C29*M19*0.7,2))</f>
        <v>229.61</v>
      </c>
      <c r="K19" s="1504" t="s">
        <v>1162</v>
      </c>
      <c r="L19" s="307" t="s">
        <v>1146</v>
      </c>
      <c r="M19" s="327">
        <f>IF(K19="按租金收入计税",'数据-取费表'!B51,'数据-取费表'!B50)</f>
        <v>1.2E-2</v>
      </c>
    </row>
    <row r="20" spans="1:37" s="1531" customFormat="1" ht="18" customHeight="1">
      <c r="A20" s="1093" t="s">
        <v>826</v>
      </c>
      <c r="B20" s="307" t="s">
        <v>1163</v>
      </c>
      <c r="C20" s="24">
        <f ca="1">ROUND(C19*F20,0)</f>
        <v>415</v>
      </c>
      <c r="D20" s="328" t="s">
        <v>1164</v>
      </c>
      <c r="E20" s="307" t="s">
        <v>1146</v>
      </c>
      <c r="F20" s="327">
        <f>'数据-取费表'!B37</f>
        <v>0.02</v>
      </c>
      <c r="G20" s="1530"/>
      <c r="H20" s="1093" t="s">
        <v>1113</v>
      </c>
      <c r="I20" s="159" t="s">
        <v>1165</v>
      </c>
      <c r="J20" s="25">
        <f ca="1">ROUND(M20*M21/10000,2)</f>
        <v>9.81</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8178.55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410</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888</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-649</v>
      </c>
      <c r="K25" s="1207" t="s">
        <v>1188</v>
      </c>
      <c r="L25" s="1208"/>
      <c r="M25" s="1209"/>
    </row>
    <row r="26" spans="1:37">
      <c r="A26" s="1093" t="s">
        <v>821</v>
      </c>
      <c r="B26" s="307" t="s">
        <v>1189</v>
      </c>
      <c r="C26" s="24">
        <f ca="1">ROUND((C19+C20)*F26,0)</f>
        <v>3175</v>
      </c>
      <c r="D26" s="328" t="s">
        <v>1190</v>
      </c>
      <c r="E26" s="318" t="s">
        <v>1191</v>
      </c>
      <c r="F26" s="317">
        <f ca="1">INDIRECT("'数据-取费表'!q"&amp;$G$1)</f>
        <v>0.15</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4">
        <f ca="1">ROUND(F21*F26,4)</f>
        <v>3.0000000000000001E-3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27334</v>
      </c>
      <c r="D29" s="1204"/>
      <c r="E29" s="1202"/>
      <c r="F29" s="1205"/>
      <c r="G29" s="1530"/>
      <c r="H29" s="339" t="s">
        <v>820</v>
      </c>
      <c r="I29" s="340" t="s">
        <v>1203</v>
      </c>
      <c r="J29" s="341">
        <f ca="1">ROUND(J26/(1+F40)^F41,0)</f>
        <v>0</v>
      </c>
      <c r="K29" s="342" t="s">
        <v>1204</v>
      </c>
      <c r="L29" s="343"/>
      <c r="M29" s="344">
        <f ca="1">INDIRECT("'数据-取费表'!k"&amp;$G$1)</f>
        <v>36484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1312</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813</v>
      </c>
      <c r="D31" s="1479" t="s">
        <v>1154</v>
      </c>
      <c r="E31" s="1478"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IF(项目基本情况!B11="自然人","——",ROUND(C6*F32/(1+'数据-取费表'!C42),2))</f>
        <v>255.68</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547.89</v>
      </c>
      <c r="D33" s="1504" t="s">
        <v>3210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9.81</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8178.55</v>
      </c>
      <c r="G35" s="1518"/>
      <c r="H35" s="2875"/>
      <c r="I35" s="1532"/>
      <c r="J35" s="1533"/>
      <c r="K35" s="2879"/>
      <c r="L35" s="2878"/>
      <c r="M35" s="2878"/>
    </row>
    <row r="36" spans="1:18" ht="18" customHeight="1">
      <c r="A36" s="1214" t="s">
        <v>826</v>
      </c>
      <c r="B36" s="307" t="s">
        <v>1173</v>
      </c>
      <c r="C36" s="24">
        <f ca="1">ROUND(C29*F36,1)</f>
        <v>410</v>
      </c>
      <c r="D36" s="1478" t="s">
        <v>1206</v>
      </c>
      <c r="E36" s="307" t="s">
        <v>1146</v>
      </c>
      <c r="F36" s="333">
        <f ca="1">INDIRECT("'数据-取费表'!Ak"&amp;$G$1)</f>
        <v>1.4999999999999999E-2</v>
      </c>
      <c r="G36" s="1518"/>
      <c r="H36" s="2878"/>
      <c r="I36" s="1532"/>
      <c r="J36" s="1533"/>
      <c r="K36" s="2719"/>
      <c r="L36" s="2878"/>
      <c r="M36" s="2878"/>
    </row>
    <row r="37" spans="1:18" ht="18" customHeight="1">
      <c r="A37" s="1093" t="s">
        <v>862</v>
      </c>
      <c r="B37" s="307" t="s">
        <v>1177</v>
      </c>
      <c r="C37" s="24">
        <f ca="1">ROUND(C13*F37,1)</f>
        <v>41</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48</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3488</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86453</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35.770000000000003</v>
      </c>
      <c r="G41" s="1518"/>
      <c r="H41" s="1305"/>
      <c r="I41" s="1532"/>
      <c r="J41" s="1533"/>
      <c r="K41" s="2719"/>
      <c r="L41" s="1305"/>
      <c r="M41" s="1305"/>
    </row>
    <row r="42" spans="1:18" ht="18" customHeight="1">
      <c r="A42" s="313"/>
      <c r="B42" s="314"/>
      <c r="C42" s="315"/>
      <c r="D42" s="332"/>
      <c r="E42" s="307" t="s">
        <v>1201</v>
      </c>
      <c r="F42" s="317">
        <f ca="1">INDIRECT("'数据-取费表'!v"&amp;$G$1)</f>
        <v>3.5000000000000003E-2</v>
      </c>
      <c r="G42" s="1518"/>
      <c r="H42" s="1305"/>
      <c r="I42" s="1532"/>
      <c r="J42" s="1533"/>
      <c r="K42" s="2719"/>
      <c r="L42" s="1305"/>
      <c r="M42" s="1305"/>
    </row>
    <row r="43" spans="1:18" ht="18" customHeight="1" thickBot="1">
      <c r="A43" s="339" t="s">
        <v>820</v>
      </c>
      <c r="B43" s="340" t="s">
        <v>1211</v>
      </c>
      <c r="C43" s="341">
        <f ca="1">ROUND(C40*10000/F43,0)</f>
        <v>23696</v>
      </c>
      <c r="D43" s="342" t="s">
        <v>1212</v>
      </c>
      <c r="E43" s="343" t="s">
        <v>1213</v>
      </c>
      <c r="F43" s="344">
        <f ca="1">INDIRECT("'数据-取费表'!k"&amp;$G$1)</f>
        <v>36484</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-129196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3207</v>
      </c>
      <c r="K47" s="1550" t="s">
        <v>1251</v>
      </c>
      <c r="L47" s="1551">
        <f ca="1">INDIRECT("'数据-取费表'!d"&amp;$G$1)</f>
        <v>50</v>
      </c>
      <c r="M47" s="1514" t="str">
        <f>IF(ISNUMBER(FIND("住宅",C1)),"住宅","非住宅")</f>
        <v>非住宅</v>
      </c>
      <c r="O47" s="1552" t="s">
        <v>827</v>
      </c>
      <c r="P47" s="1553" t="s">
        <v>1252</v>
      </c>
      <c r="Q47" s="1554">
        <f ca="1">C40+J29</f>
        <v>86453</v>
      </c>
      <c r="R47" s="1554" t="s">
        <v>1253</v>
      </c>
    </row>
    <row r="48" spans="1:18" s="1518" customFormat="1" ht="28.5" thickBot="1">
      <c r="A48" s="1222" t="s">
        <v>863</v>
      </c>
      <c r="B48" s="305" t="s">
        <v>1125</v>
      </c>
      <c r="C48" s="1493">
        <f ca="1">C49+C53+C55</f>
        <v>0</v>
      </c>
      <c r="D48" s="1224"/>
      <c r="E48" s="1225"/>
      <c r="F48" s="1073"/>
      <c r="G48" s="730"/>
      <c r="H48" s="731"/>
      <c r="I48" s="1555" t="s">
        <v>1254</v>
      </c>
      <c r="J48" s="1556" t="s">
        <v>3208</v>
      </c>
      <c r="K48" s="1557" t="s">
        <v>1255</v>
      </c>
      <c r="L48" s="1558">
        <f ca="1">INDIRECT("'数据-取费表'!f"&amp;$G$1)</f>
        <v>36.630000000000003</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2606</v>
      </c>
      <c r="E49" s="1506" t="s">
        <v>1215</v>
      </c>
      <c r="F49" s="1171"/>
      <c r="G49" s="1559"/>
      <c r="H49" s="731"/>
      <c r="I49" s="1555" t="s">
        <v>1258</v>
      </c>
      <c r="J49" s="1560">
        <v>2023</v>
      </c>
      <c r="K49" s="1557" t="s">
        <v>1259</v>
      </c>
      <c r="L49" s="1561"/>
      <c r="O49" s="1562" t="s">
        <v>829</v>
      </c>
      <c r="P49" s="1553" t="s">
        <v>1260</v>
      </c>
      <c r="Q49" s="1554">
        <f ca="1">C29</f>
        <v>27334</v>
      </c>
      <c r="R49" s="1554" t="s">
        <v>1253</v>
      </c>
    </row>
    <row r="50" spans="1:18" s="1518" customFormat="1" ht="13.5" thickBot="1">
      <c r="A50" s="1087"/>
      <c r="B50" s="1090"/>
      <c r="C50" s="1230"/>
      <c r="D50" s="1064"/>
      <c r="E50" s="1167" t="s">
        <v>1130</v>
      </c>
      <c r="F50" s="1168">
        <f ca="1">F7</f>
        <v>36484</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61</v>
      </c>
      <c r="K51" s="1568" t="s">
        <v>1265</v>
      </c>
      <c r="L51" s="1569">
        <f ca="1">ROUND(-PV(INDIRECT("'数据-取费表'!h"&amp;$G$1),J51,(C39-C13*C76),0),0)</f>
        <v>24699</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35.770000000000003</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35.770000000000003</v>
      </c>
      <c r="K53" s="3443" t="s">
        <v>1272</v>
      </c>
      <c r="L53" s="3444"/>
      <c r="O53" s="1552" t="s">
        <v>833</v>
      </c>
      <c r="P53" s="1553" t="s">
        <v>1273</v>
      </c>
      <c r="Q53" s="1554">
        <f ca="1">Q47+Q48</f>
        <v>86453</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27334</v>
      </c>
      <c r="D56" s="1581"/>
      <c r="E56" s="1582"/>
      <c r="F56" s="1574"/>
      <c r="I56" s="1583" t="s">
        <v>1278</v>
      </c>
      <c r="J56" s="1584" t="s">
        <v>3179</v>
      </c>
      <c r="K56" s="1555" t="s">
        <v>1279</v>
      </c>
      <c r="L56" s="1558" t="str">
        <f ca="1">IF(L48&lt;J51,"——",L48-J53)</f>
        <v>——</v>
      </c>
      <c r="O56" s="1552" t="s">
        <v>827</v>
      </c>
      <c r="P56" s="1553" t="s">
        <v>1252</v>
      </c>
      <c r="Q56" s="1554">
        <f ca="1">C40+J29</f>
        <v>86453</v>
      </c>
      <c r="R56" s="1554" t="s">
        <v>1253</v>
      </c>
    </row>
    <row r="57" spans="1:18" s="1518" customFormat="1" ht="24.75" thickBot="1">
      <c r="A57" s="1585"/>
      <c r="B57" s="1061" t="s">
        <v>1202</v>
      </c>
      <c r="C57" s="243">
        <f ca="1">C29</f>
        <v>27334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2757</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2306</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2296.06</v>
      </c>
      <c r="D61" s="1504" t="s">
        <v>1162</v>
      </c>
      <c r="E61" s="1061" t="s">
        <v>1218</v>
      </c>
      <c r="F61" s="327">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9.81</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86453</v>
      </c>
      <c r="R62" s="1554" t="s">
        <v>834</v>
      </c>
    </row>
    <row r="63" spans="1:18" s="1518" customFormat="1" ht="13.5" thickBot="1">
      <c r="A63" s="331"/>
      <c r="B63" s="1067"/>
      <c r="C63" s="29"/>
      <c r="D63" s="1077"/>
      <c r="E63" s="1061" t="s">
        <v>1223</v>
      </c>
      <c r="F63" s="308">
        <f t="shared" ca="1" si="0"/>
        <v>8178.55</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410</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41</v>
      </c>
      <c r="D65" s="1075" t="s">
        <v>1178</v>
      </c>
      <c r="E65" s="1061" t="s">
        <v>1179</v>
      </c>
      <c r="F65" s="335">
        <f t="shared" ca="1" si="0"/>
        <v>1.5E-3</v>
      </c>
      <c r="I65" s="1596" t="s">
        <v>1303</v>
      </c>
      <c r="J65" s="1597">
        <v>40</v>
      </c>
      <c r="K65" s="1597">
        <v>30</v>
      </c>
      <c r="L65" s="1597">
        <v>50</v>
      </c>
      <c r="M65" s="1599">
        <v>0.02</v>
      </c>
      <c r="O65" s="1552" t="s">
        <v>827</v>
      </c>
      <c r="P65" s="1553" t="s">
        <v>1304</v>
      </c>
      <c r="Q65" s="1554">
        <f ca="1">C40+J29</f>
        <v>86453</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-2757</v>
      </c>
      <c r="D67" s="1074" t="s">
        <v>1188</v>
      </c>
      <c r="E67" s="1079"/>
      <c r="F67" s="1080"/>
      <c r="O67" s="1562" t="s">
        <v>829</v>
      </c>
      <c r="P67" s="1553" t="s">
        <v>1286</v>
      </c>
      <c r="Q67" s="1600">
        <f ca="1">L51</f>
        <v>24699</v>
      </c>
      <c r="R67" s="1554" t="s">
        <v>1306</v>
      </c>
    </row>
    <row r="68" spans="1:18" s="1518" customFormat="1" ht="16.5" thickBot="1">
      <c r="A68" s="1058" t="s">
        <v>819</v>
      </c>
      <c r="B68" s="1059" t="s">
        <v>1209</v>
      </c>
      <c r="C68" s="306">
        <f ca="1">ROUND(C67*(1-((1+F70)/(1+F68))^F69)/(F68-F70),0)</f>
        <v>-42743</v>
      </c>
      <c r="D68" s="1076" t="s">
        <v>1193</v>
      </c>
      <c r="E68" s="1061" t="s">
        <v>1194</v>
      </c>
      <c r="F68" s="317">
        <f ca="1">F40</f>
        <v>5.5E-2</v>
      </c>
      <c r="O68" s="1562" t="s">
        <v>830</v>
      </c>
      <c r="P68" s="1601" t="s">
        <v>1307</v>
      </c>
      <c r="Q68" s="1554">
        <f ca="1">ROUND(Q69-Q70*Q71,0)</f>
        <v>1301</v>
      </c>
      <c r="R68" s="1554" t="s">
        <v>838</v>
      </c>
    </row>
    <row r="69" spans="1:18" s="1518" customFormat="1" ht="13.5" thickBot="1">
      <c r="A69" s="1062"/>
      <c r="B69" s="1063"/>
      <c r="C69" s="311"/>
      <c r="D69" s="1081" t="s">
        <v>1197</v>
      </c>
      <c r="E69" s="1061" t="s">
        <v>1198</v>
      </c>
      <c r="F69" s="338">
        <f ca="1">F41</f>
        <v>35.770000000000003</v>
      </c>
      <c r="O69" s="1562" t="s">
        <v>835</v>
      </c>
      <c r="P69" s="1601" t="s">
        <v>1308</v>
      </c>
      <c r="Q69" s="1554">
        <f ca="1">C39</f>
        <v>3488</v>
      </c>
      <c r="R69" s="1554" t="s">
        <v>1253</v>
      </c>
    </row>
    <row r="70" spans="1:18" s="1518" customFormat="1" ht="13.5" thickBot="1">
      <c r="A70" s="1065"/>
      <c r="B70" s="1066"/>
      <c r="C70" s="315"/>
      <c r="D70" s="1077"/>
      <c r="E70" s="1061" t="s">
        <v>1201</v>
      </c>
      <c r="F70" s="1165"/>
      <c r="O70" s="1562" t="s">
        <v>836</v>
      </c>
      <c r="P70" s="1601" t="s">
        <v>1309</v>
      </c>
      <c r="Q70" s="1554">
        <f ca="1">C13</f>
        <v>27334</v>
      </c>
      <c r="R70" s="1554" t="s">
        <v>1253</v>
      </c>
    </row>
    <row r="71" spans="1:18" s="1518" customFormat="1" ht="13.5" thickBot="1">
      <c r="A71" s="1082" t="s">
        <v>820</v>
      </c>
      <c r="B71" s="1083" t="s">
        <v>1211</v>
      </c>
      <c r="C71" s="341">
        <f ca="1">ROUND(C68*10000/F71,0)</f>
        <v>-11716</v>
      </c>
      <c r="D71" s="1084" t="s">
        <v>1212</v>
      </c>
      <c r="E71" s="1085" t="s">
        <v>1213</v>
      </c>
      <c r="F71" s="344">
        <f ca="1">F43</f>
        <v>36484</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5" t="s">
        <v>1230</v>
      </c>
      <c r="C75" s="346">
        <f ca="1">ROUND(C13*C76,0)</f>
        <v>2187</v>
      </c>
      <c r="D75" s="1518"/>
      <c r="E75" s="1518"/>
      <c r="F75" s="1518"/>
      <c r="K75" s="1536"/>
      <c r="L75" s="1518"/>
      <c r="O75" s="1552" t="s">
        <v>833</v>
      </c>
      <c r="P75" s="1553" t="s">
        <v>1273</v>
      </c>
      <c r="Q75" s="1554">
        <f ca="1">Q65+Q66</f>
        <v>86453</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0.373</v>
      </c>
    </row>
    <row r="80" spans="1:18">
      <c r="B80" s="345" t="s">
        <v>1235</v>
      </c>
      <c r="C80" s="279">
        <f ca="1">ROUND(C75/C39,3)</f>
        <v>0.627</v>
      </c>
    </row>
    <row r="81" spans="2:3">
      <c r="B81" s="275" t="s">
        <v>1236</v>
      </c>
      <c r="C81" s="243"/>
    </row>
    <row r="82" spans="2:3">
      <c r="B82" s="278" t="s">
        <v>1237</v>
      </c>
      <c r="C82" s="280">
        <f ca="1">1-C83</f>
        <v>0.68399999999999994</v>
      </c>
    </row>
    <row r="83" spans="2:3">
      <c r="B83" s="278" t="s">
        <v>1238</v>
      </c>
      <c r="C83" s="279">
        <f ca="1">ROUND(C13/C40,3)</f>
        <v>0.316</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3" zoomScale="70" zoomScaleNormal="70" zoomScaleSheetLayoutView="70" workbookViewId="0">
      <selection activeCell="K41" sqref="K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48</v>
      </c>
      <c r="D1" s="1496" t="s">
        <v>3191</v>
      </c>
      <c r="E1" s="1497" t="s">
        <v>1111</v>
      </c>
      <c r="F1" s="1173">
        <f ca="1">J53</f>
        <v>35.770000000000003</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2167</v>
      </c>
      <c r="C2" s="1521" t="s">
        <v>1240</v>
      </c>
      <c r="D2" s="1521"/>
      <c r="E2" s="1522"/>
      <c r="F2" s="1523"/>
      <c r="G2" s="2884"/>
      <c r="H2" s="2873"/>
      <c r="I2" s="2873"/>
      <c r="J2" s="2873"/>
      <c r="K2" s="2874"/>
      <c r="L2" s="2873"/>
      <c r="M2" s="2873"/>
    </row>
    <row r="3" spans="1:37" ht="18" customHeight="1" thickBot="1">
      <c r="A3" s="1524" t="s">
        <v>1241</v>
      </c>
      <c r="B3" s="1525">
        <f ca="1">IF(ISERROR(B2*10000/F43),0,ROUND(B2*10000/F43,0))</f>
        <v>2741</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234</v>
      </c>
      <c r="D5" s="1498" t="s">
        <v>1126</v>
      </c>
      <c r="E5" s="1183"/>
      <c r="F5" s="1184"/>
      <c r="G5" s="1518"/>
      <c r="H5" s="304">
        <v>1</v>
      </c>
      <c r="I5" s="305" t="s">
        <v>1125</v>
      </c>
      <c r="J5" s="1182">
        <f ca="1">J6+J10+J12</f>
        <v>0</v>
      </c>
      <c r="K5" s="1498" t="s">
        <v>1126</v>
      </c>
      <c r="L5" s="1183"/>
      <c r="M5" s="1184"/>
    </row>
    <row r="6" spans="1:37" ht="18" customHeight="1">
      <c r="A6" s="1181" t="s">
        <v>822</v>
      </c>
      <c r="B6" s="3445" t="s">
        <v>1127</v>
      </c>
      <c r="C6" s="1186">
        <f ca="1">ROUND(F6*F8*F7*(1-F9)/10000,0)</f>
        <v>234</v>
      </c>
      <c r="D6" s="159" t="s">
        <v>2605</v>
      </c>
      <c r="E6" s="307" t="s">
        <v>1129</v>
      </c>
      <c r="F6" s="308">
        <f ca="1">INDIRECT("'数据-取费表'!u"&amp;$G$1)</f>
        <v>0.9</v>
      </c>
      <c r="G6" s="1518"/>
      <c r="H6" s="1181" t="s">
        <v>822</v>
      </c>
      <c r="I6" s="3445" t="s">
        <v>1127</v>
      </c>
      <c r="J6" s="306">
        <f ca="1">ROUND(M6*M8*M7*(1-M9)/10000,0)</f>
        <v>0</v>
      </c>
      <c r="K6" s="159" t="s">
        <v>2604</v>
      </c>
      <c r="L6" s="307" t="s">
        <v>1129</v>
      </c>
      <c r="M6" s="308">
        <f ca="1">INDIRECT("'数据-取费表'!z"&amp;$G$1)</f>
        <v>0</v>
      </c>
    </row>
    <row r="7" spans="1:37" ht="18" customHeight="1">
      <c r="A7" s="1185"/>
      <c r="B7" s="3446"/>
      <c r="C7" s="1187"/>
      <c r="D7" s="312"/>
      <c r="E7" s="3189" t="s">
        <v>1130</v>
      </c>
      <c r="F7" s="308">
        <f ca="1">IF(INDIRECT("'数据-取费表'!ah"&amp;$G$1)="",INDIRECT("'数据-取费表'!k"&amp;$G$1),INDIRECT("'数据-取费表'!ah"&amp;$G$1))</f>
        <v>7905</v>
      </c>
      <c r="G7" s="1518"/>
      <c r="H7" s="309"/>
      <c r="I7" s="3446"/>
      <c r="J7" s="311"/>
      <c r="K7" s="312"/>
      <c r="L7" s="307" t="s">
        <v>1130</v>
      </c>
      <c r="M7" s="308">
        <f ca="1">F7</f>
        <v>7905</v>
      </c>
    </row>
    <row r="8" spans="1:37" ht="18" customHeight="1">
      <c r="A8" s="309"/>
      <c r="B8" s="3446"/>
      <c r="C8" s="311"/>
      <c r="D8" s="312"/>
      <c r="E8" s="307" t="s">
        <v>1131</v>
      </c>
      <c r="F8" s="308">
        <f ca="1">INDIRECT("'数据-取费表'!ai"&amp;$G$1)</f>
        <v>365</v>
      </c>
      <c r="G8" s="1518"/>
      <c r="H8" s="309"/>
      <c r="I8" s="3446"/>
      <c r="J8" s="311"/>
      <c r="K8" s="312"/>
      <c r="L8" s="307" t="s">
        <v>1131</v>
      </c>
      <c r="M8" s="308">
        <f ca="1">INDIRECT("'数据-取费表'!ai"&amp;$G$1)</f>
        <v>365</v>
      </c>
    </row>
    <row r="9" spans="1:37" ht="18" customHeight="1">
      <c r="A9" s="309"/>
      <c r="B9" s="3447"/>
      <c r="C9" s="311"/>
      <c r="D9" s="312"/>
      <c r="E9" s="307" t="s">
        <v>1132</v>
      </c>
      <c r="F9" s="317">
        <f ca="1">INDIRECT("'数据-取费表'!w"&amp;$G$1)</f>
        <v>0.1</v>
      </c>
      <c r="G9" s="1518"/>
      <c r="H9" s="309"/>
      <c r="I9" s="3447"/>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t="s">
        <v>3209</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5414</v>
      </c>
      <c r="D13" s="3186" t="s">
        <v>1139</v>
      </c>
      <c r="E13" s="3186" t="s">
        <v>1140</v>
      </c>
      <c r="F13" s="1194">
        <f ca="1">INDIRECT("'数据-取费表'!y"&amp;$G$1)</f>
        <v>1</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4126</v>
      </c>
      <c r="D14" s="3192" t="s">
        <v>1142</v>
      </c>
      <c r="E14" s="3191"/>
      <c r="F14" s="324"/>
      <c r="G14" s="1518"/>
      <c r="H14" s="1093" t="s">
        <v>822</v>
      </c>
      <c r="I14" s="307" t="s">
        <v>1143</v>
      </c>
      <c r="J14" s="24">
        <f ca="1">C29</f>
        <v>5414</v>
      </c>
      <c r="K14" s="3188"/>
      <c r="L14" s="896"/>
      <c r="M14" s="897"/>
    </row>
    <row r="15" spans="1:37" s="1531" customFormat="1" ht="18" customHeight="1" thickBot="1">
      <c r="A15" s="1093" t="s">
        <v>823</v>
      </c>
      <c r="B15" s="307" t="s">
        <v>1144</v>
      </c>
      <c r="C15" s="24">
        <f ca="1">ROUND(C14*F15,0)</f>
        <v>124</v>
      </c>
      <c r="D15" s="3187" t="s">
        <v>1145</v>
      </c>
      <c r="E15" s="3187"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129</v>
      </c>
      <c r="K16" s="1199" t="s">
        <v>1149</v>
      </c>
      <c r="L16" s="3194"/>
      <c r="M16" s="1184"/>
    </row>
    <row r="17" spans="1:37" s="1531" customFormat="1" ht="18" customHeight="1">
      <c r="A17" s="1093" t="s">
        <v>1114</v>
      </c>
      <c r="B17" s="307" t="s">
        <v>1150</v>
      </c>
      <c r="C17" s="24">
        <f ca="1">ROUND(F17*(F43+INDIRECT("'数据-取费表'!S"&amp;$G$1))/10000,0)</f>
        <v>183</v>
      </c>
      <c r="D17" s="307" t="s">
        <v>1151</v>
      </c>
      <c r="E17" s="307" t="s">
        <v>1152</v>
      </c>
      <c r="F17" s="26">
        <f>'数据-取费表'!B35</f>
        <v>200</v>
      </c>
      <c r="G17" s="1530"/>
      <c r="H17" s="1093" t="s">
        <v>822</v>
      </c>
      <c r="I17" s="307" t="s">
        <v>1153</v>
      </c>
      <c r="J17" s="2484">
        <f ca="1">ROUND(IF(AND(项目基本情况!B11="自然人",项目基本情况!B10="北京市"),J6*M17/(1+'数据-取费表'!C42),J18+J19+J20),0)</f>
        <v>48</v>
      </c>
      <c r="K17" s="3192" t="s">
        <v>1154</v>
      </c>
      <c r="L17" s="3193"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62</v>
      </c>
      <c r="D18" s="307" t="s">
        <v>1145</v>
      </c>
      <c r="E18" s="307" t="s">
        <v>1146</v>
      </c>
      <c r="F18" s="327">
        <f>'数据-取费表'!B36</f>
        <v>1.4999999999999999E-2</v>
      </c>
      <c r="G18" s="1530"/>
      <c r="H18" s="1093" t="s">
        <v>821</v>
      </c>
      <c r="I18" s="307" t="s">
        <v>1157</v>
      </c>
      <c r="J18" s="24">
        <f ca="1">ROUND(J6*M18/(1+'数据-取费表'!C42),2)</f>
        <v>0</v>
      </c>
      <c r="K18" s="3193"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4495</v>
      </c>
      <c r="D19" s="135" t="s">
        <v>1160</v>
      </c>
      <c r="E19" s="3196"/>
      <c r="F19" s="26"/>
      <c r="G19" s="1518"/>
      <c r="H19" s="1093" t="s">
        <v>823</v>
      </c>
      <c r="I19" s="307" t="s">
        <v>1161</v>
      </c>
      <c r="J19" s="24">
        <f ca="1">IF(K19="按租金收入计税",ROUND(J6*M19/(1+'数据-取费表'!C42),2),ROUND(C29*M19*0.7,2))</f>
        <v>45.48</v>
      </c>
      <c r="K19" s="1504" t="s">
        <v>1162</v>
      </c>
      <c r="L19" s="307" t="s">
        <v>1146</v>
      </c>
      <c r="M19" s="327">
        <f>IF(K19="按租金收入计税",'数据-取费表'!B51,'数据-取费表'!B50)</f>
        <v>1.2E-2</v>
      </c>
    </row>
    <row r="20" spans="1:37" s="1531" customFormat="1" ht="18" customHeight="1">
      <c r="A20" s="1093" t="s">
        <v>826</v>
      </c>
      <c r="B20" s="307" t="s">
        <v>1163</v>
      </c>
      <c r="C20" s="24">
        <f ca="1">ROUND(C19*F20,0)</f>
        <v>90</v>
      </c>
      <c r="D20" s="328" t="s">
        <v>1164</v>
      </c>
      <c r="E20" s="307" t="s">
        <v>1146</v>
      </c>
      <c r="F20" s="327">
        <f>'数据-取费表'!B37</f>
        <v>0.02</v>
      </c>
      <c r="G20" s="1530"/>
      <c r="H20" s="1093" t="s">
        <v>1113</v>
      </c>
      <c r="I20" s="159" t="s">
        <v>1165</v>
      </c>
      <c r="J20" s="25">
        <f ca="1">ROUND(M20*M21/10000,2)</f>
        <v>2.13</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1772.05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3196"/>
      <c r="F22" s="26"/>
      <c r="G22" s="1518"/>
      <c r="H22" s="1093" t="s">
        <v>826</v>
      </c>
      <c r="I22" s="307" t="s">
        <v>1173</v>
      </c>
      <c r="J22" s="24">
        <f ca="1">ROUND(J14*M22,1)</f>
        <v>81.2</v>
      </c>
      <c r="K22" s="3193"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193</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3193" t="s">
        <v>1178</v>
      </c>
      <c r="L23" s="307" t="s">
        <v>1146</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3196"/>
      <c r="F25" s="26"/>
      <c r="G25" s="1518"/>
      <c r="H25" s="1191" t="s">
        <v>818</v>
      </c>
      <c r="I25" s="1206" t="s">
        <v>1187</v>
      </c>
      <c r="J25" s="315">
        <f ca="1">J5-J16</f>
        <v>-129</v>
      </c>
      <c r="K25" s="1207" t="s">
        <v>1188</v>
      </c>
      <c r="L25" s="1208"/>
      <c r="M25" s="1209"/>
    </row>
    <row r="26" spans="1:37">
      <c r="A26" s="1093" t="s">
        <v>821</v>
      </c>
      <c r="B26" s="307" t="s">
        <v>1189</v>
      </c>
      <c r="C26" s="24">
        <f ca="1">ROUND((C19+C20)*F26,0)</f>
        <v>229</v>
      </c>
      <c r="D26" s="328" t="s">
        <v>1190</v>
      </c>
      <c r="E26" s="318" t="s">
        <v>1191</v>
      </c>
      <c r="F26" s="317">
        <f ca="1">INDIRECT("'数据-取费表'!q"&amp;$G$1)</f>
        <v>0.05</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4">
        <f ca="1">ROUND(F21*F26,4)</f>
        <v>1E-3</v>
      </c>
      <c r="D27" s="328" t="s">
        <v>1196</v>
      </c>
      <c r="E27" s="3187"/>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5414</v>
      </c>
      <c r="D29" s="1204"/>
      <c r="E29" s="1202"/>
      <c r="F29" s="1205"/>
      <c r="G29" s="1530"/>
      <c r="H29" s="339" t="s">
        <v>820</v>
      </c>
      <c r="I29" s="340" t="s">
        <v>1203</v>
      </c>
      <c r="J29" s="341">
        <f ca="1">ROUND(J26/(1+F40)^F41,0)</f>
        <v>0</v>
      </c>
      <c r="K29" s="342" t="s">
        <v>1204</v>
      </c>
      <c r="L29" s="343"/>
      <c r="M29" s="344">
        <f ca="1">INDIRECT("'数据-取费表'!k"&amp;$G$1)</f>
        <v>7905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133</v>
      </c>
      <c r="D30" s="1199" t="s">
        <v>1149</v>
      </c>
      <c r="E30" s="3194"/>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41</v>
      </c>
      <c r="D31" s="3192" t="s">
        <v>1154</v>
      </c>
      <c r="E31" s="3193"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IF(项目基本情况!B11="自然人","——",ROUND(C6*F32/(1+'数据-取费表'!C42),2))</f>
        <v>12.48</v>
      </c>
      <c r="D32" s="3193"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26.74</v>
      </c>
      <c r="D33" s="1504" t="s">
        <v>3210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2.13</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1772.05</v>
      </c>
      <c r="G35" s="1518"/>
      <c r="H35" s="2875"/>
      <c r="I35" s="1532"/>
      <c r="J35" s="1533"/>
      <c r="K35" s="2879"/>
      <c r="L35" s="2878"/>
      <c r="M35" s="2878"/>
    </row>
    <row r="36" spans="1:18" ht="18" customHeight="1">
      <c r="A36" s="1214" t="s">
        <v>826</v>
      </c>
      <c r="B36" s="307" t="s">
        <v>1173</v>
      </c>
      <c r="C36" s="24">
        <f ca="1">ROUND(C29*F36,1)</f>
        <v>81.2</v>
      </c>
      <c r="D36" s="3193" t="s">
        <v>1206</v>
      </c>
      <c r="E36" s="307" t="s">
        <v>1146</v>
      </c>
      <c r="F36" s="333">
        <f ca="1">INDIRECT("'数据-取费表'!Ak"&amp;$G$1)</f>
        <v>1.4999999999999999E-2</v>
      </c>
      <c r="G36" s="1518"/>
      <c r="H36" s="2878"/>
      <c r="I36" s="1532"/>
      <c r="J36" s="1533"/>
      <c r="K36" s="2719"/>
      <c r="L36" s="2878"/>
      <c r="M36" s="2878"/>
    </row>
    <row r="37" spans="1:18" ht="18" customHeight="1">
      <c r="A37" s="1093" t="s">
        <v>862</v>
      </c>
      <c r="B37" s="307" t="s">
        <v>1177</v>
      </c>
      <c r="C37" s="24">
        <f ca="1">ROUND(C13*F37,1)</f>
        <v>8.1</v>
      </c>
      <c r="D37" s="3193" t="s">
        <v>1178</v>
      </c>
      <c r="E37" s="307" t="s">
        <v>1146</v>
      </c>
      <c r="F37" s="335">
        <f ca="1">INDIRECT("'数据-取费表'!Al"&amp;$G$1)</f>
        <v>1.5E-3</v>
      </c>
      <c r="G37" s="1518"/>
      <c r="H37" s="2878"/>
      <c r="I37" s="1532"/>
      <c r="J37" s="1533"/>
      <c r="K37" s="2719"/>
      <c r="L37" s="2878"/>
      <c r="M37" s="2878"/>
    </row>
    <row r="38" spans="1:18" ht="18" customHeight="1" thickBot="1">
      <c r="A38" s="1201" t="s">
        <v>1116</v>
      </c>
      <c r="B38" s="1202" t="s">
        <v>1163</v>
      </c>
      <c r="C38" s="1203">
        <f ca="1">ROUND(C5*F38,1)</f>
        <v>2.2999999999999998</v>
      </c>
      <c r="D38" s="1204" t="s">
        <v>1183</v>
      </c>
      <c r="E38" s="1202" t="s">
        <v>1146</v>
      </c>
      <c r="F38" s="1198">
        <f ca="1">INDIRECT("'数据-取费表'!Am"&amp;$G$1)</f>
        <v>0.01</v>
      </c>
      <c r="G38" s="1518"/>
      <c r="H38" s="2878"/>
      <c r="I38" s="1532"/>
      <c r="J38" s="1533"/>
      <c r="K38" s="2882"/>
      <c r="L38" s="2878"/>
      <c r="M38" s="2878"/>
    </row>
    <row r="39" spans="1:18" ht="24.6" customHeight="1" thickTop="1">
      <c r="A39" s="1191" t="s">
        <v>818</v>
      </c>
      <c r="B39" s="1206" t="s">
        <v>1187</v>
      </c>
      <c r="C39" s="315">
        <f ca="1">C5-C30</f>
        <v>101</v>
      </c>
      <c r="D39" s="1207" t="s">
        <v>1188</v>
      </c>
      <c r="E39" s="1208"/>
      <c r="F39" s="1209"/>
      <c r="G39" s="1518"/>
      <c r="H39" s="2878"/>
      <c r="I39" s="1532"/>
      <c r="J39" s="1533"/>
      <c r="K39" s="2882"/>
      <c r="L39" s="2878"/>
      <c r="M39" s="2878"/>
    </row>
    <row r="40" spans="1:18" ht="18" customHeight="1">
      <c r="A40" s="304" t="s">
        <v>819</v>
      </c>
      <c r="B40" s="305" t="s">
        <v>1209</v>
      </c>
      <c r="C40" s="306">
        <f ca="1">ROUND(C39*(1-((1+F42)/(1+F40))^F41)/(F40-F42),0)</f>
        <v>2167</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35.770000000000003</v>
      </c>
      <c r="G41" s="1518"/>
      <c r="H41" s="1305"/>
      <c r="I41" s="1532"/>
      <c r="J41" s="1533"/>
      <c r="K41" s="2719"/>
      <c r="L41" s="1305"/>
      <c r="M41" s="1305"/>
    </row>
    <row r="42" spans="1:18" ht="18" customHeight="1">
      <c r="A42" s="313"/>
      <c r="B42" s="314"/>
      <c r="C42" s="315"/>
      <c r="D42" s="332"/>
      <c r="E42" s="307" t="s">
        <v>1201</v>
      </c>
      <c r="F42" s="317">
        <f ca="1">INDIRECT("'数据-取费表'!v"&amp;$G$1)</f>
        <v>2.5000000000000001E-2</v>
      </c>
      <c r="G42" s="1518"/>
      <c r="H42" s="1305"/>
      <c r="I42" s="1532"/>
      <c r="J42" s="1533"/>
      <c r="K42" s="2719"/>
      <c r="L42" s="1305"/>
      <c r="M42" s="1305"/>
    </row>
    <row r="43" spans="1:18" ht="18" customHeight="1" thickBot="1">
      <c r="A43" s="339" t="s">
        <v>820</v>
      </c>
      <c r="B43" s="340" t="s">
        <v>1211</v>
      </c>
      <c r="C43" s="341">
        <f ca="1">ROUND(C40*10000/F43,0)</f>
        <v>2741</v>
      </c>
      <c r="D43" s="342" t="s">
        <v>1212</v>
      </c>
      <c r="E43" s="343" t="s">
        <v>1213</v>
      </c>
      <c r="F43" s="344">
        <f ca="1">INDIRECT("'数据-取费表'!k"&amp;$G$1)</f>
        <v>7905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-10632</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3207</v>
      </c>
      <c r="K47" s="1550" t="s">
        <v>1251</v>
      </c>
      <c r="L47" s="1551">
        <f ca="1">INDIRECT("'数据-取费表'!d"&amp;$G$1)</f>
        <v>50</v>
      </c>
      <c r="M47" s="1514" t="str">
        <f>IF(ISNUMBER(FIND("住宅",C1)),"住宅","非住宅")</f>
        <v>非住宅</v>
      </c>
      <c r="O47" s="1552" t="s">
        <v>827</v>
      </c>
      <c r="P47" s="1553" t="s">
        <v>1252</v>
      </c>
      <c r="Q47" s="1554">
        <f ca="1">C40+J29</f>
        <v>2167</v>
      </c>
      <c r="R47" s="1554" t="s">
        <v>1253</v>
      </c>
    </row>
    <row r="48" spans="1:18" s="1518" customFormat="1" ht="28.5" thickBot="1">
      <c r="A48" s="1222" t="s">
        <v>863</v>
      </c>
      <c r="B48" s="305" t="s">
        <v>1125</v>
      </c>
      <c r="C48" s="3195">
        <f ca="1">C49+C53+C55</f>
        <v>0</v>
      </c>
      <c r="D48" s="1224"/>
      <c r="E48" s="1225"/>
      <c r="F48" s="1073"/>
      <c r="G48" s="730"/>
      <c r="H48" s="731"/>
      <c r="I48" s="1555" t="s">
        <v>1254</v>
      </c>
      <c r="J48" s="1556" t="s">
        <v>3208</v>
      </c>
      <c r="K48" s="1557" t="s">
        <v>1255</v>
      </c>
      <c r="L48" s="1558">
        <f ca="1">INDIRECT("'数据-取费表'!f"&amp;$G$1)</f>
        <v>36.630000000000003</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2604</v>
      </c>
      <c r="E49" s="1506" t="s">
        <v>1215</v>
      </c>
      <c r="F49" s="1171"/>
      <c r="G49" s="1559"/>
      <c r="H49" s="731"/>
      <c r="I49" s="1555" t="s">
        <v>1258</v>
      </c>
      <c r="J49" s="1560">
        <v>2023</v>
      </c>
      <c r="K49" s="1557" t="s">
        <v>1259</v>
      </c>
      <c r="L49" s="1561"/>
      <c r="O49" s="1562" t="s">
        <v>829</v>
      </c>
      <c r="P49" s="1553" t="s">
        <v>1260</v>
      </c>
      <c r="Q49" s="1554">
        <f ca="1">C29</f>
        <v>5414</v>
      </c>
      <c r="R49" s="1554" t="s">
        <v>1253</v>
      </c>
    </row>
    <row r="50" spans="1:18" s="1518" customFormat="1" ht="13.5" thickBot="1">
      <c r="A50" s="1087"/>
      <c r="B50" s="1090"/>
      <c r="C50" s="1230"/>
      <c r="D50" s="1064"/>
      <c r="E50" s="1167" t="s">
        <v>1130</v>
      </c>
      <c r="F50" s="1168">
        <f ca="1">F7</f>
        <v>7905</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61</v>
      </c>
      <c r="K51" s="1568" t="s">
        <v>1265</v>
      </c>
      <c r="L51" s="1569">
        <f ca="1">ROUND(-PV(INDIRECT("'数据-取费表'!h"&amp;$G$1),J51,(C39-C13*C76),0),0)</f>
        <v>-6304</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35.770000000000003</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35.770000000000003</v>
      </c>
      <c r="K53" s="3443" t="s">
        <v>1272</v>
      </c>
      <c r="L53" s="3444"/>
      <c r="O53" s="1552" t="s">
        <v>833</v>
      </c>
      <c r="P53" s="1553" t="s">
        <v>1273</v>
      </c>
      <c r="Q53" s="1554">
        <f ca="1">Q47+Q48</f>
        <v>2167</v>
      </c>
      <c r="R53" s="1554" t="s">
        <v>834</v>
      </c>
    </row>
    <row r="54" spans="1:18" s="1518" customFormat="1" ht="13.5" thickBot="1">
      <c r="A54" s="1267"/>
      <c r="B54" s="1501" t="s">
        <v>1112</v>
      </c>
      <c r="C54" s="1070"/>
      <c r="D54" s="1500"/>
      <c r="E54" s="3190"/>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190"/>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5414</v>
      </c>
      <c r="D56" s="1581"/>
      <c r="E56" s="1582"/>
      <c r="F56" s="1574"/>
      <c r="I56" s="1583" t="s">
        <v>1278</v>
      </c>
      <c r="J56" s="1584" t="s">
        <v>3179</v>
      </c>
      <c r="K56" s="1555" t="s">
        <v>1279</v>
      </c>
      <c r="L56" s="1558" t="str">
        <f ca="1">IF(L48&lt;J51,"——",L48-J53)</f>
        <v>——</v>
      </c>
      <c r="O56" s="1552" t="s">
        <v>827</v>
      </c>
      <c r="P56" s="1553" t="s">
        <v>1252</v>
      </c>
      <c r="Q56" s="1554">
        <f ca="1">C40+J29</f>
        <v>2167</v>
      </c>
      <c r="R56" s="1554" t="s">
        <v>1253</v>
      </c>
    </row>
    <row r="57" spans="1:18" s="1518" customFormat="1" ht="24.75" thickBot="1">
      <c r="A57" s="1585"/>
      <c r="B57" s="1061" t="s">
        <v>1202</v>
      </c>
      <c r="C57" s="243">
        <f ca="1">C29</f>
        <v>5414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546</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457</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1161</v>
      </c>
      <c r="C61" s="24">
        <f ca="1">IF(项目基本情况!B11="自然人","——",IF(D61="按租金收入计税",ROUND(C49*F61/(1+'数据-取费表'!C42),2),IF(D61="按房产原值计税",ROUND(C57*F61*0.7,2),INDIRECT("'数据-取费表'!Aj"&amp;$G$1))))</f>
        <v>454.78</v>
      </c>
      <c r="D61" s="1504" t="s">
        <v>1162</v>
      </c>
      <c r="E61" s="1061" t="s">
        <v>1146</v>
      </c>
      <c r="F61" s="327">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1165</v>
      </c>
      <c r="C62" s="25">
        <f ca="1">IF(项目基本情况!B11="自然人","——",ROUND(F62*F63/10000,2))</f>
        <v>2.13</v>
      </c>
      <c r="D62" s="1076" t="s">
        <v>1166</v>
      </c>
      <c r="E62" s="1061" t="s">
        <v>1167</v>
      </c>
      <c r="F62" s="330">
        <f t="shared" si="0"/>
        <v>12</v>
      </c>
      <c r="I62" s="1596" t="s">
        <v>1294</v>
      </c>
      <c r="J62" s="1597" t="s">
        <v>1295</v>
      </c>
      <c r="K62" s="1597" t="s">
        <v>1296</v>
      </c>
      <c r="L62" s="1597" t="s">
        <v>1297</v>
      </c>
      <c r="M62" s="1598" t="s">
        <v>1298</v>
      </c>
      <c r="O62" s="1552" t="s">
        <v>833</v>
      </c>
      <c r="P62" s="1553" t="s">
        <v>1273</v>
      </c>
      <c r="Q62" s="1554">
        <f ca="1">Q56+Q57</f>
        <v>2167</v>
      </c>
      <c r="R62" s="1554" t="s">
        <v>834</v>
      </c>
    </row>
    <row r="63" spans="1:18" s="1518" customFormat="1" ht="13.5" thickBot="1">
      <c r="A63" s="331"/>
      <c r="B63" s="1067"/>
      <c r="C63" s="29"/>
      <c r="D63" s="1077"/>
      <c r="E63" s="1061" t="s">
        <v>1171</v>
      </c>
      <c r="F63" s="308">
        <f t="shared" ca="1" si="0"/>
        <v>1772.05</v>
      </c>
      <c r="I63" s="1596" t="s">
        <v>1300</v>
      </c>
      <c r="J63" s="1597">
        <v>70</v>
      </c>
      <c r="K63" s="1597">
        <v>50</v>
      </c>
      <c r="L63" s="1597">
        <v>80</v>
      </c>
      <c r="M63" s="1599">
        <v>0.02</v>
      </c>
      <c r="O63" s="1537" t="s">
        <v>1301</v>
      </c>
      <c r="P63" s="1515"/>
      <c r="Q63" s="1515"/>
      <c r="R63" s="1515"/>
    </row>
    <row r="64" spans="1:18" s="1518" customFormat="1" ht="13.5" thickBot="1">
      <c r="A64" s="1093" t="s">
        <v>826</v>
      </c>
      <c r="B64" s="1061" t="s">
        <v>1173</v>
      </c>
      <c r="C64" s="24">
        <f ca="1">ROUND(C57*F64,1)</f>
        <v>81.2</v>
      </c>
      <c r="D64" s="1075" t="s">
        <v>1206</v>
      </c>
      <c r="E64" s="1061" t="s">
        <v>1146</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8.1</v>
      </c>
      <c r="D65" s="1075" t="s">
        <v>1178</v>
      </c>
      <c r="E65" s="1061" t="s">
        <v>1146</v>
      </c>
      <c r="F65" s="335">
        <f t="shared" ca="1" si="0"/>
        <v>1.5E-3</v>
      </c>
      <c r="I65" s="1596" t="s">
        <v>1303</v>
      </c>
      <c r="J65" s="1597">
        <v>40</v>
      </c>
      <c r="K65" s="1597">
        <v>30</v>
      </c>
      <c r="L65" s="1597">
        <v>50</v>
      </c>
      <c r="M65" s="1599">
        <v>0.02</v>
      </c>
      <c r="O65" s="1552" t="s">
        <v>827</v>
      </c>
      <c r="P65" s="1553" t="s">
        <v>1252</v>
      </c>
      <c r="Q65" s="1554">
        <f ca="1">C40+J29</f>
        <v>2167</v>
      </c>
      <c r="R65" s="1554" t="s">
        <v>1253</v>
      </c>
    </row>
    <row r="66" spans="1:18" s="1518" customFormat="1" ht="16.5" thickBot="1">
      <c r="A66" s="1093" t="s">
        <v>1228</v>
      </c>
      <c r="B66" s="1061" t="s">
        <v>1163</v>
      </c>
      <c r="C66" s="24">
        <f ca="1">ROUND(C48*F66,1)</f>
        <v>0</v>
      </c>
      <c r="D66" s="1075" t="s">
        <v>1183</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-546</v>
      </c>
      <c r="D67" s="1074" t="s">
        <v>1188</v>
      </c>
      <c r="E67" s="1079"/>
      <c r="F67" s="1080"/>
      <c r="O67" s="1562" t="s">
        <v>829</v>
      </c>
      <c r="P67" s="1553" t="s">
        <v>1286</v>
      </c>
      <c r="Q67" s="1600">
        <f ca="1">L51</f>
        <v>-6304</v>
      </c>
      <c r="R67" s="1554" t="s">
        <v>1306</v>
      </c>
    </row>
    <row r="68" spans="1:18" s="1518" customFormat="1" ht="16.5" thickBot="1">
      <c r="A68" s="1058" t="s">
        <v>819</v>
      </c>
      <c r="B68" s="1059" t="s">
        <v>1209</v>
      </c>
      <c r="C68" s="306">
        <f ca="1">ROUND(C67*(1-((1+F70)/(1+F68))^F69)/(F68-F70),0)</f>
        <v>-8465</v>
      </c>
      <c r="D68" s="1076" t="s">
        <v>1193</v>
      </c>
      <c r="E68" s="1061" t="s">
        <v>1194</v>
      </c>
      <c r="F68" s="317">
        <f ca="1">F40</f>
        <v>5.5E-2</v>
      </c>
      <c r="O68" s="1562" t="s">
        <v>830</v>
      </c>
      <c r="P68" s="1601" t="s">
        <v>1307</v>
      </c>
      <c r="Q68" s="1554">
        <f ca="1">ROUND(Q69-Q70*Q71,0)</f>
        <v>-332</v>
      </c>
      <c r="R68" s="1554" t="s">
        <v>838</v>
      </c>
    </row>
    <row r="69" spans="1:18" s="1518" customFormat="1" ht="13.5" thickBot="1">
      <c r="A69" s="1062"/>
      <c r="B69" s="1063"/>
      <c r="C69" s="311"/>
      <c r="D69" s="1081" t="s">
        <v>1197</v>
      </c>
      <c r="E69" s="1061" t="s">
        <v>1198</v>
      </c>
      <c r="F69" s="338">
        <f ca="1">F41</f>
        <v>35.770000000000003</v>
      </c>
      <c r="O69" s="1562" t="s">
        <v>835</v>
      </c>
      <c r="P69" s="1601" t="s">
        <v>1308</v>
      </c>
      <c r="Q69" s="1554">
        <f ca="1">C39</f>
        <v>101</v>
      </c>
      <c r="R69" s="1554" t="s">
        <v>1253</v>
      </c>
    </row>
    <row r="70" spans="1:18" s="1518" customFormat="1" ht="13.5" thickBot="1">
      <c r="A70" s="1065"/>
      <c r="B70" s="1066"/>
      <c r="C70" s="315"/>
      <c r="D70" s="1077"/>
      <c r="E70" s="1061" t="s">
        <v>1201</v>
      </c>
      <c r="F70" s="1165"/>
      <c r="O70" s="1562" t="s">
        <v>836</v>
      </c>
      <c r="P70" s="1601" t="s">
        <v>1309</v>
      </c>
      <c r="Q70" s="1554">
        <f ca="1">C13</f>
        <v>5414</v>
      </c>
      <c r="R70" s="1554" t="s">
        <v>1253</v>
      </c>
    </row>
    <row r="71" spans="1:18" s="1518" customFormat="1" ht="13.5" thickBot="1">
      <c r="A71" s="1082" t="s">
        <v>820</v>
      </c>
      <c r="B71" s="1083" t="s">
        <v>1211</v>
      </c>
      <c r="C71" s="341">
        <f ca="1">ROUND(C68*10000/F71,0)</f>
        <v>-10708</v>
      </c>
      <c r="D71" s="1084" t="s">
        <v>1212</v>
      </c>
      <c r="E71" s="1085" t="s">
        <v>1213</v>
      </c>
      <c r="F71" s="344">
        <f ca="1">F43</f>
        <v>7905</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5" t="s">
        <v>1230</v>
      </c>
      <c r="C75" s="346">
        <f ca="1">ROUND(C13*C76,0)</f>
        <v>433</v>
      </c>
      <c r="D75" s="1518"/>
      <c r="E75" s="1518"/>
      <c r="F75" s="1518"/>
      <c r="K75" s="1536"/>
      <c r="L75" s="1518"/>
      <c r="O75" s="1552" t="s">
        <v>833</v>
      </c>
      <c r="P75" s="1553" t="s">
        <v>1273</v>
      </c>
      <c r="Q75" s="1554">
        <f ca="1">Q65+Q66</f>
        <v>2167</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-3.2869999999999999</v>
      </c>
    </row>
    <row r="80" spans="1:18">
      <c r="B80" s="345" t="s">
        <v>1235</v>
      </c>
      <c r="C80" s="279">
        <f ca="1">ROUND(C75/C39,3)</f>
        <v>4.2869999999999999</v>
      </c>
    </row>
    <row r="81" spans="2:3">
      <c r="B81" s="275" t="s">
        <v>1236</v>
      </c>
      <c r="C81" s="243"/>
    </row>
    <row r="82" spans="2:3">
      <c r="B82" s="278" t="s">
        <v>1237</v>
      </c>
      <c r="C82" s="280">
        <f ca="1">1-C83</f>
        <v>-1.4980000000000002</v>
      </c>
    </row>
    <row r="83" spans="2:3">
      <c r="B83" s="278" t="s">
        <v>1238</v>
      </c>
      <c r="C83" s="279">
        <f ca="1">ROUND(C13/C40,3)</f>
        <v>2.4980000000000002</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-0.8600000000000001</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45" t="s">
        <v>1127</v>
      </c>
      <c r="C6" s="1186">
        <f ca="1">ROUND(F6*F8*F7*(1-F9),0)</f>
        <v>0</v>
      </c>
      <c r="D6" s="159" t="s">
        <v>2602</v>
      </c>
      <c r="E6" s="307" t="s">
        <v>1129</v>
      </c>
      <c r="F6" s="308">
        <f ca="1">INDIRECT("'数据-取费表'!u"&amp;$G$1)</f>
        <v>0</v>
      </c>
      <c r="G6" s="1518"/>
      <c r="H6" s="1181" t="s">
        <v>822</v>
      </c>
      <c r="I6" s="3445" t="s">
        <v>1127</v>
      </c>
      <c r="J6" s="306">
        <f ca="1">ROUND(M6*M8*M7*(1-M9),0)</f>
        <v>0</v>
      </c>
      <c r="K6" s="1510" t="s">
        <v>2603</v>
      </c>
      <c r="L6" s="307" t="s">
        <v>1129</v>
      </c>
      <c r="M6" s="308">
        <f ca="1">INDIRECT("'数据-取费表'!z"&amp;$G$1)</f>
        <v>0</v>
      </c>
    </row>
    <row r="7" spans="1:37" ht="18" customHeight="1">
      <c r="A7" s="1185"/>
      <c r="B7" s="3446"/>
      <c r="C7" s="1187"/>
      <c r="D7" s="312"/>
      <c r="E7" s="1188" t="s">
        <v>1130</v>
      </c>
      <c r="F7" s="308">
        <f ca="1">IF(INDIRECT("'数据-取费表'!ah"&amp;$G$1)="",INDIRECT("'数据-取费表'!k"&amp;$G$1),INDIRECT("'数据-取费表'!ah"&amp;$G$1))</f>
        <v>0</v>
      </c>
      <c r="G7" s="1518"/>
      <c r="H7" s="309"/>
      <c r="I7" s="3446"/>
      <c r="J7" s="311"/>
      <c r="K7" s="312"/>
      <c r="L7" s="307" t="s">
        <v>1130</v>
      </c>
      <c r="M7" s="308">
        <f ca="1">F7</f>
        <v>0</v>
      </c>
    </row>
    <row r="8" spans="1:37" ht="18" customHeight="1">
      <c r="A8" s="309"/>
      <c r="B8" s="3446"/>
      <c r="C8" s="311"/>
      <c r="D8" s="312"/>
      <c r="E8" s="307" t="s">
        <v>1131</v>
      </c>
      <c r="F8" s="308">
        <f ca="1">INDIRECT("'数据-取费表'!ai"&amp;$G$1)</f>
        <v>0</v>
      </c>
      <c r="G8" s="1518"/>
      <c r="H8" s="309"/>
      <c r="I8" s="3446"/>
      <c r="J8" s="311"/>
      <c r="K8" s="312"/>
      <c r="L8" s="307" t="s">
        <v>1131</v>
      </c>
      <c r="M8" s="308">
        <f ca="1">INDIRECT("'数据-取费表'!ai"&amp;$G$1)</f>
        <v>0</v>
      </c>
    </row>
    <row r="9" spans="1:37" ht="18" customHeight="1">
      <c r="A9" s="309"/>
      <c r="B9" s="3447"/>
      <c r="C9" s="311"/>
      <c r="D9" s="312"/>
      <c r="E9" s="307" t="s">
        <v>1132</v>
      </c>
      <c r="F9" s="317">
        <f ca="1">INDIRECT("'数据-取费表'!w"&amp;$G$1)</f>
        <v>0</v>
      </c>
      <c r="G9" s="1518"/>
      <c r="H9" s="309"/>
      <c r="I9" s="3447"/>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c r="G10" s="1518"/>
      <c r="H10" s="1181" t="s">
        <v>826</v>
      </c>
      <c r="I10" s="1499" t="s">
        <v>1133</v>
      </c>
      <c r="J10" s="306">
        <f ca="1">ROUND(IF(M10="押一",J6/12*M11,IF(M10="押二",J6/12*2*M11,IF(M10="押三",J6/12*3*M11,J11*M11))),0)</f>
        <v>0</v>
      </c>
      <c r="K10" s="1511" t="s">
        <v>2614</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-0.8600000000000001</v>
      </c>
      <c r="R52" s="1554" t="s">
        <v>1270</v>
      </c>
    </row>
    <row r="53" spans="1:18" s="1518" customFormat="1" ht="30.75" customHeight="1" thickBot="1">
      <c r="A53" s="1223" t="s">
        <v>865</v>
      </c>
      <c r="B53" s="328" t="s">
        <v>1133</v>
      </c>
      <c r="C53" s="321">
        <f ca="1">ROUND(IF(F53="押一",C49/12*F11,IF(F53="押二",C49/12*2*F11,IF(F53="押三",C49/12*3*F11,C54*F11))),0)</f>
        <v>0</v>
      </c>
      <c r="D53" s="1500" t="s">
        <v>2615</v>
      </c>
      <c r="E53" s="318" t="s">
        <v>1134</v>
      </c>
      <c r="F53" s="1228"/>
      <c r="I53" s="1573" t="s">
        <v>1271</v>
      </c>
      <c r="J53" s="2336">
        <f ca="1">IF(M47="住宅",IF(D1="——",MAX(J51,L48),MAX(J51,L48-'数据-取费表'!B24)),IF(D1="——",MIN(J51,L48),MIN(J51,L48-'数据-取费表'!B24)))</f>
        <v>-0.8600000000000001</v>
      </c>
      <c r="K53" s="3443" t="s">
        <v>1272</v>
      </c>
      <c r="L53" s="3444"/>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2936</v>
      </c>
      <c r="B1" s="3012"/>
      <c r="C1" s="3024"/>
      <c r="D1" s="3024"/>
      <c r="E1" s="3013"/>
      <c r="F1" s="3014"/>
      <c r="G1" s="3015"/>
      <c r="J1" s="3018" t="s">
        <v>2815</v>
      </c>
      <c r="K1" s="3019"/>
      <c r="L1" s="3019"/>
      <c r="M1" s="3019"/>
      <c r="N1" s="3019"/>
      <c r="O1" s="3019"/>
      <c r="P1" s="3019"/>
      <c r="Q1" s="3019"/>
      <c r="R1" s="3020"/>
      <c r="S1" s="3021"/>
      <c r="T1" s="3021"/>
      <c r="U1" s="3021"/>
    </row>
    <row r="2" spans="1:22" s="3033" customFormat="1" ht="13.15" customHeight="1">
      <c r="A2" s="1519" t="s">
        <v>2816</v>
      </c>
      <c r="B2" s="3023" t="e">
        <f>C40</f>
        <v>#DIV/0!</v>
      </c>
      <c r="C2" s="3024" t="s">
        <v>2817</v>
      </c>
      <c r="D2" s="3024"/>
      <c r="E2" s="3025"/>
      <c r="F2" s="3026"/>
      <c r="G2" s="3027"/>
      <c r="H2" s="3028"/>
      <c r="I2" s="3029"/>
      <c r="J2" s="3448" t="s">
        <v>2818</v>
      </c>
      <c r="K2" s="3449"/>
      <c r="L2" s="3030" t="s">
        <v>2819</v>
      </c>
      <c r="M2" s="3030" t="s">
        <v>2820</v>
      </c>
      <c r="N2" s="3030" t="s">
        <v>2821</v>
      </c>
      <c r="O2" s="3030" t="s">
        <v>2822</v>
      </c>
      <c r="P2" s="3030" t="s">
        <v>2823</v>
      </c>
      <c r="Q2" s="3031" t="s">
        <v>2824</v>
      </c>
      <c r="R2" s="3032" t="s">
        <v>2825</v>
      </c>
      <c r="S2" s="3021"/>
      <c r="T2" s="3021"/>
      <c r="U2" s="3021"/>
      <c r="V2" s="3029"/>
    </row>
    <row r="3" spans="1:22" s="3033" customFormat="1" ht="13.15" customHeight="1">
      <c r="A3" s="3034" t="s">
        <v>2826</v>
      </c>
      <c r="B3" s="3035" t="e">
        <f>ROUND(B2*10000/B4,0)</f>
        <v>#DIV/0!</v>
      </c>
      <c r="C3" s="3024" t="s">
        <v>2827</v>
      </c>
      <c r="D3" s="3024"/>
      <c r="E3" s="3025"/>
      <c r="F3" s="3026"/>
      <c r="G3" s="3027"/>
      <c r="H3" s="3028"/>
      <c r="I3" s="3029"/>
      <c r="J3" s="3450" t="s">
        <v>2828</v>
      </c>
      <c r="K3" s="3451"/>
      <c r="L3" s="3036"/>
      <c r="M3" s="3036"/>
      <c r="N3" s="3036"/>
      <c r="O3" s="3036"/>
      <c r="P3" s="3036"/>
      <c r="Q3" s="3037"/>
      <c r="R3" s="3038">
        <f>SUM(L3:Q3)</f>
        <v>0</v>
      </c>
      <c r="S3" s="3021"/>
      <c r="T3" s="3021"/>
      <c r="U3" s="3021"/>
      <c r="V3" s="3029"/>
    </row>
    <row r="4" spans="1:22" s="3033" customFormat="1" ht="13.15" customHeight="1">
      <c r="A4" s="3039" t="s">
        <v>2829</v>
      </c>
      <c r="B4" s="3040"/>
      <c r="C4" s="3024"/>
      <c r="D4" s="3024"/>
      <c r="E4" s="3025"/>
      <c r="F4" s="3026"/>
      <c r="G4" s="3027"/>
      <c r="H4" s="3028"/>
      <c r="I4" s="3029"/>
      <c r="J4" s="3450" t="s">
        <v>2830</v>
      </c>
      <c r="K4" s="3451"/>
      <c r="L4" s="3041"/>
      <c r="M4" s="3041"/>
      <c r="N4" s="3041"/>
      <c r="O4" s="3041"/>
      <c r="P4" s="3041"/>
      <c r="Q4" s="3042"/>
      <c r="R4" s="3043">
        <f>SUM(L4:Q4)</f>
        <v>0</v>
      </c>
      <c r="S4" s="3021"/>
      <c r="T4" s="3021"/>
      <c r="U4" s="3021"/>
      <c r="V4" s="3029"/>
    </row>
    <row r="5" spans="1:22" s="3033" customFormat="1" ht="13.15" customHeight="1" thickBot="1">
      <c r="A5" s="3044" t="s">
        <v>2831</v>
      </c>
      <c r="B5" s="3045"/>
      <c r="C5" s="3024"/>
      <c r="D5" s="3046"/>
      <c r="E5" s="3026"/>
      <c r="F5" s="3026"/>
      <c r="G5" s="3027"/>
      <c r="H5" s="3028"/>
      <c r="I5" s="3029"/>
      <c r="J5" s="3047" t="s">
        <v>2832</v>
      </c>
      <c r="K5" s="3048"/>
      <c r="L5" s="3048"/>
      <c r="M5" s="3049"/>
      <c r="N5" s="3049"/>
      <c r="O5" s="3049"/>
      <c r="P5" s="3049"/>
      <c r="Q5" s="3049"/>
      <c r="R5" s="3032">
        <f>SUM(R14,R19,R24,R25,R27,R28)</f>
        <v>0</v>
      </c>
      <c r="S5" s="3021"/>
      <c r="T5" s="3021" t="s">
        <v>2833</v>
      </c>
      <c r="U5" s="3021" t="e">
        <f>ROUND(R5*10000/365/R3,1)</f>
        <v>#DIV/0!</v>
      </c>
      <c r="V5" s="3029"/>
    </row>
    <row r="6" spans="1:22" s="3033" customFormat="1" ht="13.15" customHeight="1" thickBot="1">
      <c r="A6" s="3452" t="s">
        <v>2834</v>
      </c>
      <c r="B6" s="3453"/>
      <c r="C6" s="3454"/>
      <c r="D6" s="3050"/>
      <c r="E6" s="3051"/>
      <c r="F6" s="3052"/>
      <c r="G6" s="3053"/>
      <c r="H6" s="3028"/>
      <c r="I6" s="3029"/>
      <c r="J6" s="3455">
        <v>1</v>
      </c>
      <c r="K6" s="3456" t="s">
        <v>2835</v>
      </c>
      <c r="L6" s="3054" t="s">
        <v>2836</v>
      </c>
      <c r="M6" s="3055" t="s">
        <v>2837</v>
      </c>
      <c r="N6" s="3055" t="s">
        <v>2838</v>
      </c>
      <c r="O6" s="3055" t="s">
        <v>2839</v>
      </c>
      <c r="P6" s="3055" t="s">
        <v>2840</v>
      </c>
      <c r="Q6" s="3055" t="s">
        <v>2841</v>
      </c>
      <c r="R6" s="3038" t="s">
        <v>2842</v>
      </c>
      <c r="S6" s="3021"/>
      <c r="T6" s="3021" t="s">
        <v>2843</v>
      </c>
      <c r="U6" s="3021"/>
      <c r="V6" s="3029"/>
    </row>
    <row r="7" spans="1:22" s="3033" customFormat="1" ht="13.15" customHeight="1">
      <c r="A7" s="3056" t="s">
        <v>2844</v>
      </c>
      <c r="B7" s="3057"/>
      <c r="C7" s="3058"/>
      <c r="D7" s="3059">
        <f>SUM(D9,D10,D11,D17,0)</f>
        <v>0</v>
      </c>
      <c r="E7" s="3060" t="e">
        <f>E9+E10+E11+E17</f>
        <v>#DIV/0!</v>
      </c>
      <c r="F7" s="3061"/>
      <c r="G7" s="3062"/>
      <c r="H7" s="3028"/>
      <c r="I7" s="3029"/>
      <c r="J7" s="3455"/>
      <c r="K7" s="3457"/>
      <c r="L7" s="3063" t="s">
        <v>2845</v>
      </c>
      <c r="M7" s="3064"/>
      <c r="N7" s="3040"/>
      <c r="O7" s="3065"/>
      <c r="P7" s="3065"/>
      <c r="Q7" s="3066">
        <v>365</v>
      </c>
      <c r="R7" s="3067">
        <f>ROUND(M7*N7*O7*P7*Q7/10000,0)</f>
        <v>0</v>
      </c>
      <c r="S7" s="3021"/>
      <c r="T7" s="3021" t="s">
        <v>2846</v>
      </c>
      <c r="U7" s="3021"/>
      <c r="V7" s="3029"/>
    </row>
    <row r="8" spans="1:22" s="3033" customFormat="1" ht="13.15" customHeight="1">
      <c r="A8" s="3068" t="s">
        <v>2847</v>
      </c>
      <c r="B8" s="3459" t="s">
        <v>2848</v>
      </c>
      <c r="C8" s="3460"/>
      <c r="D8" s="3069" t="s">
        <v>2849</v>
      </c>
      <c r="E8" s="3070" t="s">
        <v>2850</v>
      </c>
      <c r="F8" s="3071" t="s">
        <v>2851</v>
      </c>
      <c r="G8" s="3072"/>
      <c r="H8" s="3028"/>
      <c r="I8" s="3029"/>
      <c r="J8" s="3455"/>
      <c r="K8" s="3457"/>
      <c r="L8" s="3063" t="s">
        <v>2852</v>
      </c>
      <c r="M8" s="3064"/>
      <c r="N8" s="3040"/>
      <c r="O8" s="3065"/>
      <c r="P8" s="3065"/>
      <c r="Q8" s="3066">
        <v>365</v>
      </c>
      <c r="R8" s="3067">
        <f t="shared" ref="R8:R13" si="0">ROUND(M8*N8*O8*P8*Q8/10000,0)</f>
        <v>0</v>
      </c>
      <c r="S8" s="3021"/>
      <c r="T8" s="3021" t="s">
        <v>2853</v>
      </c>
      <c r="U8" s="3021"/>
      <c r="V8" s="3029"/>
    </row>
    <row r="9" spans="1:22" s="3033" customFormat="1" ht="13.15" customHeight="1">
      <c r="A9" s="3068">
        <v>1</v>
      </c>
      <c r="B9" s="3459" t="s">
        <v>2854</v>
      </c>
      <c r="C9" s="3460"/>
      <c r="D9" s="3069">
        <f>ROUND(D6*E9,0)</f>
        <v>0</v>
      </c>
      <c r="E9" s="3073"/>
      <c r="F9" s="3074" t="s">
        <v>2855</v>
      </c>
      <c r="G9" s="3053"/>
      <c r="H9" s="3028"/>
      <c r="I9" s="3029"/>
      <c r="J9" s="3455"/>
      <c r="K9" s="3457"/>
      <c r="L9" s="3063" t="s">
        <v>2856</v>
      </c>
      <c r="M9" s="3064"/>
      <c r="N9" s="3040"/>
      <c r="O9" s="3065"/>
      <c r="P9" s="3065"/>
      <c r="Q9" s="3066">
        <v>365</v>
      </c>
      <c r="R9" s="3067">
        <f t="shared" si="0"/>
        <v>0</v>
      </c>
      <c r="S9" s="3021"/>
      <c r="T9" s="3021"/>
      <c r="U9" s="3021"/>
      <c r="V9" s="3029"/>
    </row>
    <row r="10" spans="1:22" s="3033" customFormat="1" ht="13.15" customHeight="1">
      <c r="A10" s="3068">
        <v>2</v>
      </c>
      <c r="B10" s="3459" t="s">
        <v>2857</v>
      </c>
      <c r="C10" s="3460"/>
      <c r="D10" s="3069">
        <f>ROUND(D6*E10,0)</f>
        <v>0</v>
      </c>
      <c r="E10" s="3073"/>
      <c r="F10" s="3074" t="s">
        <v>2858</v>
      </c>
      <c r="G10" s="3053"/>
      <c r="H10" s="3028"/>
      <c r="I10" s="3029"/>
      <c r="J10" s="3455"/>
      <c r="K10" s="3457"/>
      <c r="L10" s="3063" t="s">
        <v>2859</v>
      </c>
      <c r="M10" s="3064"/>
      <c r="N10" s="3040"/>
      <c r="O10" s="3065"/>
      <c r="P10" s="3065"/>
      <c r="Q10" s="3066">
        <v>365</v>
      </c>
      <c r="R10" s="3067">
        <f t="shared" si="0"/>
        <v>0</v>
      </c>
      <c r="S10" s="3021"/>
      <c r="T10" s="3021"/>
      <c r="U10" s="3021"/>
      <c r="V10" s="3029"/>
    </row>
    <row r="11" spans="1:22" s="3033" customFormat="1" ht="13.15" customHeight="1">
      <c r="A11" s="3068">
        <v>3</v>
      </c>
      <c r="B11" s="3459" t="s">
        <v>2860</v>
      </c>
      <c r="C11" s="3460"/>
      <c r="D11" s="3069">
        <f>D12+D14+D15+D16</f>
        <v>0</v>
      </c>
      <c r="E11" s="3075" t="e">
        <f>D11/D6</f>
        <v>#DIV/0!</v>
      </c>
      <c r="F11" s="3071"/>
      <c r="G11" s="3072"/>
      <c r="H11" s="3028"/>
      <c r="I11" s="3029"/>
      <c r="J11" s="3455"/>
      <c r="K11" s="3457"/>
      <c r="L11" s="3063" t="s">
        <v>2861</v>
      </c>
      <c r="M11" s="3064"/>
      <c r="N11" s="3040"/>
      <c r="O11" s="3065"/>
      <c r="P11" s="3065"/>
      <c r="Q11" s="3066">
        <v>365</v>
      </c>
      <c r="R11" s="3067">
        <f t="shared" si="0"/>
        <v>0</v>
      </c>
      <c r="S11" s="3021"/>
      <c r="T11" s="3021"/>
      <c r="U11" s="3021"/>
      <c r="V11" s="3029"/>
    </row>
    <row r="12" spans="1:22" s="3033" customFormat="1" ht="13.15" customHeight="1">
      <c r="A12" s="3076" t="s">
        <v>2862</v>
      </c>
      <c r="B12" s="3461" t="s">
        <v>2863</v>
      </c>
      <c r="C12" s="3462"/>
      <c r="D12" s="3077">
        <f>ROUND(D13*1.2%*(1-30%),0)</f>
        <v>0</v>
      </c>
      <c r="E12" s="3078">
        <v>1.2E-2</v>
      </c>
      <c r="F12" s="3071" t="s">
        <v>2864</v>
      </c>
      <c r="G12" s="3072"/>
      <c r="H12" s="3028"/>
      <c r="I12" s="3029"/>
      <c r="J12" s="3455"/>
      <c r="K12" s="3457"/>
      <c r="L12" s="3063" t="s">
        <v>2865</v>
      </c>
      <c r="M12" s="3064"/>
      <c r="N12" s="3040"/>
      <c r="O12" s="3065"/>
      <c r="P12" s="3065"/>
      <c r="Q12" s="3066">
        <v>365</v>
      </c>
      <c r="R12" s="3067">
        <f t="shared" si="0"/>
        <v>0</v>
      </c>
      <c r="S12" s="3021"/>
      <c r="T12" s="3021"/>
      <c r="U12" s="3021"/>
      <c r="V12" s="3029"/>
    </row>
    <row r="13" spans="1:22" s="3033" customFormat="1" ht="13.15" customHeight="1">
      <c r="A13" s="3076"/>
      <c r="B13" s="3079"/>
      <c r="C13" s="3080" t="s">
        <v>2866</v>
      </c>
      <c r="D13" s="3081"/>
      <c r="E13" s="3082"/>
      <c r="F13" s="3071"/>
      <c r="G13" s="3072"/>
      <c r="H13" s="3028"/>
      <c r="I13" s="3029"/>
      <c r="J13" s="3455"/>
      <c r="K13" s="3457"/>
      <c r="L13" s="3063" t="s">
        <v>2867</v>
      </c>
      <c r="M13" s="3064"/>
      <c r="N13" s="3040"/>
      <c r="O13" s="3065"/>
      <c r="P13" s="3065"/>
      <c r="Q13" s="3066">
        <v>365</v>
      </c>
      <c r="R13" s="3067">
        <f t="shared" si="0"/>
        <v>0</v>
      </c>
      <c r="S13" s="3021"/>
      <c r="T13" s="3021"/>
      <c r="U13" s="3021"/>
      <c r="V13" s="3029"/>
    </row>
    <row r="14" spans="1:22" s="3033" customFormat="1" ht="13.15" customHeight="1">
      <c r="A14" s="3076" t="s">
        <v>2868</v>
      </c>
      <c r="B14" s="3461" t="s">
        <v>2869</v>
      </c>
      <c r="C14" s="3462"/>
      <c r="D14" s="3077">
        <f>ROUND(E14*B5/10000,0)</f>
        <v>0</v>
      </c>
      <c r="E14" s="3066"/>
      <c r="F14" s="3071" t="s">
        <v>2870</v>
      </c>
      <c r="G14" s="3072"/>
      <c r="H14" s="3028"/>
      <c r="I14" s="3029"/>
      <c r="J14" s="3455"/>
      <c r="K14" s="3458"/>
      <c r="L14" s="3083" t="s">
        <v>2871</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2872</v>
      </c>
      <c r="B15" s="3461" t="s">
        <v>2873</v>
      </c>
      <c r="C15" s="3462"/>
      <c r="D15" s="3077">
        <f>ROUND(D6*E15,0)</f>
        <v>0</v>
      </c>
      <c r="E15" s="3078">
        <v>5.5E-2</v>
      </c>
      <c r="F15" s="3071" t="s">
        <v>2874</v>
      </c>
      <c r="G15" s="3053"/>
      <c r="H15" s="3028"/>
      <c r="I15" s="3029"/>
      <c r="J15" s="3455">
        <v>2</v>
      </c>
      <c r="K15" s="3456" t="s">
        <v>2875</v>
      </c>
      <c r="L15" s="3063" t="s">
        <v>2876</v>
      </c>
      <c r="M15" s="3064" t="s">
        <v>2877</v>
      </c>
      <c r="N15" s="3064" t="s">
        <v>2878</v>
      </c>
      <c r="O15" s="3065" t="s">
        <v>2879</v>
      </c>
      <c r="P15" s="3065" t="s">
        <v>2841</v>
      </c>
      <c r="Q15" s="3040" t="s">
        <v>2880</v>
      </c>
      <c r="R15" s="3087" t="s">
        <v>2842</v>
      </c>
      <c r="S15" s="3021"/>
      <c r="T15" s="3021"/>
      <c r="U15" s="3021"/>
      <c r="V15" s="3029"/>
    </row>
    <row r="16" spans="1:22" s="3033" customFormat="1" ht="13.15" customHeight="1">
      <c r="A16" s="3076" t="s">
        <v>2881</v>
      </c>
      <c r="B16" s="3461" t="s">
        <v>2882</v>
      </c>
      <c r="C16" s="3462"/>
      <c r="D16" s="3088">
        <f>D6*E16</f>
        <v>0</v>
      </c>
      <c r="E16" s="3089"/>
      <c r="F16" s="3074" t="s">
        <v>2883</v>
      </c>
      <c r="G16" s="3053"/>
      <c r="H16" s="3028"/>
      <c r="I16" s="3029"/>
      <c r="J16" s="3455"/>
      <c r="K16" s="3457"/>
      <c r="L16" s="3063" t="s">
        <v>2884</v>
      </c>
      <c r="M16" s="3064"/>
      <c r="N16" s="3064"/>
      <c r="O16" s="3065"/>
      <c r="P16" s="3066">
        <v>365</v>
      </c>
      <c r="Q16" s="3040"/>
      <c r="R16" s="3087">
        <f>ROUND(M16*N16*O16*P16/10000,0)</f>
        <v>0</v>
      </c>
      <c r="S16" s="3021"/>
      <c r="T16" s="3021"/>
      <c r="U16" s="3021"/>
      <c r="V16" s="3029"/>
    </row>
    <row r="17" spans="1:22" s="3033" customFormat="1" ht="13.15" customHeight="1" thickBot="1">
      <c r="A17" s="3090">
        <v>4</v>
      </c>
      <c r="B17" s="3463" t="s">
        <v>2885</v>
      </c>
      <c r="C17" s="3464"/>
      <c r="D17" s="3091">
        <f>ROUND(D6*E17,0)</f>
        <v>0</v>
      </c>
      <c r="E17" s="3092"/>
      <c r="F17" s="3093" t="s">
        <v>2886</v>
      </c>
      <c r="G17" s="3053"/>
      <c r="H17" s="3028"/>
      <c r="I17" s="3029"/>
      <c r="J17" s="3455"/>
      <c r="K17" s="3457"/>
      <c r="L17" s="3063" t="s">
        <v>2887</v>
      </c>
      <c r="M17" s="3064"/>
      <c r="N17" s="3064"/>
      <c r="O17" s="3065"/>
      <c r="P17" s="3066">
        <v>365</v>
      </c>
      <c r="Q17" s="3040"/>
      <c r="R17" s="3087">
        <f>ROUND(M17*N17*O17*P17/10000,0)</f>
        <v>0</v>
      </c>
      <c r="S17" s="3021"/>
      <c r="T17" s="3021"/>
      <c r="U17" s="3021"/>
      <c r="V17" s="3029"/>
    </row>
    <row r="18" spans="1:22" s="3033" customFormat="1" ht="13.15" customHeight="1" thickBot="1">
      <c r="A18" s="3056" t="s">
        <v>2888</v>
      </c>
      <c r="B18" s="3057"/>
      <c r="C18" s="3057"/>
      <c r="D18" s="3094">
        <f>ROUND(D6*E18,0)</f>
        <v>0</v>
      </c>
      <c r="E18" s="3095"/>
      <c r="F18" s="3096" t="s">
        <v>2889</v>
      </c>
      <c r="G18" s="3053"/>
      <c r="H18" s="3028"/>
      <c r="I18" s="3029"/>
      <c r="J18" s="3455"/>
      <c r="K18" s="3457"/>
      <c r="L18" s="3063" t="s">
        <v>2890</v>
      </c>
      <c r="M18" s="3064"/>
      <c r="N18" s="3064"/>
      <c r="O18" s="3065"/>
      <c r="P18" s="3066">
        <v>365</v>
      </c>
      <c r="Q18" s="3040"/>
      <c r="R18" s="3087">
        <f>ROUND(M18*N18*O18*P18/10000,0)</f>
        <v>0</v>
      </c>
      <c r="S18" s="3021"/>
      <c r="T18" s="3021"/>
      <c r="U18" s="3021"/>
      <c r="V18" s="3029"/>
    </row>
    <row r="19" spans="1:22" s="3033" customFormat="1" ht="13.15" customHeight="1" thickBot="1">
      <c r="A19" s="3097" t="s">
        <v>2891</v>
      </c>
      <c r="B19" s="3051"/>
      <c r="C19" s="3051"/>
      <c r="D19" s="3051"/>
      <c r="E19" s="3051"/>
      <c r="F19" s="3052"/>
      <c r="G19" s="3072"/>
      <c r="H19" s="3028"/>
      <c r="I19" s="3029"/>
      <c r="J19" s="3455"/>
      <c r="K19" s="3458"/>
      <c r="L19" s="3083" t="s">
        <v>2871</v>
      </c>
      <c r="M19" s="3084"/>
      <c r="N19" s="3084">
        <f>SUM(N16:N18)</f>
        <v>0</v>
      </c>
      <c r="O19" s="3085"/>
      <c r="P19" s="3098" t="s">
        <v>2935</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5">
        <v>3</v>
      </c>
      <c r="K20" s="3456" t="s">
        <v>2892</v>
      </c>
      <c r="L20" s="3063" t="s">
        <v>2893</v>
      </c>
      <c r="M20" s="3064" t="s">
        <v>2894</v>
      </c>
      <c r="N20" s="3101" t="s">
        <v>2895</v>
      </c>
      <c r="O20" s="3065" t="s">
        <v>2896</v>
      </c>
      <c r="P20" s="3066" t="s">
        <v>2897</v>
      </c>
      <c r="Q20" s="3040" t="s">
        <v>2898</v>
      </c>
      <c r="R20" s="3087" t="s">
        <v>2899</v>
      </c>
      <c r="S20" s="3102"/>
      <c r="T20" s="3102"/>
      <c r="U20" s="3102"/>
      <c r="V20" s="3029"/>
    </row>
    <row r="21" spans="1:22" s="3033" customFormat="1" ht="13.15" customHeight="1">
      <c r="A21" s="3056"/>
      <c r="B21" s="3057"/>
      <c r="C21" s="3103" t="s">
        <v>2900</v>
      </c>
      <c r="D21" s="3104" t="s">
        <v>2901</v>
      </c>
      <c r="E21" s="3105" t="s">
        <v>2902</v>
      </c>
      <c r="F21" s="3100"/>
      <c r="G21" s="3072"/>
      <c r="H21" s="3028"/>
      <c r="I21" s="3029"/>
      <c r="J21" s="3455"/>
      <c r="K21" s="3457"/>
      <c r="L21" s="3063" t="s">
        <v>2903</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2904</v>
      </c>
      <c r="D22" s="3108" t="s">
        <v>2905</v>
      </c>
      <c r="E22" s="3109" t="s">
        <v>2906</v>
      </c>
      <c r="F22" s="3100"/>
      <c r="G22" s="3110"/>
      <c r="H22" s="3028"/>
      <c r="I22" s="3029"/>
      <c r="J22" s="3455"/>
      <c r="K22" s="3457"/>
      <c r="L22" s="3063" t="s">
        <v>2907</v>
      </c>
      <c r="M22" s="3064"/>
      <c r="N22" s="3064"/>
      <c r="O22" s="3065"/>
      <c r="P22" s="3066">
        <v>365</v>
      </c>
      <c r="Q22" s="3040"/>
      <c r="R22" s="3106">
        <f>ROUND(M22*N22*O22*P22/10000,0)</f>
        <v>0</v>
      </c>
      <c r="S22" s="3102"/>
      <c r="T22" s="3102"/>
      <c r="U22" s="3102"/>
      <c r="V22" s="3029"/>
    </row>
    <row r="23" spans="1:22" s="3033" customFormat="1" ht="13.15" customHeight="1">
      <c r="A23" s="3111">
        <v>1</v>
      </c>
      <c r="B23" s="3112" t="s">
        <v>2908</v>
      </c>
      <c r="C23" s="3113">
        <f>D6</f>
        <v>0</v>
      </c>
      <c r="D23" s="3114">
        <f>C23*(1+D24)</f>
        <v>0</v>
      </c>
      <c r="E23" s="3115">
        <f>D23*(1+E24)</f>
        <v>0</v>
      </c>
      <c r="F23" s="3116"/>
      <c r="G23" s="3117"/>
      <c r="H23" s="3028"/>
      <c r="I23" s="3029"/>
      <c r="J23" s="3455"/>
      <c r="K23" s="3457"/>
      <c r="L23" s="3063" t="s">
        <v>2909</v>
      </c>
      <c r="M23" s="3064"/>
      <c r="N23" s="3064"/>
      <c r="O23" s="3065"/>
      <c r="P23" s="3066">
        <v>365</v>
      </c>
      <c r="Q23" s="3040"/>
      <c r="R23" s="3106">
        <f>ROUND(M23*N23*O23*P23/10000,0)</f>
        <v>0</v>
      </c>
      <c r="S23" s="3021"/>
      <c r="T23" s="3021"/>
      <c r="U23" s="3021"/>
      <c r="V23" s="3029"/>
    </row>
    <row r="24" spans="1:22" s="3033" customFormat="1" ht="13.15" customHeight="1">
      <c r="A24" s="3118"/>
      <c r="B24" s="3119" t="s">
        <v>2910</v>
      </c>
      <c r="C24" s="3120"/>
      <c r="D24" s="3121"/>
      <c r="E24" s="3122"/>
      <c r="F24" s="3123"/>
      <c r="G24" s="3117"/>
      <c r="H24" s="3028"/>
      <c r="I24" s="3029"/>
      <c r="J24" s="3455"/>
      <c r="K24" s="3458"/>
      <c r="L24" s="3083" t="s">
        <v>2871</v>
      </c>
      <c r="M24" s="3084">
        <f>SUM(M21:M23)</f>
        <v>0</v>
      </c>
      <c r="N24" s="3084"/>
      <c r="O24" s="3085"/>
      <c r="P24" s="3098" t="s">
        <v>2935</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2911</v>
      </c>
      <c r="L25" s="3126"/>
      <c r="M25" s="3126"/>
      <c r="N25" s="3126"/>
      <c r="O25" s="3126"/>
      <c r="P25" s="3127"/>
      <c r="Q25" s="3128">
        <v>0</v>
      </c>
      <c r="R25" s="3099">
        <f>ROUND(R14*Q25,0)</f>
        <v>0</v>
      </c>
      <c r="S25" s="3021"/>
      <c r="T25" s="3021"/>
      <c r="U25" s="3021"/>
      <c r="V25" s="3129"/>
    </row>
    <row r="26" spans="1:22" s="3130" customFormat="1" ht="13.15" customHeight="1">
      <c r="A26" s="3111">
        <v>2</v>
      </c>
      <c r="B26" s="3112" t="s">
        <v>2912</v>
      </c>
      <c r="C26" s="3113">
        <f>D7</f>
        <v>0</v>
      </c>
      <c r="D26" s="3114">
        <f>D23*D27</f>
        <v>0</v>
      </c>
      <c r="E26" s="3115">
        <f>E23*E27</f>
        <v>0</v>
      </c>
      <c r="F26" s="3116"/>
      <c r="G26" s="3117"/>
      <c r="H26" s="3028"/>
      <c r="I26" s="3029"/>
      <c r="J26" s="3465">
        <v>5</v>
      </c>
      <c r="K26" s="3131" t="s">
        <v>2913</v>
      </c>
      <c r="L26" s="3132"/>
      <c r="M26" s="3133"/>
      <c r="N26" s="3134" t="s">
        <v>2914</v>
      </c>
      <c r="O26" s="3134" t="s">
        <v>2915</v>
      </c>
      <c r="P26" s="3135" t="s">
        <v>2916</v>
      </c>
      <c r="Q26" s="3135" t="s">
        <v>2917</v>
      </c>
      <c r="R26" s="3038" t="s">
        <v>2842</v>
      </c>
      <c r="S26" s="3136"/>
      <c r="T26" s="3136"/>
      <c r="U26" s="3136"/>
      <c r="V26" s="3129"/>
    </row>
    <row r="27" spans="1:22" s="3033" customFormat="1" ht="13.15" customHeight="1">
      <c r="A27" s="3118"/>
      <c r="B27" s="3119" t="s">
        <v>2918</v>
      </c>
      <c r="C27" s="3137" t="e">
        <f>E7</f>
        <v>#DIV/0!</v>
      </c>
      <c r="D27" s="3121"/>
      <c r="E27" s="3122"/>
      <c r="F27" s="3123"/>
      <c r="G27" s="3117"/>
      <c r="H27" s="3138"/>
      <c r="I27" s="3129"/>
      <c r="J27" s="3466"/>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2919</v>
      </c>
      <c r="F28" s="3123"/>
      <c r="G28" s="3110"/>
      <c r="H28" s="3138"/>
      <c r="I28" s="3129"/>
      <c r="J28" s="3144">
        <v>6</v>
      </c>
      <c r="K28" s="3145" t="s">
        <v>2920</v>
      </c>
      <c r="L28" s="3146" t="s">
        <v>2921</v>
      </c>
      <c r="M28" s="3147"/>
      <c r="N28" s="3146" t="s">
        <v>2922</v>
      </c>
      <c r="O28" s="3148"/>
      <c r="P28" s="3146" t="s">
        <v>2923</v>
      </c>
      <c r="Q28" s="3149">
        <v>1.4999999999999999E-2</v>
      </c>
      <c r="R28" s="3150"/>
      <c r="S28" s="3102"/>
      <c r="T28" s="3102"/>
      <c r="U28" s="3102"/>
      <c r="V28" s="3129"/>
    </row>
    <row r="29" spans="1:22" s="3130" customFormat="1" ht="13.15" customHeight="1">
      <c r="A29" s="3111">
        <v>3</v>
      </c>
      <c r="B29" s="3112" t="s">
        <v>2924</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2918</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2925</v>
      </c>
      <c r="K31" s="3019"/>
      <c r="L31" s="3019"/>
      <c r="M31" s="3019"/>
      <c r="N31" s="3019"/>
      <c r="O31" s="3019"/>
      <c r="P31" s="3019"/>
      <c r="Q31" s="3019"/>
      <c r="R31" s="3020"/>
      <c r="S31" s="3102"/>
      <c r="T31" s="3021"/>
      <c r="U31" s="3021"/>
      <c r="V31" s="3129"/>
    </row>
    <row r="32" spans="1:22" s="3130" customFormat="1" ht="13.15" customHeight="1">
      <c r="A32" s="3111">
        <v>4</v>
      </c>
      <c r="B32" s="3112" t="s">
        <v>2926</v>
      </c>
      <c r="C32" s="3113">
        <f>C23-C26-C29</f>
        <v>0</v>
      </c>
      <c r="D32" s="3114">
        <f>D23-D26-D29</f>
        <v>0</v>
      </c>
      <c r="E32" s="3115">
        <f>E23-E26-E29</f>
        <v>0</v>
      </c>
      <c r="F32" s="3116"/>
      <c r="G32" s="3110"/>
      <c r="H32" s="3028"/>
      <c r="I32" s="3029"/>
      <c r="J32" s="3448" t="s">
        <v>2818</v>
      </c>
      <c r="K32" s="3449"/>
      <c r="L32" s="3030" t="s">
        <v>2819</v>
      </c>
      <c r="M32" s="3030" t="s">
        <v>2820</v>
      </c>
      <c r="N32" s="3030" t="s">
        <v>2821</v>
      </c>
      <c r="O32" s="3030" t="s">
        <v>2822</v>
      </c>
      <c r="P32" s="3030" t="s">
        <v>2823</v>
      </c>
      <c r="Q32" s="3031" t="s">
        <v>2824</v>
      </c>
      <c r="R32" s="3153" t="s">
        <v>2825</v>
      </c>
      <c r="S32" s="3102"/>
      <c r="T32" s="3021"/>
      <c r="U32" s="3021"/>
      <c r="V32" s="3129"/>
    </row>
    <row r="33" spans="1:23" s="3033" customFormat="1" ht="13.15" customHeight="1">
      <c r="A33" s="3111"/>
      <c r="B33" s="3112"/>
      <c r="C33" s="3113"/>
      <c r="D33" s="3154"/>
      <c r="E33" s="3155"/>
      <c r="F33" s="3116"/>
      <c r="G33" s="3110"/>
      <c r="H33" s="3138"/>
      <c r="I33" s="3129"/>
      <c r="J33" s="3450" t="s">
        <v>2828</v>
      </c>
      <c r="K33" s="3451"/>
      <c r="L33" s="3036"/>
      <c r="M33" s="3036"/>
      <c r="N33" s="3036"/>
      <c r="O33" s="3036"/>
      <c r="P33" s="3036"/>
      <c r="Q33" s="3037"/>
      <c r="R33" s="3156">
        <f>SUM(L33:Q33)</f>
        <v>0</v>
      </c>
      <c r="S33" s="3102"/>
      <c r="T33" s="3021"/>
      <c r="U33" s="3021"/>
      <c r="V33" s="3029"/>
    </row>
    <row r="34" spans="1:23" s="3033" customFormat="1" ht="13.15" customHeight="1">
      <c r="A34" s="3111">
        <v>5</v>
      </c>
      <c r="B34" s="3112" t="s">
        <v>2927</v>
      </c>
      <c r="C34" s="3157"/>
      <c r="D34" s="3158"/>
      <c r="E34" s="3159"/>
      <c r="F34" s="3116"/>
      <c r="G34" s="3110"/>
      <c r="H34" s="3138"/>
      <c r="I34" s="3129"/>
      <c r="J34" s="3450" t="s">
        <v>2830</v>
      </c>
      <c r="K34" s="3451"/>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2928</v>
      </c>
      <c r="C35" s="3161"/>
      <c r="D35" s="3162"/>
      <c r="E35" s="3163"/>
      <c r="F35" s="3116"/>
      <c r="G35" s="3164"/>
      <c r="H35" s="3028"/>
      <c r="I35" s="3129"/>
      <c r="J35" s="3047" t="s">
        <v>2832</v>
      </c>
      <c r="K35" s="3048"/>
      <c r="L35" s="3048"/>
      <c r="M35" s="3049"/>
      <c r="N35" s="3049"/>
      <c r="O35" s="3049"/>
      <c r="P35" s="3049"/>
      <c r="Q35" s="3049"/>
      <c r="R35" s="3165">
        <f>R40+R41+R43</f>
        <v>0</v>
      </c>
      <c r="S35" s="3102"/>
      <c r="T35" s="3021" t="s">
        <v>2833</v>
      </c>
      <c r="U35" s="3021"/>
      <c r="V35" s="3029"/>
    </row>
    <row r="36" spans="1:23" s="3033" customFormat="1" ht="13.15" customHeight="1" thickBot="1">
      <c r="A36" s="3111">
        <v>7</v>
      </c>
      <c r="B36" s="3166" t="s">
        <v>2929</v>
      </c>
      <c r="C36" s="3167"/>
      <c r="D36" s="3168"/>
      <c r="E36" s="3169"/>
      <c r="F36" s="3170">
        <f>C36+D36+E36</f>
        <v>0</v>
      </c>
      <c r="G36" s="3110"/>
      <c r="H36" s="3028"/>
      <c r="I36" s="3029"/>
      <c r="J36" s="3455">
        <v>1</v>
      </c>
      <c r="K36" s="3456" t="s">
        <v>2930</v>
      </c>
      <c r="L36" s="3054"/>
      <c r="M36" s="3055"/>
      <c r="N36" s="3055"/>
      <c r="O36" s="3055"/>
      <c r="P36" s="3055"/>
      <c r="Q36" s="3055"/>
      <c r="R36" s="3038" t="s">
        <v>2842</v>
      </c>
      <c r="S36" s="3102"/>
      <c r="T36" s="3021" t="s">
        <v>2843</v>
      </c>
      <c r="U36" s="3021"/>
      <c r="V36" s="3029"/>
    </row>
    <row r="37" spans="1:23" s="3033" customFormat="1" ht="13.15" customHeight="1">
      <c r="A37" s="3111"/>
      <c r="B37" s="3112"/>
      <c r="C37" s="3112"/>
      <c r="D37" s="3112"/>
      <c r="E37" s="3112"/>
      <c r="F37" s="3116"/>
      <c r="G37" s="3110"/>
      <c r="H37" s="3028"/>
      <c r="I37" s="3029"/>
      <c r="J37" s="3455"/>
      <c r="K37" s="3457"/>
      <c r="L37" s="3063"/>
      <c r="M37" s="3064"/>
      <c r="N37" s="3040"/>
      <c r="O37" s="3065"/>
      <c r="P37" s="3065"/>
      <c r="Q37" s="3066"/>
      <c r="R37" s="3067"/>
      <c r="S37" s="3102"/>
      <c r="T37" s="3021" t="s">
        <v>2846</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5"/>
      <c r="K38" s="3457"/>
      <c r="L38" s="3063"/>
      <c r="M38" s="3064"/>
      <c r="N38" s="3040"/>
      <c r="O38" s="3065"/>
      <c r="P38" s="3065"/>
      <c r="Q38" s="3066"/>
      <c r="R38" s="3067"/>
      <c r="S38" s="3102"/>
      <c r="T38" s="3021" t="s">
        <v>2853</v>
      </c>
      <c r="U38" s="3021"/>
      <c r="V38" s="3029"/>
    </row>
    <row r="39" spans="1:23" s="3033" customFormat="1" ht="13.15" customHeight="1">
      <c r="A39" s="3111">
        <v>9</v>
      </c>
      <c r="B39" s="3112" t="s">
        <v>2931</v>
      </c>
      <c r="C39" s="3077" t="e">
        <f>C38</f>
        <v>#DIV/0!</v>
      </c>
      <c r="D39" s="3112">
        <f>D38/(1+D34)^C36</f>
        <v>0</v>
      </c>
      <c r="E39" s="3112">
        <f>E38/(1+E34)^(C36+D36)</f>
        <v>0</v>
      </c>
      <c r="F39" s="3116"/>
      <c r="G39" s="3171"/>
      <c r="H39" s="3028"/>
      <c r="I39" s="3029"/>
      <c r="J39" s="3455"/>
      <c r="K39" s="3457"/>
      <c r="L39" s="3063"/>
      <c r="M39" s="3064"/>
      <c r="N39" s="3040"/>
      <c r="O39" s="3065"/>
      <c r="P39" s="3065"/>
      <c r="Q39" s="3066"/>
      <c r="R39" s="3067"/>
      <c r="S39" s="3102"/>
      <c r="T39" s="3021"/>
      <c r="U39" s="3021"/>
      <c r="V39" s="3029"/>
    </row>
    <row r="40" spans="1:23" s="3033" customFormat="1" ht="13.15" customHeight="1">
      <c r="A40" s="3172">
        <v>10</v>
      </c>
      <c r="B40" s="3112" t="s">
        <v>2932</v>
      </c>
      <c r="C40" s="3173" t="e">
        <f>C39+D39+E39</f>
        <v>#DIV/0!</v>
      </c>
      <c r="D40" s="3174"/>
      <c r="E40" s="3174"/>
      <c r="F40" s="3175"/>
      <c r="G40" s="3110"/>
      <c r="H40" s="3028"/>
      <c r="I40" s="3029"/>
      <c r="J40" s="3455"/>
      <c r="K40" s="3458"/>
      <c r="L40" s="3083" t="s">
        <v>2871</v>
      </c>
      <c r="M40" s="3084"/>
      <c r="N40" s="3084"/>
      <c r="O40" s="3085"/>
      <c r="P40" s="3085"/>
      <c r="Q40" s="3086"/>
      <c r="R40" s="3032">
        <f>SUM(R37:R39)</f>
        <v>0</v>
      </c>
      <c r="S40" s="3102"/>
      <c r="T40" s="3021"/>
      <c r="U40" s="3021"/>
      <c r="V40" s="3029"/>
    </row>
    <row r="41" spans="1:23" s="3033" customFormat="1" ht="13.15" customHeight="1" thickBot="1">
      <c r="A41" s="3176">
        <v>11</v>
      </c>
      <c r="B41" s="3177" t="s">
        <v>2933</v>
      </c>
      <c r="C41" s="3177" t="e">
        <f>ROUND(C40*10000/B4,0)</f>
        <v>#DIV/0!</v>
      </c>
      <c r="D41" s="3178"/>
      <c r="E41" s="3178"/>
      <c r="F41" s="3179"/>
      <c r="G41" s="3180"/>
      <c r="H41" s="3028"/>
      <c r="I41" s="3029"/>
      <c r="J41" s="3124">
        <v>2</v>
      </c>
      <c r="K41" s="3125" t="s">
        <v>2911</v>
      </c>
      <c r="L41" s="3126"/>
      <c r="M41" s="3126"/>
      <c r="N41" s="3126"/>
      <c r="O41" s="3126"/>
      <c r="P41" s="3127"/>
      <c r="Q41" s="3128"/>
      <c r="R41" s="3099">
        <f>ROUND(R40*Q41,0)</f>
        <v>0</v>
      </c>
      <c r="S41" s="3102"/>
      <c r="T41" s="3021"/>
      <c r="U41" s="3136"/>
      <c r="V41" s="3029"/>
    </row>
    <row r="42" spans="1:23" s="3033" customFormat="1" ht="13.15" customHeight="1">
      <c r="G42" s="3180"/>
      <c r="H42" s="3028"/>
      <c r="I42" s="3029"/>
      <c r="J42" s="3465">
        <v>3</v>
      </c>
      <c r="K42" s="3131" t="s">
        <v>2913</v>
      </c>
      <c r="L42" s="3132"/>
      <c r="M42" s="3133"/>
      <c r="N42" s="3134" t="s">
        <v>2914</v>
      </c>
      <c r="O42" s="3134" t="s">
        <v>2915</v>
      </c>
      <c r="P42" s="3135" t="s">
        <v>2916</v>
      </c>
      <c r="Q42" s="3135" t="s">
        <v>2917</v>
      </c>
      <c r="R42" s="3038" t="s">
        <v>2842</v>
      </c>
      <c r="S42" s="3136"/>
      <c r="T42" s="3136"/>
      <c r="U42" s="3021"/>
      <c r="V42" s="3029"/>
    </row>
    <row r="43" spans="1:23" ht="13.15" customHeight="1">
      <c r="A43" s="3033"/>
      <c r="B43" s="3033"/>
      <c r="C43" s="3033"/>
      <c r="D43" s="3033"/>
      <c r="E43" s="3033"/>
      <c r="F43" s="3033"/>
      <c r="I43" s="3016"/>
      <c r="J43" s="3466"/>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2920</v>
      </c>
      <c r="L44" s="3184" t="s">
        <v>2921</v>
      </c>
      <c r="M44" s="3147"/>
      <c r="N44" s="3184" t="s">
        <v>2922</v>
      </c>
      <c r="O44" s="3147"/>
      <c r="P44" s="3184" t="s">
        <v>2923</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2102</v>
      </c>
      <c r="B1" s="2004"/>
      <c r="C1" s="2004"/>
      <c r="D1" s="2004"/>
      <c r="E1" s="2005"/>
      <c r="F1" s="2885"/>
      <c r="G1" s="1624"/>
      <c r="H1" s="1624"/>
      <c r="I1" s="1624"/>
      <c r="J1" s="1624"/>
      <c r="K1" s="1624"/>
      <c r="L1" s="1624"/>
      <c r="M1" s="1624"/>
      <c r="N1" s="1624"/>
      <c r="O1" s="1624"/>
      <c r="P1" s="1624"/>
      <c r="Q1" s="1624"/>
      <c r="R1" s="1624"/>
      <c r="S1" s="1624"/>
    </row>
    <row r="2" spans="1:22" ht="15.75">
      <c r="A2" s="2006" t="s">
        <v>1906</v>
      </c>
      <c r="B2" s="2007">
        <f ca="1">SUMIF(B6:B13,"&lt;&gt;#ref!",B6:B13)</f>
        <v>88620</v>
      </c>
      <c r="C2" s="2008" t="s">
        <v>2095</v>
      </c>
      <c r="D2" s="2009" t="s">
        <v>2096</v>
      </c>
      <c r="E2" s="2782">
        <f>SUM(E6:E13)</f>
        <v>51495</v>
      </c>
      <c r="F2" s="2885"/>
      <c r="G2" s="1624"/>
      <c r="H2" s="1624"/>
      <c r="I2" s="1624"/>
      <c r="J2" s="1624"/>
      <c r="K2" s="1624"/>
      <c r="L2" s="1624"/>
      <c r="M2" s="1624"/>
      <c r="N2" s="1624"/>
      <c r="O2" s="1624"/>
      <c r="P2" s="1624"/>
      <c r="Q2" s="1624"/>
      <c r="R2" s="1624"/>
      <c r="S2" s="1624"/>
    </row>
    <row r="3" spans="1:22" ht="15.75">
      <c r="A3" s="2006" t="s">
        <v>1119</v>
      </c>
      <c r="B3" s="2776">
        <f ca="1">ROUND(B2*10000/E2,0)</f>
        <v>17209</v>
      </c>
      <c r="C3" s="2008" t="s">
        <v>2103</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2097</v>
      </c>
      <c r="B5" s="3467" t="s">
        <v>2098</v>
      </c>
      <c r="C5" s="3468"/>
      <c r="D5" s="2886"/>
      <c r="E5" s="2010" t="s">
        <v>2099</v>
      </c>
      <c r="F5" s="2011" t="s">
        <v>2100</v>
      </c>
      <c r="G5" s="1624"/>
      <c r="H5" s="1624"/>
      <c r="I5" s="1624"/>
      <c r="J5" s="1624"/>
      <c r="K5" s="1624"/>
      <c r="L5" s="1624"/>
      <c r="M5" s="1624"/>
      <c r="N5" s="1624"/>
      <c r="O5" s="1624"/>
      <c r="P5" s="1624"/>
      <c r="Q5" s="1624"/>
      <c r="R5" s="1624"/>
      <c r="S5" s="1624"/>
    </row>
    <row r="6" spans="1:22">
      <c r="A6" s="2779" t="str">
        <f>'数据-取费表'!AN6</f>
        <v>收益法-科研</v>
      </c>
      <c r="B6" s="2777">
        <f ca="1">IF(F6="是",'数据-取费表'!AO6,0)</f>
        <v>86453</v>
      </c>
      <c r="C6" s="2008" t="s">
        <v>2095</v>
      </c>
      <c r="D6" s="2887"/>
      <c r="E6" s="2781">
        <f>IF(OR(A6=0,F6="否"),0,'数据-取费表'!K6+'数据-取费表'!S6)</f>
        <v>42324.53</v>
      </c>
      <c r="F6" s="2012" t="s">
        <v>2101</v>
      </c>
      <c r="G6" s="1624"/>
      <c r="H6" s="1624"/>
      <c r="I6" s="1624"/>
      <c r="J6" s="1624"/>
      <c r="K6" s="1624"/>
      <c r="L6" s="1624"/>
      <c r="M6" s="1624"/>
      <c r="N6" s="1624"/>
      <c r="O6" s="1624"/>
      <c r="P6" s="1624"/>
      <c r="Q6" s="1624"/>
      <c r="R6" s="1624"/>
      <c r="S6" s="1624"/>
    </row>
    <row r="7" spans="1:22">
      <c r="A7" s="2779" t="str">
        <f>'数据-取费表'!AN7</f>
        <v>收益法-车库</v>
      </c>
      <c r="B7" s="2777">
        <f ca="1">IF(F7="是",'数据-取费表'!AO7,0)</f>
        <v>2167</v>
      </c>
      <c r="C7" s="2008" t="s">
        <v>2095</v>
      </c>
      <c r="D7" s="2887"/>
      <c r="E7" s="2781">
        <f>IF(OR(A7=0,F7="否"),0,'数据-取费表'!K7+'数据-取费表'!S7)</f>
        <v>9170.4699999999993</v>
      </c>
      <c r="F7" s="2012" t="s">
        <v>2101</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2095</v>
      </c>
      <c r="D8" s="2887"/>
      <c r="E8" s="2781">
        <f>IF(OR(A8=0,F8="否"),0,'数据-取费表'!K8+'数据-取费表'!S8)</f>
        <v>0</v>
      </c>
      <c r="F8" s="2012" t="s">
        <v>2101</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2095</v>
      </c>
      <c r="D9" s="2887"/>
      <c r="E9" s="2781">
        <f>IF(OR(A9=0,F9="否"),0,'数据-取费表'!K9+'数据-取费表'!S9)</f>
        <v>0</v>
      </c>
      <c r="F9" s="2012" t="s">
        <v>2101</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2095</v>
      </c>
      <c r="D10" s="2887"/>
      <c r="E10" s="2781">
        <f>IF(OR(A10=0,F10="否"),0,'数据-取费表'!K10+'数据-取费表'!S10)</f>
        <v>0</v>
      </c>
      <c r="F10" s="2012" t="s">
        <v>2101</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2095</v>
      </c>
      <c r="D11" s="2887"/>
      <c r="E11" s="2781">
        <f>IF(OR(A11=0,F11="否"),0,'数据-取费表'!K11+'数据-取费表'!S11)</f>
        <v>0</v>
      </c>
      <c r="F11" s="2012" t="s">
        <v>2101</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2095</v>
      </c>
      <c r="D12" s="2887"/>
      <c r="E12" s="2781">
        <f>IF(OR(A12=0,F12="否"),0,'数据-取费表'!K12+'数据-取费表'!S12)</f>
        <v>0</v>
      </c>
      <c r="F12" s="2012" t="s">
        <v>2101</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2095</v>
      </c>
      <c r="D13" s="2888"/>
      <c r="E13" s="2781">
        <f>IF(OR(A13=0,F13="否"),0,'数据-取费表'!K13+'数据-取费表'!S13)</f>
        <v>0</v>
      </c>
      <c r="F13" s="2012" t="s">
        <v>2101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14" t="s">
        <v>2105</v>
      </c>
      <c r="C1" s="1358" t="s">
        <v>2106</v>
      </c>
      <c r="D1" s="1345"/>
      <c r="E1" s="2494"/>
      <c r="F1" s="2015" t="s">
        <v>2107</v>
      </c>
      <c r="G1" s="1355" t="s">
        <v>2108</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2109</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2110</v>
      </c>
      <c r="D3" s="358">
        <f>IF(D1="",'数据-汇总表'!E3,SUMIF('数据-汇总表'!$C19:$C33,D1,'数据-汇总表'!$E19:$E33))</f>
        <v>51495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2111</v>
      </c>
      <c r="B4" s="361"/>
      <c r="C4" s="3487" t="s">
        <v>2112</v>
      </c>
      <c r="D4" s="3488"/>
      <c r="E4" s="3489" t="s">
        <v>2113</v>
      </c>
      <c r="F4" s="3490"/>
      <c r="G4" s="3487" t="s">
        <v>2114</v>
      </c>
      <c r="H4" s="3488"/>
      <c r="I4" s="3487" t="s">
        <v>2115</v>
      </c>
      <c r="J4" s="3488"/>
      <c r="K4" s="2025" t="s">
        <v>2116</v>
      </c>
      <c r="L4" s="2893"/>
      <c r="M4" s="2894"/>
      <c r="N4" s="2894"/>
      <c r="O4" s="2894"/>
      <c r="P4" s="3491" t="s">
        <v>2117</v>
      </c>
      <c r="Q4" s="3492"/>
      <c r="R4" s="3474" t="s">
        <v>2113</v>
      </c>
      <c r="S4" s="3475"/>
      <c r="T4" s="3474" t="s">
        <v>2114</v>
      </c>
      <c r="U4" s="3475"/>
      <c r="V4" s="3499" t="s">
        <v>2115</v>
      </c>
      <c r="W4" s="3499"/>
      <c r="X4" s="1489"/>
      <c r="Y4" s="3474" t="s">
        <v>2117</v>
      </c>
      <c r="Z4" s="3475"/>
      <c r="AA4" s="3469" t="s">
        <v>2113</v>
      </c>
      <c r="AB4" s="3469" t="s">
        <v>2114</v>
      </c>
      <c r="AC4" s="3469" t="s">
        <v>2115</v>
      </c>
    </row>
    <row r="5" spans="1:29" ht="15">
      <c r="A5" s="363"/>
      <c r="B5" s="364"/>
      <c r="C5" s="3480" t="s">
        <v>2118</v>
      </c>
      <c r="D5" s="3481"/>
      <c r="E5" s="3478" t="s">
        <v>2119</v>
      </c>
      <c r="F5" s="3479"/>
      <c r="G5" s="3480" t="s">
        <v>2120</v>
      </c>
      <c r="H5" s="3481"/>
      <c r="I5" s="3480" t="s">
        <v>2121</v>
      </c>
      <c r="J5" s="3481"/>
      <c r="K5" s="2026"/>
      <c r="L5" s="2893"/>
      <c r="M5" s="2894"/>
      <c r="N5" s="2894"/>
      <c r="O5" s="2894"/>
      <c r="P5" s="3493"/>
      <c r="Q5" s="3494"/>
      <c r="R5" s="3476"/>
      <c r="S5" s="3477"/>
      <c r="T5" s="3476"/>
      <c r="U5" s="3477"/>
      <c r="V5" s="3499"/>
      <c r="W5" s="3499"/>
      <c r="X5" s="1489"/>
      <c r="Y5" s="3476"/>
      <c r="Z5" s="3477"/>
      <c r="AA5" s="3470"/>
      <c r="AB5" s="3470"/>
      <c r="AC5" s="3470"/>
    </row>
    <row r="6" spans="1:29" ht="15.75" thickBot="1">
      <c r="A6" s="365"/>
      <c r="B6" s="366"/>
      <c r="C6" s="3482" t="s">
        <v>2122</v>
      </c>
      <c r="D6" s="3483"/>
      <c r="E6" s="3484" t="s">
        <v>2122</v>
      </c>
      <c r="F6" s="3485"/>
      <c r="G6" s="3482" t="s">
        <v>2122</v>
      </c>
      <c r="H6" s="3483"/>
      <c r="I6" s="3482" t="s">
        <v>2122</v>
      </c>
      <c r="J6" s="3483"/>
      <c r="K6" s="2026" t="s">
        <v>2123</v>
      </c>
      <c r="L6" s="2893"/>
      <c r="M6" s="2894"/>
      <c r="N6" s="2894"/>
      <c r="O6" s="2894"/>
      <c r="P6" s="3495"/>
      <c r="Q6" s="3496"/>
      <c r="R6" s="3476"/>
      <c r="S6" s="3477"/>
      <c r="T6" s="3497"/>
      <c r="U6" s="3498"/>
      <c r="V6" s="3499"/>
      <c r="W6" s="3499"/>
      <c r="X6" s="1489"/>
      <c r="Y6" s="3497"/>
      <c r="Z6" s="3498"/>
      <c r="AA6" s="3471"/>
      <c r="AB6" s="3471"/>
      <c r="AC6" s="3471"/>
    </row>
    <row r="7" spans="1:29" s="112" customFormat="1" ht="15.75" thickBot="1">
      <c r="A7" s="367" t="s">
        <v>2124</v>
      </c>
      <c r="B7" s="368"/>
      <c r="C7" s="369">
        <f>'数据-取费表'!B2</f>
        <v>44692</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472" t="s">
        <v>2125</v>
      </c>
      <c r="Q7" s="3500"/>
      <c r="R7" s="709" t="s">
        <v>23</v>
      </c>
      <c r="S7" s="710">
        <f t="shared" ref="S7:S15" si="0">F7</f>
        <v>0</v>
      </c>
      <c r="T7" s="709" t="s">
        <v>23</v>
      </c>
      <c r="U7" s="710">
        <f t="shared" ref="U7:U15" si="1">H7</f>
        <v>0</v>
      </c>
      <c r="V7" s="709" t="s">
        <v>23</v>
      </c>
      <c r="W7" s="710">
        <f t="shared" ref="W7:W15" si="2">J7</f>
        <v>0</v>
      </c>
      <c r="X7" s="711"/>
      <c r="Y7" s="3472" t="s">
        <v>2125</v>
      </c>
      <c r="Z7" s="3473"/>
      <c r="AA7" s="712" t="e">
        <f>D7/F7</f>
        <v>#DIV/0!</v>
      </c>
      <c r="AB7" s="712" t="e">
        <f>D7/H7</f>
        <v>#DIV/0!</v>
      </c>
      <c r="AC7" s="712" t="e">
        <f>D7/J7</f>
        <v>#DIV/0!</v>
      </c>
    </row>
    <row r="8" spans="1:29" s="112" customFormat="1" ht="15.75" thickBot="1">
      <c r="A8" s="367" t="s">
        <v>2126</v>
      </c>
      <c r="B8" s="368"/>
      <c r="C8" s="373" t="s">
        <v>2127</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472" t="s">
        <v>2128</v>
      </c>
      <c r="Q8" s="3473"/>
      <c r="R8" s="709" t="s">
        <v>23</v>
      </c>
      <c r="S8" s="710">
        <f t="shared" si="0"/>
        <v>0</v>
      </c>
      <c r="T8" s="709" t="s">
        <v>23</v>
      </c>
      <c r="U8" s="710">
        <f t="shared" si="1"/>
        <v>0</v>
      </c>
      <c r="V8" s="709" t="s">
        <v>23</v>
      </c>
      <c r="W8" s="710">
        <f t="shared" si="2"/>
        <v>0</v>
      </c>
      <c r="X8" s="711"/>
      <c r="Y8" s="3472" t="s">
        <v>2128</v>
      </c>
      <c r="Z8" s="3473"/>
      <c r="AA8" s="712" t="e">
        <f t="shared" ref="AA8:AA19" si="3">D8/F8</f>
        <v>#DIV/0!</v>
      </c>
      <c r="AB8" s="712" t="e">
        <f t="shared" ref="AB8:AB19" si="4">D8/H8</f>
        <v>#DIV/0!</v>
      </c>
      <c r="AC8" s="712" t="e">
        <f t="shared" ref="AC8:AC19" si="5">D8/J8</f>
        <v>#DIV/0!</v>
      </c>
    </row>
    <row r="9" spans="1:29" s="112" customFormat="1">
      <c r="A9" s="374" t="s">
        <v>2129</v>
      </c>
      <c r="B9" s="67" t="s">
        <v>2130</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86" t="s">
        <v>2131</v>
      </c>
      <c r="Q9" s="1477" t="str">
        <f t="shared" ref="Q9:Q15" si="6">B9</f>
        <v>用途</v>
      </c>
      <c r="R9" s="709" t="s">
        <v>17</v>
      </c>
      <c r="S9" s="710">
        <f t="shared" si="0"/>
        <v>100</v>
      </c>
      <c r="T9" s="709" t="s">
        <v>17</v>
      </c>
      <c r="U9" s="710">
        <f t="shared" si="1"/>
        <v>100</v>
      </c>
      <c r="V9" s="709" t="s">
        <v>17</v>
      </c>
      <c r="W9" s="710">
        <f t="shared" si="2"/>
        <v>100</v>
      </c>
      <c r="X9" s="711"/>
      <c r="Y9" s="3416"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416"/>
      <c r="Z10" s="55" t="str">
        <f t="shared" si="7"/>
        <v>土地使用年限（年）</v>
      </c>
      <c r="AA10" s="712">
        <f t="shared" si="3"/>
        <v>1</v>
      </c>
      <c r="AB10" s="712">
        <f t="shared" si="4"/>
        <v>1</v>
      </c>
      <c r="AC10" s="712">
        <f t="shared" si="5"/>
        <v>1</v>
      </c>
    </row>
    <row r="11" spans="1:29" ht="15">
      <c r="A11" s="386"/>
      <c r="B11" s="380" t="s">
        <v>2134</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86"/>
      <c r="Q11" s="1477" t="str">
        <f t="shared" si="6"/>
        <v>容积率</v>
      </c>
      <c r="R11" s="709" t="s">
        <v>21</v>
      </c>
      <c r="S11" s="710" t="e">
        <f t="shared" si="0"/>
        <v>#N/A</v>
      </c>
      <c r="T11" s="709" t="s">
        <v>21</v>
      </c>
      <c r="U11" s="710" t="e">
        <f t="shared" si="1"/>
        <v>#N/A</v>
      </c>
      <c r="V11" s="709" t="s">
        <v>21</v>
      </c>
      <c r="W11" s="710" t="e">
        <f t="shared" si="2"/>
        <v>#N/A</v>
      </c>
      <c r="X11" s="711"/>
      <c r="Y11" s="3416"/>
      <c r="Z11" s="55"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86"/>
      <c r="Q12" s="1477">
        <f t="shared" si="6"/>
        <v>111</v>
      </c>
      <c r="R12" s="709" t="s">
        <v>21</v>
      </c>
      <c r="S12" s="710">
        <f t="shared" si="0"/>
        <v>100</v>
      </c>
      <c r="T12" s="709" t="s">
        <v>21</v>
      </c>
      <c r="U12" s="710">
        <f t="shared" si="1"/>
        <v>100</v>
      </c>
      <c r="V12" s="709" t="s">
        <v>21</v>
      </c>
      <c r="W12" s="710">
        <f t="shared" si="2"/>
        <v>100</v>
      </c>
      <c r="X12" s="711"/>
      <c r="Y12" s="3416"/>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86"/>
      <c r="Q13" s="1477">
        <f t="shared" si="6"/>
        <v>111</v>
      </c>
      <c r="R13" s="709" t="s">
        <v>21</v>
      </c>
      <c r="S13" s="710">
        <f t="shared" si="0"/>
        <v>100</v>
      </c>
      <c r="T13" s="709" t="s">
        <v>21</v>
      </c>
      <c r="U13" s="710">
        <f t="shared" si="1"/>
        <v>100</v>
      </c>
      <c r="V13" s="709" t="s">
        <v>21</v>
      </c>
      <c r="W13" s="710">
        <f t="shared" si="2"/>
        <v>100</v>
      </c>
      <c r="X13" s="711"/>
      <c r="Y13" s="3416"/>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86"/>
      <c r="Q14" s="1477">
        <f t="shared" si="6"/>
        <v>111</v>
      </c>
      <c r="R14" s="709" t="s">
        <v>21</v>
      </c>
      <c r="S14" s="710">
        <f t="shared" si="0"/>
        <v>100</v>
      </c>
      <c r="T14" s="709" t="s">
        <v>21</v>
      </c>
      <c r="U14" s="710">
        <f t="shared" si="1"/>
        <v>100</v>
      </c>
      <c r="V14" s="709" t="s">
        <v>21</v>
      </c>
      <c r="W14" s="710">
        <f t="shared" si="2"/>
        <v>100</v>
      </c>
      <c r="X14" s="711"/>
      <c r="Y14" s="3416"/>
      <c r="Z14" s="55">
        <f t="shared" si="7"/>
        <v>111</v>
      </c>
      <c r="AA14" s="712">
        <f t="shared" si="3"/>
        <v>1</v>
      </c>
      <c r="AB14" s="712">
        <f t="shared" si="4"/>
        <v>1</v>
      </c>
      <c r="AC14" s="712">
        <f t="shared" si="5"/>
        <v>1</v>
      </c>
    </row>
    <row r="15" spans="1:29" ht="99.75">
      <c r="A15" s="398" t="s">
        <v>2135</v>
      </c>
      <c r="B15" s="65" t="s">
        <v>1701</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513" t="s">
        <v>2136</v>
      </c>
      <c r="Q15" s="1486" t="str">
        <f t="shared" si="6"/>
        <v>居住社区成熟度</v>
      </c>
      <c r="R15" s="713" t="s">
        <v>21</v>
      </c>
      <c r="S15" s="714">
        <f t="shared" si="0"/>
        <v>100</v>
      </c>
      <c r="T15" s="713" t="s">
        <v>21</v>
      </c>
      <c r="U15" s="714">
        <f t="shared" si="1"/>
        <v>100</v>
      </c>
      <c r="V15" s="713" t="s">
        <v>21</v>
      </c>
      <c r="W15" s="714">
        <f t="shared" si="2"/>
        <v>100</v>
      </c>
      <c r="X15" s="1489"/>
      <c r="Y15" s="3506" t="s">
        <v>2136</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514"/>
      <c r="Q16" s="1486"/>
      <c r="R16" s="713"/>
      <c r="S16" s="714"/>
      <c r="T16" s="713"/>
      <c r="U16" s="714"/>
      <c r="V16" s="713"/>
      <c r="W16" s="714"/>
      <c r="X16" s="1489"/>
      <c r="Y16" s="3507"/>
      <c r="Z16" s="1490"/>
      <c r="AA16" s="1487">
        <v>1</v>
      </c>
      <c r="AB16" s="1487">
        <v>1</v>
      </c>
      <c r="AC16" s="1487">
        <v>1</v>
      </c>
    </row>
    <row r="17" spans="1:29" ht="85.5">
      <c r="A17" s="386"/>
      <c r="B17" s="409" t="s">
        <v>1703</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514"/>
      <c r="Q17" s="1486" t="str">
        <f>B17</f>
        <v>交通便捷度</v>
      </c>
      <c r="R17" s="713" t="s">
        <v>21</v>
      </c>
      <c r="S17" s="714">
        <f>F17</f>
        <v>100</v>
      </c>
      <c r="T17" s="713" t="s">
        <v>21</v>
      </c>
      <c r="U17" s="714">
        <f>H17</f>
        <v>100</v>
      </c>
      <c r="V17" s="713" t="s">
        <v>21</v>
      </c>
      <c r="W17" s="714">
        <f>J17</f>
        <v>100</v>
      </c>
      <c r="X17" s="1489"/>
      <c r="Y17" s="3507"/>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514"/>
      <c r="Q18" s="1486"/>
      <c r="R18" s="713"/>
      <c r="S18" s="714"/>
      <c r="T18" s="713"/>
      <c r="U18" s="714"/>
      <c r="V18" s="713"/>
      <c r="W18" s="714"/>
      <c r="X18" s="1489"/>
      <c r="Y18" s="3507"/>
      <c r="Z18" s="1490"/>
      <c r="AA18" s="1487">
        <v>1</v>
      </c>
      <c r="AB18" s="1487">
        <v>1</v>
      </c>
      <c r="AC18" s="1487">
        <v>1</v>
      </c>
    </row>
    <row r="19" spans="1:29" ht="42.75">
      <c r="A19" s="386"/>
      <c r="B19" s="409" t="s">
        <v>1702</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514"/>
      <c r="Q19" s="1486" t="str">
        <f>B19</f>
        <v>公共配套设施</v>
      </c>
      <c r="R19" s="713" t="s">
        <v>21</v>
      </c>
      <c r="S19" s="714">
        <f>F19</f>
        <v>100</v>
      </c>
      <c r="T19" s="713" t="s">
        <v>21</v>
      </c>
      <c r="U19" s="714">
        <f>H19</f>
        <v>100</v>
      </c>
      <c r="V19" s="713" t="s">
        <v>21</v>
      </c>
      <c r="W19" s="714">
        <f>J19</f>
        <v>100</v>
      </c>
      <c r="X19" s="1489"/>
      <c r="Y19" s="3507"/>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514"/>
      <c r="Q20" s="1486"/>
      <c r="R20" s="713"/>
      <c r="S20" s="714"/>
      <c r="T20" s="713"/>
      <c r="U20" s="714"/>
      <c r="V20" s="713"/>
      <c r="W20" s="714"/>
      <c r="X20" s="1489"/>
      <c r="Y20" s="3507"/>
      <c r="Z20" s="1490"/>
      <c r="AA20" s="1487">
        <v>1</v>
      </c>
      <c r="AB20" s="1487">
        <v>1</v>
      </c>
      <c r="AC20" s="1487">
        <v>1</v>
      </c>
    </row>
    <row r="21" spans="1:29" ht="28.5">
      <c r="A21" s="386"/>
      <c r="B21" s="1245" t="s">
        <v>1704</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514"/>
      <c r="Q21" s="1486" t="str">
        <f>B21</f>
        <v>基础设施水平</v>
      </c>
      <c r="R21" s="713" t="s">
        <v>17</v>
      </c>
      <c r="S21" s="714">
        <f>F21</f>
        <v>100</v>
      </c>
      <c r="T21" s="713" t="s">
        <v>17</v>
      </c>
      <c r="U21" s="714">
        <f>H21</f>
        <v>100</v>
      </c>
      <c r="V21" s="713" t="s">
        <v>17</v>
      </c>
      <c r="W21" s="714">
        <f>J21</f>
        <v>100</v>
      </c>
      <c r="X21" s="1489"/>
      <c r="Y21" s="350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514"/>
      <c r="Q22" s="1486"/>
      <c r="R22" s="713"/>
      <c r="S22" s="714"/>
      <c r="T22" s="713"/>
      <c r="U22" s="714"/>
      <c r="V22" s="713"/>
      <c r="W22" s="714"/>
      <c r="X22" s="1489"/>
      <c r="Y22" s="3507"/>
      <c r="Z22" s="1490"/>
      <c r="AA22" s="1487">
        <v>1</v>
      </c>
      <c r="AB22" s="1487">
        <v>1</v>
      </c>
      <c r="AC22" s="1487">
        <v>1</v>
      </c>
    </row>
    <row r="23" spans="1:29" ht="57">
      <c r="A23" s="386"/>
      <c r="B23" s="409" t="s">
        <v>1705</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514"/>
      <c r="Q23" s="1486" t="str">
        <f>B23</f>
        <v>自然及人文环境</v>
      </c>
      <c r="R23" s="713" t="s">
        <v>21</v>
      </c>
      <c r="S23" s="714">
        <f>F23</f>
        <v>100</v>
      </c>
      <c r="T23" s="713" t="s">
        <v>21</v>
      </c>
      <c r="U23" s="714">
        <f>H23</f>
        <v>100</v>
      </c>
      <c r="V23" s="713" t="s">
        <v>21</v>
      </c>
      <c r="W23" s="714">
        <f>J23</f>
        <v>100</v>
      </c>
      <c r="X23" s="1489"/>
      <c r="Y23" s="3507"/>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514"/>
      <c r="Q24" s="1486"/>
      <c r="R24" s="713"/>
      <c r="S24" s="714"/>
      <c r="T24" s="713"/>
      <c r="U24" s="714"/>
      <c r="V24" s="713"/>
      <c r="W24" s="714"/>
      <c r="X24" s="1489"/>
      <c r="Y24" s="3507"/>
      <c r="Z24" s="1490"/>
      <c r="AA24" s="1487">
        <v>1</v>
      </c>
      <c r="AB24" s="1487">
        <v>1</v>
      </c>
      <c r="AC24" s="1487">
        <v>1</v>
      </c>
    </row>
    <row r="25" spans="1:29" ht="15">
      <c r="A25" s="386"/>
      <c r="B25" s="380" t="s">
        <v>2137</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514"/>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07"/>
      <c r="Z25" s="1490" t="str">
        <f>Q25</f>
        <v>楼层-1</v>
      </c>
      <c r="AA25" s="1487">
        <f t="shared" ref="AA25:AA46" si="15">D25/F25</f>
        <v>1</v>
      </c>
      <c r="AB25" s="1487">
        <f t="shared" ref="AB25:AB46" si="16">D25/H25</f>
        <v>1</v>
      </c>
      <c r="AC25" s="1487">
        <f t="shared" ref="AC25:AC46" si="17">D25/J25</f>
        <v>1</v>
      </c>
    </row>
    <row r="26" spans="1:29" ht="15">
      <c r="A26" s="386"/>
      <c r="B26" s="380" t="s">
        <v>2138</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514"/>
      <c r="Q26" s="1486" t="str">
        <f t="shared" si="11"/>
        <v>朝向</v>
      </c>
      <c r="R26" s="713" t="s">
        <v>21</v>
      </c>
      <c r="S26" s="714">
        <f t="shared" si="12"/>
        <v>100</v>
      </c>
      <c r="T26" s="713" t="s">
        <v>21</v>
      </c>
      <c r="U26" s="714">
        <f t="shared" si="13"/>
        <v>100</v>
      </c>
      <c r="V26" s="713" t="s">
        <v>21</v>
      </c>
      <c r="W26" s="714">
        <f t="shared" si="14"/>
        <v>100</v>
      </c>
      <c r="X26" s="1489"/>
      <c r="Y26" s="3507"/>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514"/>
      <c r="Q27" s="1477">
        <f t="shared" si="11"/>
        <v>111</v>
      </c>
      <c r="R27" s="709" t="s">
        <v>21</v>
      </c>
      <c r="S27" s="710">
        <f t="shared" si="12"/>
        <v>100</v>
      </c>
      <c r="T27" s="709" t="s">
        <v>21</v>
      </c>
      <c r="U27" s="710">
        <f t="shared" si="13"/>
        <v>100</v>
      </c>
      <c r="V27" s="709" t="s">
        <v>21</v>
      </c>
      <c r="W27" s="710">
        <f t="shared" si="14"/>
        <v>100</v>
      </c>
      <c r="X27" s="711"/>
      <c r="Y27" s="3507"/>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514"/>
      <c r="Q28" s="1486">
        <f t="shared" si="11"/>
        <v>111</v>
      </c>
      <c r="R28" s="713" t="s">
        <v>21</v>
      </c>
      <c r="S28" s="714">
        <f t="shared" si="12"/>
        <v>100</v>
      </c>
      <c r="T28" s="713" t="s">
        <v>21</v>
      </c>
      <c r="U28" s="714">
        <f t="shared" si="13"/>
        <v>100</v>
      </c>
      <c r="V28" s="713" t="s">
        <v>21</v>
      </c>
      <c r="W28" s="714">
        <f t="shared" si="14"/>
        <v>100</v>
      </c>
      <c r="X28" s="1489"/>
      <c r="Y28" s="3507"/>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514"/>
      <c r="Q29" s="1486">
        <f t="shared" si="11"/>
        <v>111</v>
      </c>
      <c r="R29" s="713" t="s">
        <v>21</v>
      </c>
      <c r="S29" s="714">
        <f t="shared" si="12"/>
        <v>100</v>
      </c>
      <c r="T29" s="713" t="s">
        <v>21</v>
      </c>
      <c r="U29" s="714">
        <f t="shared" si="13"/>
        <v>100</v>
      </c>
      <c r="V29" s="713" t="s">
        <v>21</v>
      </c>
      <c r="W29" s="714">
        <f t="shared" si="14"/>
        <v>100</v>
      </c>
      <c r="X29" s="1489"/>
      <c r="Y29" s="3507"/>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514"/>
      <c r="Q30" s="1486">
        <f t="shared" si="11"/>
        <v>111</v>
      </c>
      <c r="R30" s="713" t="s">
        <v>21</v>
      </c>
      <c r="S30" s="714">
        <f t="shared" si="12"/>
        <v>100</v>
      </c>
      <c r="T30" s="713" t="s">
        <v>21</v>
      </c>
      <c r="U30" s="714">
        <f t="shared" si="13"/>
        <v>100</v>
      </c>
      <c r="V30" s="713" t="s">
        <v>21</v>
      </c>
      <c r="W30" s="714">
        <f t="shared" si="14"/>
        <v>100</v>
      </c>
      <c r="X30" s="1489"/>
      <c r="Y30" s="3507"/>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514"/>
      <c r="Q31" s="1486">
        <f t="shared" si="11"/>
        <v>111</v>
      </c>
      <c r="R31" s="713" t="s">
        <v>21</v>
      </c>
      <c r="S31" s="714">
        <f t="shared" si="12"/>
        <v>100</v>
      </c>
      <c r="T31" s="713" t="s">
        <v>21</v>
      </c>
      <c r="U31" s="714">
        <f t="shared" si="13"/>
        <v>100</v>
      </c>
      <c r="V31" s="713" t="s">
        <v>21</v>
      </c>
      <c r="W31" s="714">
        <f t="shared" si="14"/>
        <v>100</v>
      </c>
      <c r="X31" s="1489"/>
      <c r="Y31" s="3507"/>
      <c r="Z31" s="1490">
        <f t="shared" si="18"/>
        <v>111</v>
      </c>
      <c r="AA31" s="1487">
        <f t="shared" si="15"/>
        <v>1</v>
      </c>
      <c r="AB31" s="1487">
        <f t="shared" si="16"/>
        <v>1</v>
      </c>
      <c r="AC31" s="1487">
        <f t="shared" si="17"/>
        <v>1</v>
      </c>
    </row>
    <row r="32" spans="1:29" ht="15">
      <c r="A32" s="398" t="s">
        <v>2139</v>
      </c>
      <c r="B32" s="67" t="s">
        <v>2140</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508" t="s">
        <v>2141</v>
      </c>
      <c r="Q32" s="1486" t="str">
        <f t="shared" si="11"/>
        <v>建筑类型</v>
      </c>
      <c r="R32" s="713" t="s">
        <v>21</v>
      </c>
      <c r="S32" s="714">
        <f t="shared" si="12"/>
        <v>100</v>
      </c>
      <c r="T32" s="713" t="s">
        <v>21</v>
      </c>
      <c r="U32" s="714">
        <f t="shared" si="13"/>
        <v>100</v>
      </c>
      <c r="V32" s="713" t="s">
        <v>21</v>
      </c>
      <c r="W32" s="714">
        <f t="shared" si="14"/>
        <v>100</v>
      </c>
      <c r="X32" s="1489"/>
      <c r="Y32" s="3511" t="s">
        <v>2141</v>
      </c>
      <c r="Z32" s="1490" t="str">
        <f t="shared" si="18"/>
        <v>建筑类型</v>
      </c>
      <c r="AA32" s="1487">
        <f t="shared" si="15"/>
        <v>1</v>
      </c>
      <c r="AB32" s="1487">
        <f t="shared" si="16"/>
        <v>1</v>
      </c>
      <c r="AC32" s="1487">
        <f t="shared" si="17"/>
        <v>1</v>
      </c>
    </row>
    <row r="33" spans="1:29" s="429" customFormat="1" ht="15">
      <c r="A33" s="426"/>
      <c r="B33" s="380" t="s">
        <v>2142</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509"/>
      <c r="Q33" s="715" t="str">
        <f t="shared" si="11"/>
        <v>项目建筑规模</v>
      </c>
      <c r="R33" s="716" t="s">
        <v>21</v>
      </c>
      <c r="S33" s="717" t="e">
        <f t="shared" si="12"/>
        <v>#N/A</v>
      </c>
      <c r="T33" s="716" t="s">
        <v>21</v>
      </c>
      <c r="U33" s="717" t="e">
        <f t="shared" si="13"/>
        <v>#N/A</v>
      </c>
      <c r="V33" s="716" t="s">
        <v>21</v>
      </c>
      <c r="W33" s="717" t="e">
        <f t="shared" si="14"/>
        <v>#N/A</v>
      </c>
      <c r="X33" s="718"/>
      <c r="Y33" s="3511"/>
      <c r="Z33" s="719" t="str">
        <f t="shared" si="18"/>
        <v>项目建筑规模</v>
      </c>
      <c r="AA33" s="1487" t="e">
        <f t="shared" si="15"/>
        <v>#N/A</v>
      </c>
      <c r="AB33" s="1487" t="e">
        <f t="shared" si="16"/>
        <v>#N/A</v>
      </c>
      <c r="AC33" s="1487" t="e">
        <f t="shared" si="17"/>
        <v>#N/A</v>
      </c>
    </row>
    <row r="34" spans="1:29" ht="15">
      <c r="A34" s="430"/>
      <c r="B34" s="380" t="s">
        <v>2143</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509"/>
      <c r="Q34" s="1486" t="str">
        <f t="shared" si="11"/>
        <v>建筑结构</v>
      </c>
      <c r="R34" s="713" t="s">
        <v>21</v>
      </c>
      <c r="S34" s="714">
        <f t="shared" si="12"/>
        <v>100</v>
      </c>
      <c r="T34" s="713" t="s">
        <v>21</v>
      </c>
      <c r="U34" s="714">
        <f t="shared" si="13"/>
        <v>100</v>
      </c>
      <c r="V34" s="713" t="s">
        <v>21</v>
      </c>
      <c r="W34" s="714">
        <f t="shared" si="14"/>
        <v>100</v>
      </c>
      <c r="X34" s="1489"/>
      <c r="Y34" s="3511"/>
      <c r="Z34" s="1490" t="str">
        <f t="shared" si="18"/>
        <v>建筑结构</v>
      </c>
      <c r="AA34" s="1487">
        <f t="shared" si="15"/>
        <v>1</v>
      </c>
      <c r="AB34" s="1487">
        <f t="shared" si="16"/>
        <v>1</v>
      </c>
      <c r="AC34" s="1487">
        <f t="shared" si="17"/>
        <v>1</v>
      </c>
    </row>
    <row r="35" spans="1:29" ht="15">
      <c r="A35" s="430"/>
      <c r="B35" s="380" t="s">
        <v>2144</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509"/>
      <c r="Q35" s="1486" t="str">
        <f t="shared" si="11"/>
        <v>建筑品质</v>
      </c>
      <c r="R35" s="713" t="s">
        <v>21</v>
      </c>
      <c r="S35" s="714">
        <f t="shared" si="12"/>
        <v>100</v>
      </c>
      <c r="T35" s="713" t="s">
        <v>21</v>
      </c>
      <c r="U35" s="714">
        <f t="shared" si="13"/>
        <v>100</v>
      </c>
      <c r="V35" s="713" t="s">
        <v>21</v>
      </c>
      <c r="W35" s="714">
        <f t="shared" si="14"/>
        <v>100</v>
      </c>
      <c r="X35" s="1489"/>
      <c r="Y35" s="3511"/>
      <c r="Z35" s="1490" t="str">
        <f t="shared" si="18"/>
        <v>建筑品质</v>
      </c>
      <c r="AA35" s="1487">
        <f t="shared" si="15"/>
        <v>1</v>
      </c>
      <c r="AB35" s="1487">
        <f t="shared" si="16"/>
        <v>1</v>
      </c>
      <c r="AC35" s="1487">
        <f t="shared" si="17"/>
        <v>1</v>
      </c>
    </row>
    <row r="36" spans="1:29" ht="15">
      <c r="A36" s="430"/>
      <c r="B36" s="380" t="s">
        <v>2145</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509"/>
      <c r="Q36" s="1486" t="str">
        <f t="shared" si="11"/>
        <v>公共部分装修</v>
      </c>
      <c r="R36" s="713" t="s">
        <v>21</v>
      </c>
      <c r="S36" s="714">
        <f t="shared" si="12"/>
        <v>100</v>
      </c>
      <c r="T36" s="713" t="s">
        <v>21</v>
      </c>
      <c r="U36" s="714">
        <f t="shared" si="13"/>
        <v>100</v>
      </c>
      <c r="V36" s="713" t="s">
        <v>21</v>
      </c>
      <c r="W36" s="714">
        <f t="shared" si="14"/>
        <v>100</v>
      </c>
      <c r="X36" s="1489"/>
      <c r="Y36" s="3511"/>
      <c r="Z36" s="1490" t="str">
        <f t="shared" si="18"/>
        <v>公共部分装修</v>
      </c>
      <c r="AA36" s="1487">
        <f t="shared" si="15"/>
        <v>1</v>
      </c>
      <c r="AB36" s="1487">
        <f t="shared" si="16"/>
        <v>1</v>
      </c>
      <c r="AC36" s="1487">
        <f t="shared" si="17"/>
        <v>1</v>
      </c>
    </row>
    <row r="37" spans="1:29" s="112" customFormat="1" ht="15">
      <c r="A37" s="431"/>
      <c r="B37" s="380" t="s">
        <v>2146</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509"/>
      <c r="Q37" s="1477" t="str">
        <f t="shared" si="11"/>
        <v>成新度</v>
      </c>
      <c r="R37" s="709" t="s">
        <v>21</v>
      </c>
      <c r="S37" s="710" t="e">
        <f t="shared" si="12"/>
        <v>#N/A</v>
      </c>
      <c r="T37" s="709" t="s">
        <v>21</v>
      </c>
      <c r="U37" s="710" t="e">
        <f t="shared" si="13"/>
        <v>#N/A</v>
      </c>
      <c r="V37" s="709" t="s">
        <v>21</v>
      </c>
      <c r="W37" s="710" t="e">
        <f t="shared" si="14"/>
        <v>#N/A</v>
      </c>
      <c r="X37" s="711"/>
      <c r="Y37" s="3511"/>
      <c r="Z37" s="55" t="str">
        <f t="shared" si="18"/>
        <v>成新度</v>
      </c>
      <c r="AA37" s="712" t="e">
        <f t="shared" si="15"/>
        <v>#N/A</v>
      </c>
      <c r="AB37" s="712" t="e">
        <f t="shared" si="16"/>
        <v>#N/A</v>
      </c>
      <c r="AC37" s="712" t="e">
        <f t="shared" si="17"/>
        <v>#N/A</v>
      </c>
    </row>
    <row r="38" spans="1:29" ht="15">
      <c r="A38" s="430"/>
      <c r="B38" s="380" t="s">
        <v>2147</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509" t="s">
        <v>2141</v>
      </c>
      <c r="Q38" s="1486" t="str">
        <f t="shared" si="11"/>
        <v>物业管理</v>
      </c>
      <c r="R38" s="713" t="s">
        <v>21</v>
      </c>
      <c r="S38" s="714">
        <f t="shared" si="12"/>
        <v>100</v>
      </c>
      <c r="T38" s="713" t="s">
        <v>21</v>
      </c>
      <c r="U38" s="714">
        <f t="shared" si="13"/>
        <v>100</v>
      </c>
      <c r="V38" s="713" t="s">
        <v>21</v>
      </c>
      <c r="W38" s="714">
        <f t="shared" si="14"/>
        <v>100</v>
      </c>
      <c r="X38" s="1489"/>
      <c r="Y38" s="3511" t="s">
        <v>2141</v>
      </c>
      <c r="Z38" s="1490" t="str">
        <f t="shared" si="18"/>
        <v>物业管理</v>
      </c>
      <c r="AA38" s="1487">
        <f t="shared" si="15"/>
        <v>1</v>
      </c>
      <c r="AB38" s="1487">
        <f t="shared" si="16"/>
        <v>1</v>
      </c>
      <c r="AC38" s="1487">
        <f t="shared" si="17"/>
        <v>1</v>
      </c>
    </row>
    <row r="39" spans="1:29" ht="15">
      <c r="A39" s="430"/>
      <c r="B39" s="380" t="s">
        <v>2148</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509"/>
      <c r="Q39" s="1486" t="str">
        <f t="shared" si="11"/>
        <v>市政基础设施</v>
      </c>
      <c r="R39" s="713" t="s">
        <v>21</v>
      </c>
      <c r="S39" s="714">
        <f t="shared" si="12"/>
        <v>100</v>
      </c>
      <c r="T39" s="713" t="s">
        <v>21</v>
      </c>
      <c r="U39" s="714">
        <f t="shared" si="13"/>
        <v>100</v>
      </c>
      <c r="V39" s="713" t="s">
        <v>21</v>
      </c>
      <c r="W39" s="714">
        <f t="shared" si="14"/>
        <v>100</v>
      </c>
      <c r="X39" s="1489"/>
      <c r="Y39" s="3511"/>
      <c r="Z39" s="1490" t="str">
        <f t="shared" si="18"/>
        <v>市政基础设施</v>
      </c>
      <c r="AA39" s="1487">
        <f t="shared" si="15"/>
        <v>1</v>
      </c>
      <c r="AB39" s="1487">
        <f t="shared" si="16"/>
        <v>1</v>
      </c>
      <c r="AC39" s="1487">
        <f t="shared" si="17"/>
        <v>1</v>
      </c>
    </row>
    <row r="40" spans="1:29" ht="15">
      <c r="A40" s="430"/>
      <c r="B40" s="380" t="s">
        <v>2149</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509"/>
      <c r="Q40" s="1486" t="str">
        <f t="shared" si="11"/>
        <v>房型</v>
      </c>
      <c r="R40" s="713" t="s">
        <v>21</v>
      </c>
      <c r="S40" s="714">
        <f t="shared" si="12"/>
        <v>100</v>
      </c>
      <c r="T40" s="713" t="s">
        <v>21</v>
      </c>
      <c r="U40" s="714">
        <f t="shared" si="13"/>
        <v>100</v>
      </c>
      <c r="V40" s="713" t="s">
        <v>21</v>
      </c>
      <c r="W40" s="714">
        <f t="shared" si="14"/>
        <v>100</v>
      </c>
      <c r="X40" s="1489"/>
      <c r="Y40" s="3511"/>
      <c r="Z40" s="1490" t="str">
        <f t="shared" si="18"/>
        <v>房型</v>
      </c>
      <c r="AA40" s="1487">
        <f t="shared" si="15"/>
        <v>1</v>
      </c>
      <c r="AB40" s="1487">
        <f t="shared" si="16"/>
        <v>1</v>
      </c>
      <c r="AC40" s="1487">
        <f t="shared" si="17"/>
        <v>1</v>
      </c>
    </row>
    <row r="41" spans="1:29" s="429" customFormat="1" ht="28.5">
      <c r="A41" s="426"/>
      <c r="B41" s="380" t="s">
        <v>2150</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509"/>
      <c r="Q41" s="715" t="str">
        <f t="shared" si="11"/>
        <v>单套/主力户型建筑面积</v>
      </c>
      <c r="R41" s="716" t="s">
        <v>21</v>
      </c>
      <c r="S41" s="717">
        <f t="shared" si="12"/>
        <v>100</v>
      </c>
      <c r="T41" s="716" t="s">
        <v>21</v>
      </c>
      <c r="U41" s="717">
        <f t="shared" si="13"/>
        <v>100</v>
      </c>
      <c r="V41" s="716" t="s">
        <v>21</v>
      </c>
      <c r="W41" s="717">
        <f t="shared" si="14"/>
        <v>100</v>
      </c>
      <c r="X41" s="718"/>
      <c r="Y41" s="3511"/>
      <c r="Z41" s="719" t="str">
        <f t="shared" si="18"/>
        <v>单套/主力户型建筑面积</v>
      </c>
      <c r="AA41" s="1487">
        <f t="shared" si="15"/>
        <v>1</v>
      </c>
      <c r="AB41" s="1487">
        <f t="shared" si="16"/>
        <v>1</v>
      </c>
      <c r="AC41" s="1487">
        <f t="shared" si="17"/>
        <v>1</v>
      </c>
    </row>
    <row r="42" spans="1:29" ht="15">
      <c r="A42" s="430"/>
      <c r="B42" s="380" t="s">
        <v>2151</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509"/>
      <c r="Q42" s="1486" t="str">
        <f t="shared" si="11"/>
        <v>内部装修</v>
      </c>
      <c r="R42" s="713" t="s">
        <v>21</v>
      </c>
      <c r="S42" s="714">
        <f t="shared" si="12"/>
        <v>100</v>
      </c>
      <c r="T42" s="713" t="s">
        <v>21</v>
      </c>
      <c r="U42" s="714">
        <f t="shared" si="13"/>
        <v>100</v>
      </c>
      <c r="V42" s="713" t="s">
        <v>21</v>
      </c>
      <c r="W42" s="714">
        <f t="shared" si="14"/>
        <v>100</v>
      </c>
      <c r="X42" s="1489"/>
      <c r="Y42" s="3511"/>
      <c r="Z42" s="1490" t="str">
        <f t="shared" si="18"/>
        <v>内部装修</v>
      </c>
      <c r="AA42" s="1487">
        <f t="shared" si="15"/>
        <v>1</v>
      </c>
      <c r="AB42" s="1487">
        <f t="shared" si="16"/>
        <v>1</v>
      </c>
      <c r="AC42" s="1487">
        <f t="shared" si="17"/>
        <v>1</v>
      </c>
    </row>
    <row r="43" spans="1:29" ht="15">
      <c r="A43" s="430"/>
      <c r="B43" s="380" t="s">
        <v>2152</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509"/>
      <c r="Q43" s="1486" t="str">
        <f t="shared" si="11"/>
        <v>内部装修维护情况</v>
      </c>
      <c r="R43" s="713" t="s">
        <v>21</v>
      </c>
      <c r="S43" s="714">
        <f t="shared" si="12"/>
        <v>100</v>
      </c>
      <c r="T43" s="713" t="s">
        <v>21</v>
      </c>
      <c r="U43" s="714">
        <f t="shared" si="13"/>
        <v>100</v>
      </c>
      <c r="V43" s="713" t="s">
        <v>21</v>
      </c>
      <c r="W43" s="714">
        <f t="shared" si="14"/>
        <v>100</v>
      </c>
      <c r="X43" s="1489"/>
      <c r="Y43" s="3511"/>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509"/>
      <c r="Q44" s="1477">
        <f t="shared" si="11"/>
        <v>111</v>
      </c>
      <c r="R44" s="709" t="s">
        <v>21</v>
      </c>
      <c r="S44" s="710">
        <f t="shared" si="12"/>
        <v>100</v>
      </c>
      <c r="T44" s="709" t="s">
        <v>21</v>
      </c>
      <c r="U44" s="710">
        <f t="shared" si="13"/>
        <v>100</v>
      </c>
      <c r="V44" s="709" t="s">
        <v>21</v>
      </c>
      <c r="W44" s="710">
        <f t="shared" si="14"/>
        <v>100</v>
      </c>
      <c r="X44" s="711"/>
      <c r="Y44" s="3511"/>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509"/>
      <c r="Q45" s="1486">
        <f t="shared" si="11"/>
        <v>111</v>
      </c>
      <c r="R45" s="713" t="s">
        <v>21</v>
      </c>
      <c r="S45" s="714">
        <f t="shared" si="12"/>
        <v>100</v>
      </c>
      <c r="T45" s="713" t="s">
        <v>21</v>
      </c>
      <c r="U45" s="714">
        <f t="shared" si="13"/>
        <v>100</v>
      </c>
      <c r="V45" s="713" t="s">
        <v>21</v>
      </c>
      <c r="W45" s="714">
        <f t="shared" si="14"/>
        <v>100</v>
      </c>
      <c r="X45" s="1489"/>
      <c r="Y45" s="3511"/>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510"/>
      <c r="Q46" s="1486">
        <f t="shared" si="11"/>
        <v>111</v>
      </c>
      <c r="R46" s="713" t="s">
        <v>20</v>
      </c>
      <c r="S46" s="714">
        <f t="shared" si="12"/>
        <v>100</v>
      </c>
      <c r="T46" s="713" t="s">
        <v>20</v>
      </c>
      <c r="U46" s="714">
        <f t="shared" si="13"/>
        <v>100</v>
      </c>
      <c r="V46" s="713" t="s">
        <v>20</v>
      </c>
      <c r="W46" s="714">
        <f t="shared" si="14"/>
        <v>100</v>
      </c>
      <c r="X46" s="1489"/>
      <c r="Y46" s="3512"/>
      <c r="Z46" s="1490">
        <f t="shared" si="18"/>
        <v>111</v>
      </c>
      <c r="AA46" s="1487">
        <f t="shared" si="15"/>
        <v>1</v>
      </c>
      <c r="AB46" s="1487">
        <f t="shared" si="16"/>
        <v>1</v>
      </c>
      <c r="AC46" s="1487">
        <f t="shared" si="17"/>
        <v>1</v>
      </c>
    </row>
    <row r="47" spans="1:29" ht="15">
      <c r="A47" s="437" t="s">
        <v>2153</v>
      </c>
      <c r="B47" s="438"/>
      <c r="C47" s="1268" t="s">
        <v>19</v>
      </c>
      <c r="D47" s="1269"/>
      <c r="E47" s="1270"/>
      <c r="F47" s="1271"/>
      <c r="G47" s="1272"/>
      <c r="H47" s="1273"/>
      <c r="I47" s="1270"/>
      <c r="J47" s="1273"/>
      <c r="K47" s="2050"/>
      <c r="L47" s="2902"/>
      <c r="M47" s="2903"/>
      <c r="N47" s="2894"/>
      <c r="O47" s="2903"/>
      <c r="P47" s="3504" t="str">
        <f>A47</f>
        <v>成交单价（元/平方米）</v>
      </c>
      <c r="Q47" s="3504"/>
      <c r="R47" s="3505">
        <f>E47</f>
        <v>0</v>
      </c>
      <c r="S47" s="3505"/>
      <c r="T47" s="3505">
        <f>G47</f>
        <v>0</v>
      </c>
      <c r="U47" s="3505"/>
      <c r="V47" s="3505">
        <f>I47</f>
        <v>0</v>
      </c>
      <c r="W47" s="3505"/>
      <c r="X47" s="698"/>
      <c r="Y47" s="720"/>
      <c r="Z47" s="698"/>
      <c r="AA47" s="698"/>
      <c r="AB47" s="698"/>
      <c r="AC47" s="698"/>
    </row>
    <row r="48" spans="1:29" ht="15.75" thickBot="1">
      <c r="A48" s="444" t="s">
        <v>2154</v>
      </c>
      <c r="B48" s="445"/>
      <c r="C48" s="1274" t="e">
        <f>R49</f>
        <v>#DIV/0!</v>
      </c>
      <c r="D48" s="2488" t="s">
        <v>2635</v>
      </c>
      <c r="E48" s="1275" t="e">
        <f>R48</f>
        <v>#DIV/0!</v>
      </c>
      <c r="F48" s="2489"/>
      <c r="G48" s="1274" t="e">
        <f>T48</f>
        <v>#DIV/0!</v>
      </c>
      <c r="H48" s="2489"/>
      <c r="I48" s="1275" t="e">
        <f>V48</f>
        <v>#DIV/0!</v>
      </c>
      <c r="J48" s="2489"/>
      <c r="K48" s="2490">
        <f>F48+H48+J48</f>
        <v>0</v>
      </c>
      <c r="L48" s="2902"/>
      <c r="M48" s="2903"/>
      <c r="N48" s="2903"/>
      <c r="O48" s="2903"/>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8"/>
      <c r="Y48" s="698"/>
      <c r="Z48" s="698"/>
      <c r="AA48" s="698"/>
      <c r="AB48" s="698"/>
      <c r="AC48" s="698"/>
    </row>
    <row r="49" spans="1:29" ht="15.75" thickBot="1">
      <c r="A49" s="448" t="s">
        <v>2155</v>
      </c>
      <c r="B49" s="449"/>
      <c r="C49" s="1276" t="e">
        <f>R49</f>
        <v>#DIV/0!</v>
      </c>
      <c r="D49" s="1277"/>
      <c r="E49" s="1277"/>
      <c r="F49" s="1277"/>
      <c r="G49" s="1277"/>
      <c r="H49" s="1277"/>
      <c r="I49" s="1277"/>
      <c r="J49" s="1277"/>
      <c r="K49" s="2051"/>
      <c r="L49" s="2902"/>
      <c r="M49" s="2903"/>
      <c r="N49" s="2903"/>
      <c r="O49" s="2903"/>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2156</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2157</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2158</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2159</v>
      </c>
      <c r="B57" s="698"/>
      <c r="C57" s="703"/>
      <c r="D57" s="703"/>
      <c r="E57" s="703"/>
      <c r="F57" s="704"/>
      <c r="G57" s="704"/>
      <c r="H57" s="703"/>
      <c r="I57" s="703"/>
      <c r="J57" s="703"/>
      <c r="K57" s="1052"/>
      <c r="L57" s="1053"/>
      <c r="M57" s="1051"/>
      <c r="N57" s="1051"/>
      <c r="O57" s="1051"/>
      <c r="P57" s="2054"/>
      <c r="Q57" s="460"/>
    </row>
    <row r="58" spans="1:29" s="464" customFormat="1" ht="15">
      <c r="A58" s="461" t="s">
        <v>2160</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2161</v>
      </c>
      <c r="B60" s="472"/>
      <c r="C60" s="473"/>
      <c r="D60" s="474"/>
      <c r="E60" s="474"/>
      <c r="F60" s="474"/>
      <c r="G60" s="474"/>
      <c r="H60" s="474"/>
      <c r="I60" s="474"/>
      <c r="J60" s="474"/>
      <c r="K60" s="474"/>
      <c r="L60" s="474"/>
      <c r="M60" s="475"/>
      <c r="N60" s="474"/>
      <c r="O60" s="475"/>
      <c r="P60" s="2056"/>
      <c r="Q60" s="460"/>
    </row>
    <row r="61" spans="1:29" s="112" customFormat="1" ht="15">
      <c r="A61" s="477" t="s">
        <v>2162</v>
      </c>
      <c r="B61" s="466"/>
      <c r="C61" s="478" t="s">
        <v>2163</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2164</v>
      </c>
      <c r="B63" s="484" t="s">
        <v>2130</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2133</v>
      </c>
      <c r="C65" s="495" t="s">
        <v>2165</v>
      </c>
      <c r="D65" s="495" t="s">
        <v>2166</v>
      </c>
      <c r="E65" s="495" t="s">
        <v>2167</v>
      </c>
      <c r="F65" s="495" t="s">
        <v>2168</v>
      </c>
      <c r="G65" s="495" t="s">
        <v>2169</v>
      </c>
      <c r="H65" s="495" t="s">
        <v>2170</v>
      </c>
      <c r="I65" s="495" t="s">
        <v>2171</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2134</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2135</v>
      </c>
      <c r="B76" s="484" t="s">
        <v>2172</v>
      </c>
      <c r="C76" s="529" t="s">
        <v>2173</v>
      </c>
      <c r="D76" s="529" t="s">
        <v>2174</v>
      </c>
      <c r="E76" s="529" t="s">
        <v>2175</v>
      </c>
      <c r="F76" s="529" t="s">
        <v>2176</v>
      </c>
      <c r="G76" s="529" t="s">
        <v>2177</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2178</v>
      </c>
      <c r="C78" s="534" t="s">
        <v>2173</v>
      </c>
      <c r="D78" s="534" t="s">
        <v>2174</v>
      </c>
      <c r="E78" s="534" t="s">
        <v>2175</v>
      </c>
      <c r="F78" s="534" t="s">
        <v>2176</v>
      </c>
      <c r="G78" s="534" t="s">
        <v>2177</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2179</v>
      </c>
      <c r="C80" s="534" t="s">
        <v>2173</v>
      </c>
      <c r="D80" s="534" t="s">
        <v>2174</v>
      </c>
      <c r="E80" s="534" t="s">
        <v>2175</v>
      </c>
      <c r="F80" s="534" t="s">
        <v>2176</v>
      </c>
      <c r="G80" s="534" t="s">
        <v>2177</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1704</v>
      </c>
      <c r="C82" s="495" t="s">
        <v>2180</v>
      </c>
      <c r="D82" s="495" t="s">
        <v>2181</v>
      </c>
      <c r="E82" s="495" t="s">
        <v>2182</v>
      </c>
      <c r="F82" s="495" t="s">
        <v>2183</v>
      </c>
      <c r="G82" s="495" t="s">
        <v>2184</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2185</v>
      </c>
      <c r="C84" s="534" t="s">
        <v>2173</v>
      </c>
      <c r="D84" s="534" t="s">
        <v>2174</v>
      </c>
      <c r="E84" s="534" t="s">
        <v>2175</v>
      </c>
      <c r="F84" s="534" t="s">
        <v>2176</v>
      </c>
      <c r="G84" s="534" t="s">
        <v>2177</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2186</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2187</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2139</v>
      </c>
      <c r="B100" s="484" t="s">
        <v>2188</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2189</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2190</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2191</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2192</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2193</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2194</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2195</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2150</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2196</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2197</v>
      </c>
      <c r="C124" s="534" t="s">
        <v>2173</v>
      </c>
      <c r="D124" s="534" t="s">
        <v>2174</v>
      </c>
      <c r="E124" s="534" t="s">
        <v>2175</v>
      </c>
      <c r="F124" s="534" t="s">
        <v>2176</v>
      </c>
      <c r="G124" s="534" t="s">
        <v>2177</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2198</v>
      </c>
    </row>
    <row r="137" spans="1:17" ht="15">
      <c r="B137" s="2066" t="s">
        <v>2199</v>
      </c>
      <c r="C137" s="2067"/>
      <c r="D137" s="2067"/>
      <c r="E137" s="2067"/>
      <c r="F137" s="2067"/>
      <c r="G137" s="2068"/>
      <c r="H137" s="2069"/>
      <c r="I137" s="2070" t="s">
        <v>2200</v>
      </c>
      <c r="J137" s="2067"/>
      <c r="K137" s="2071"/>
    </row>
    <row r="138" spans="1:17" ht="15">
      <c r="B138" s="2072"/>
      <c r="C138" s="141" t="s">
        <v>2201</v>
      </c>
      <c r="D138" s="141" t="s">
        <v>2202</v>
      </c>
      <c r="E138" s="2073" t="s">
        <v>2203</v>
      </c>
      <c r="F138" s="2074" t="s">
        <v>2204</v>
      </c>
      <c r="G138" s="141" t="s">
        <v>2202</v>
      </c>
      <c r="H138" s="142" t="s">
        <v>2203</v>
      </c>
      <c r="I138" s="2075"/>
      <c r="J138" s="141" t="s">
        <v>2205</v>
      </c>
      <c r="K138" s="142" t="s">
        <v>2206</v>
      </c>
    </row>
    <row r="139" spans="1:17" ht="15">
      <c r="B139" s="978">
        <v>6</v>
      </c>
      <c r="C139" s="979">
        <v>96</v>
      </c>
      <c r="D139" s="2076" t="s">
        <v>2207</v>
      </c>
      <c r="E139" s="980">
        <v>100</v>
      </c>
      <c r="F139" s="981">
        <v>102.5</v>
      </c>
      <c r="G139" s="2076" t="s">
        <v>2207</v>
      </c>
      <c r="H139" s="982">
        <v>105</v>
      </c>
      <c r="I139" s="2077" t="s">
        <v>2208</v>
      </c>
      <c r="J139" s="979">
        <v>20</v>
      </c>
      <c r="K139" s="983">
        <f>C145/(J139-2)</f>
        <v>4.0555555555555553E-3</v>
      </c>
    </row>
    <row r="140" spans="1:17" ht="15">
      <c r="B140" s="984">
        <v>5</v>
      </c>
      <c r="C140" s="985">
        <v>100</v>
      </c>
      <c r="D140" s="985"/>
      <c r="E140" s="986"/>
      <c r="F140" s="987">
        <v>102</v>
      </c>
      <c r="G140" s="985"/>
      <c r="H140" s="988"/>
      <c r="I140" s="2078" t="s">
        <v>2209</v>
      </c>
      <c r="J140" s="276">
        <f>ROUNDUP((J139-1)/2,0)</f>
        <v>10</v>
      </c>
      <c r="K140" s="989">
        <v>100</v>
      </c>
    </row>
    <row r="141" spans="1:17" ht="15">
      <c r="B141" s="984">
        <v>4</v>
      </c>
      <c r="C141" s="985">
        <v>102</v>
      </c>
      <c r="D141" s="985"/>
      <c r="E141" s="986"/>
      <c r="F141" s="987">
        <v>101.5</v>
      </c>
      <c r="G141" s="985"/>
      <c r="H141" s="988"/>
      <c r="I141" s="2078" t="s">
        <v>2210</v>
      </c>
      <c r="J141" s="276">
        <v>1</v>
      </c>
      <c r="K141" s="990">
        <f>ROUND(100+(J141-J140)*K139*100,1)</f>
        <v>96.4</v>
      </c>
    </row>
    <row r="142" spans="1:17" ht="15">
      <c r="B142" s="984">
        <v>3</v>
      </c>
      <c r="C142" s="985">
        <v>103</v>
      </c>
      <c r="D142" s="985"/>
      <c r="E142" s="986"/>
      <c r="F142" s="987">
        <v>101</v>
      </c>
      <c r="G142" s="985"/>
      <c r="H142" s="988"/>
      <c r="I142" s="2078" t="s">
        <v>2211</v>
      </c>
      <c r="J142" s="276">
        <f>J139</f>
        <v>20</v>
      </c>
      <c r="K142" s="991">
        <v>95</v>
      </c>
    </row>
    <row r="143" spans="1:17" ht="15">
      <c r="B143" s="984">
        <v>2</v>
      </c>
      <c r="C143" s="985">
        <v>100</v>
      </c>
      <c r="D143" s="985"/>
      <c r="E143" s="986"/>
      <c r="F143" s="987">
        <v>100.5</v>
      </c>
      <c r="G143" s="985"/>
      <c r="H143" s="988"/>
      <c r="I143" s="2078" t="s">
        <v>2212</v>
      </c>
      <c r="J143" s="985">
        <v>15</v>
      </c>
      <c r="K143" s="990">
        <f>ROUND(100+(J143-J140)*K139*100,1)</f>
        <v>102</v>
      </c>
    </row>
    <row r="144" spans="1:17" ht="15">
      <c r="B144" s="984">
        <v>1</v>
      </c>
      <c r="C144" s="985">
        <v>98</v>
      </c>
      <c r="D144" s="2079" t="s">
        <v>2213</v>
      </c>
      <c r="E144" s="986">
        <v>102</v>
      </c>
      <c r="F144" s="992">
        <v>100</v>
      </c>
      <c r="G144" s="2079" t="s">
        <v>2213</v>
      </c>
      <c r="H144" s="988">
        <v>105</v>
      </c>
      <c r="I144" s="2078" t="s">
        <v>2212</v>
      </c>
      <c r="J144" s="985">
        <v>18</v>
      </c>
      <c r="K144" s="990">
        <f>ROUND(100+(J144-J140)*K139*100,1)</f>
        <v>103.2</v>
      </c>
    </row>
    <row r="145" spans="2:11" ht="15.75" thickBot="1">
      <c r="B145" s="2080" t="s">
        <v>2214</v>
      </c>
      <c r="C145" s="993">
        <f>ROUND(MAX(C139:C144)/MIN(C139:C144)-1,3)</f>
        <v>7.2999999999999995E-2</v>
      </c>
      <c r="D145" s="994"/>
      <c r="E145" s="994"/>
      <c r="F145" s="2081" t="s">
        <v>2215</v>
      </c>
      <c r="G145" s="2082"/>
      <c r="H145" s="2083"/>
      <c r="I145" s="2084" t="s">
        <v>2212</v>
      </c>
      <c r="J145" s="995">
        <v>8</v>
      </c>
      <c r="K145" s="996">
        <f>ROUND(100+(J145-J140)*K139*100,1)</f>
        <v>99.2</v>
      </c>
    </row>
    <row r="147" spans="2:11">
      <c r="B147" s="2065" t="s">
        <v>2216</v>
      </c>
    </row>
    <row r="148" spans="2:11">
      <c r="B148" s="2065"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14" t="s">
        <v>2218</v>
      </c>
      <c r="C1" s="1358" t="s">
        <v>2106</v>
      </c>
      <c r="D1" s="1345"/>
      <c r="E1" s="2493"/>
      <c r="F1" s="2015"/>
      <c r="G1" s="1355" t="s">
        <v>2219</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1906</v>
      </c>
      <c r="B2" s="1278" t="e">
        <f ca="1">IF(C2="——",ROUND(C49*D3/10000,0),ROUND(C49*D3/10000,0)-D2)</f>
        <v>#DIV/0!</v>
      </c>
      <c r="C2" s="2017"/>
      <c r="D2" s="1227" t="e">
        <f ca="1">SUMIF(INDIRECT("'"&amp;F2&amp;"'"&amp;"!A:A"),"承租人权益价值",INDIRECT("'"&amp;F2&amp;"'"&amp;"!c:c"))</f>
        <v>#REF!</v>
      </c>
      <c r="E2" s="2018" t="s">
        <v>1907</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1908</v>
      </c>
      <c r="B3" s="565" t="e">
        <f ca="1">IF(C2="——",C49,ROUND(B2*10000/D3,0))</f>
        <v>#DIV/0!</v>
      </c>
      <c r="C3" s="359" t="s">
        <v>2220</v>
      </c>
      <c r="D3" s="358">
        <f>IF(D1="",'数据-汇总表'!E3,SUMIF('数据-汇总表'!$C19:$C33,D1,'数据-汇总表'!$E19:$E33))</f>
        <v>51495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2221</v>
      </c>
      <c r="B4" s="361"/>
      <c r="C4" s="3487" t="s">
        <v>2222</v>
      </c>
      <c r="D4" s="3488"/>
      <c r="E4" s="3489" t="s">
        <v>2223</v>
      </c>
      <c r="F4" s="3490"/>
      <c r="G4" s="3487" t="s">
        <v>2224</v>
      </c>
      <c r="H4" s="3488"/>
      <c r="I4" s="3487" t="s">
        <v>2225</v>
      </c>
      <c r="J4" s="3488"/>
      <c r="K4" s="566" t="s">
        <v>2226</v>
      </c>
      <c r="L4" s="2893"/>
      <c r="M4" s="2894"/>
      <c r="N4" s="2894"/>
      <c r="O4" s="2894"/>
      <c r="P4" s="3491" t="s">
        <v>2227</v>
      </c>
      <c r="Q4" s="3492"/>
      <c r="R4" s="3474" t="s">
        <v>2223</v>
      </c>
      <c r="S4" s="3475"/>
      <c r="T4" s="3474" t="s">
        <v>2224</v>
      </c>
      <c r="U4" s="3475"/>
      <c r="V4" s="3499" t="s">
        <v>2225</v>
      </c>
      <c r="W4" s="3499"/>
      <c r="X4" s="1489"/>
      <c r="Y4" s="3474" t="s">
        <v>2227</v>
      </c>
      <c r="Z4" s="3475"/>
      <c r="AA4" s="3469" t="s">
        <v>2223</v>
      </c>
      <c r="AB4" s="3499" t="s">
        <v>2224</v>
      </c>
      <c r="AC4" s="3469" t="s">
        <v>2225</v>
      </c>
    </row>
    <row r="5" spans="1:29" ht="15">
      <c r="A5" s="363"/>
      <c r="B5" s="364"/>
      <c r="C5" s="3480" t="s">
        <v>2118</v>
      </c>
      <c r="D5" s="3481"/>
      <c r="E5" s="3478" t="s">
        <v>2119</v>
      </c>
      <c r="F5" s="3479"/>
      <c r="G5" s="3480" t="s">
        <v>2120</v>
      </c>
      <c r="H5" s="3481"/>
      <c r="I5" s="3480" t="s">
        <v>2121</v>
      </c>
      <c r="J5" s="3481"/>
      <c r="K5" s="566"/>
      <c r="L5" s="2893"/>
      <c r="M5" s="2894"/>
      <c r="N5" s="2894"/>
      <c r="O5" s="2894"/>
      <c r="P5" s="3493"/>
      <c r="Q5" s="3494"/>
      <c r="R5" s="3476"/>
      <c r="S5" s="3477"/>
      <c r="T5" s="3476"/>
      <c r="U5" s="3477"/>
      <c r="V5" s="3499"/>
      <c r="W5" s="3499"/>
      <c r="X5" s="1489"/>
      <c r="Y5" s="3476"/>
      <c r="Z5" s="3477"/>
      <c r="AA5" s="3470"/>
      <c r="AB5" s="3499"/>
      <c r="AC5" s="3470"/>
    </row>
    <row r="6" spans="1:29" ht="15.75" thickBot="1">
      <c r="A6" s="365"/>
      <c r="B6" s="366"/>
      <c r="C6" s="3482" t="s">
        <v>2122</v>
      </c>
      <c r="D6" s="3483"/>
      <c r="E6" s="3484" t="s">
        <v>2122</v>
      </c>
      <c r="F6" s="3485"/>
      <c r="G6" s="3482" t="s">
        <v>2122</v>
      </c>
      <c r="H6" s="3483"/>
      <c r="I6" s="3482" t="s">
        <v>2122</v>
      </c>
      <c r="J6" s="3483"/>
      <c r="K6" s="566" t="s">
        <v>2123</v>
      </c>
      <c r="L6" s="2893"/>
      <c r="M6" s="2894"/>
      <c r="N6" s="2894"/>
      <c r="O6" s="2894"/>
      <c r="P6" s="3495"/>
      <c r="Q6" s="3496"/>
      <c r="R6" s="3476"/>
      <c r="S6" s="3477"/>
      <c r="T6" s="3497"/>
      <c r="U6" s="3498"/>
      <c r="V6" s="3499"/>
      <c r="W6" s="3499"/>
      <c r="X6" s="1489"/>
      <c r="Y6" s="3497"/>
      <c r="Z6" s="3498"/>
      <c r="AA6" s="3471"/>
      <c r="AB6" s="3499"/>
      <c r="AC6" s="3471"/>
    </row>
    <row r="7" spans="1:29" s="112" customFormat="1" ht="15.75" thickBot="1">
      <c r="A7" s="367" t="s">
        <v>2124</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95"/>
      <c r="M7" s="2896"/>
      <c r="N7" s="2896"/>
      <c r="O7" s="2896"/>
      <c r="P7" s="3472" t="s">
        <v>2125</v>
      </c>
      <c r="Q7" s="3500"/>
      <c r="R7" s="709" t="s">
        <v>17</v>
      </c>
      <c r="S7" s="710">
        <f t="shared" ref="S7:S15" si="0">F7</f>
        <v>0</v>
      </c>
      <c r="T7" s="709" t="s">
        <v>17</v>
      </c>
      <c r="U7" s="710">
        <f t="shared" ref="U7:U15" si="1">H7</f>
        <v>0</v>
      </c>
      <c r="V7" s="709" t="s">
        <v>17</v>
      </c>
      <c r="W7" s="710">
        <f t="shared" ref="W7:W15" si="2">J7</f>
        <v>0</v>
      </c>
      <c r="X7" s="711"/>
      <c r="Y7" s="3472" t="s">
        <v>2125</v>
      </c>
      <c r="Z7" s="3473"/>
      <c r="AA7" s="712" t="e">
        <f>D7/F7</f>
        <v>#DIV/0!</v>
      </c>
      <c r="AB7" s="712" t="e">
        <f>D7/H7</f>
        <v>#DIV/0!</v>
      </c>
      <c r="AC7" s="712" t="e">
        <f>D7/J7</f>
        <v>#DIV/0!</v>
      </c>
    </row>
    <row r="8" spans="1:29" s="112" customFormat="1" ht="15.75" thickBot="1">
      <c r="A8" s="367" t="s">
        <v>2126</v>
      </c>
      <c r="B8" s="368"/>
      <c r="C8" s="373" t="s">
        <v>2228</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472" t="s">
        <v>2128</v>
      </c>
      <c r="Q8" s="3473"/>
      <c r="R8" s="709" t="s">
        <v>17</v>
      </c>
      <c r="S8" s="710">
        <f t="shared" si="0"/>
        <v>0</v>
      </c>
      <c r="T8" s="709" t="s">
        <v>17</v>
      </c>
      <c r="U8" s="710">
        <f t="shared" si="1"/>
        <v>0</v>
      </c>
      <c r="V8" s="709" t="s">
        <v>17</v>
      </c>
      <c r="W8" s="710">
        <f t="shared" si="2"/>
        <v>0</v>
      </c>
      <c r="X8" s="711"/>
      <c r="Y8" s="3472" t="s">
        <v>2128</v>
      </c>
      <c r="Z8" s="3473"/>
      <c r="AA8" s="712" t="e">
        <f t="shared" ref="AA8:AA46" si="3">D8/F8</f>
        <v>#DIV/0!</v>
      </c>
      <c r="AB8" s="712" t="e">
        <f t="shared" ref="AB8:AB46" si="4">D8/H8</f>
        <v>#DIV/0!</v>
      </c>
      <c r="AC8" s="712" t="e">
        <f t="shared" ref="AC8:AC46" si="5">D8/J8</f>
        <v>#DIV/0!</v>
      </c>
    </row>
    <row r="9" spans="1:29" s="112" customFormat="1">
      <c r="A9" s="374" t="s">
        <v>2129</v>
      </c>
      <c r="B9" s="67" t="s">
        <v>2130</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86" t="s">
        <v>2131</v>
      </c>
      <c r="Q9" s="1477" t="str">
        <f t="shared" ref="Q9:Q15" si="6">B9</f>
        <v>用途</v>
      </c>
      <c r="R9" s="709" t="s">
        <v>17</v>
      </c>
      <c r="S9" s="710">
        <f t="shared" si="0"/>
        <v>100</v>
      </c>
      <c r="T9" s="709" t="s">
        <v>17</v>
      </c>
      <c r="U9" s="710">
        <f t="shared" si="1"/>
        <v>100</v>
      </c>
      <c r="V9" s="709" t="s">
        <v>17</v>
      </c>
      <c r="W9" s="710">
        <f t="shared" si="2"/>
        <v>100</v>
      </c>
      <c r="X9" s="711"/>
      <c r="Y9" s="3416"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416"/>
      <c r="Z10" s="55" t="str">
        <f t="shared" si="7"/>
        <v>土地使用年限（年）</v>
      </c>
      <c r="AA10" s="712">
        <f t="shared" si="3"/>
        <v>1</v>
      </c>
      <c r="AB10" s="712">
        <f t="shared" si="4"/>
        <v>1</v>
      </c>
      <c r="AC10" s="712">
        <f t="shared" si="5"/>
        <v>1</v>
      </c>
    </row>
    <row r="11" spans="1:29" ht="15">
      <c r="A11" s="386"/>
      <c r="B11" s="380" t="s">
        <v>2134</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86"/>
      <c r="Q11" s="1477" t="str">
        <f t="shared" si="6"/>
        <v>容积率</v>
      </c>
      <c r="R11" s="709" t="s">
        <v>17</v>
      </c>
      <c r="S11" s="710" t="e">
        <f t="shared" si="0"/>
        <v>#N/A</v>
      </c>
      <c r="T11" s="709" t="s">
        <v>17</v>
      </c>
      <c r="U11" s="710" t="e">
        <f t="shared" si="1"/>
        <v>#N/A</v>
      </c>
      <c r="V11" s="709" t="s">
        <v>17</v>
      </c>
      <c r="W11" s="710" t="e">
        <f t="shared" si="2"/>
        <v>#N/A</v>
      </c>
      <c r="X11" s="711"/>
      <c r="Y11" s="3416"/>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86"/>
      <c r="Q12" s="1477">
        <f t="shared" si="6"/>
        <v>111</v>
      </c>
      <c r="R12" s="709" t="s">
        <v>17</v>
      </c>
      <c r="S12" s="710">
        <f t="shared" si="0"/>
        <v>100</v>
      </c>
      <c r="T12" s="709" t="s">
        <v>17</v>
      </c>
      <c r="U12" s="710">
        <f t="shared" si="1"/>
        <v>100</v>
      </c>
      <c r="V12" s="709" t="s">
        <v>17</v>
      </c>
      <c r="W12" s="710">
        <f t="shared" si="2"/>
        <v>100</v>
      </c>
      <c r="X12" s="711"/>
      <c r="Y12" s="3416"/>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86"/>
      <c r="Q13" s="1477">
        <f t="shared" si="6"/>
        <v>111</v>
      </c>
      <c r="R13" s="709" t="s">
        <v>17</v>
      </c>
      <c r="S13" s="710">
        <f t="shared" si="0"/>
        <v>100</v>
      </c>
      <c r="T13" s="709" t="s">
        <v>17</v>
      </c>
      <c r="U13" s="710">
        <f t="shared" si="1"/>
        <v>100</v>
      </c>
      <c r="V13" s="709" t="s">
        <v>17</v>
      </c>
      <c r="W13" s="710">
        <f t="shared" si="2"/>
        <v>100</v>
      </c>
      <c r="X13" s="711"/>
      <c r="Y13" s="3416"/>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86"/>
      <c r="Q14" s="1477">
        <f t="shared" si="6"/>
        <v>111</v>
      </c>
      <c r="R14" s="709" t="s">
        <v>17</v>
      </c>
      <c r="S14" s="710">
        <f t="shared" si="0"/>
        <v>100</v>
      </c>
      <c r="T14" s="709" t="s">
        <v>17</v>
      </c>
      <c r="U14" s="710">
        <f t="shared" si="1"/>
        <v>100</v>
      </c>
      <c r="V14" s="709" t="s">
        <v>17</v>
      </c>
      <c r="W14" s="710">
        <f t="shared" si="2"/>
        <v>100</v>
      </c>
      <c r="X14" s="711"/>
      <c r="Y14" s="3416"/>
      <c r="Z14" s="55">
        <f t="shared" si="7"/>
        <v>111</v>
      </c>
      <c r="AA14" s="712">
        <f t="shared" si="3"/>
        <v>1</v>
      </c>
      <c r="AB14" s="712">
        <f t="shared" si="4"/>
        <v>1</v>
      </c>
      <c r="AC14" s="712">
        <f t="shared" si="5"/>
        <v>1</v>
      </c>
    </row>
    <row r="15" spans="1:29" ht="71.25">
      <c r="A15" s="398" t="s">
        <v>2135</v>
      </c>
      <c r="B15" s="65" t="s">
        <v>2229</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513" t="s">
        <v>2136</v>
      </c>
      <c r="Q15" s="1486" t="str">
        <f t="shared" si="6"/>
        <v>商业繁华度</v>
      </c>
      <c r="R15" s="713" t="s">
        <v>17</v>
      </c>
      <c r="S15" s="714">
        <f t="shared" si="0"/>
        <v>100</v>
      </c>
      <c r="T15" s="713" t="s">
        <v>17</v>
      </c>
      <c r="U15" s="714">
        <f t="shared" si="1"/>
        <v>100</v>
      </c>
      <c r="V15" s="713" t="s">
        <v>17</v>
      </c>
      <c r="W15" s="714">
        <f t="shared" si="2"/>
        <v>100</v>
      </c>
      <c r="X15" s="1489"/>
      <c r="Y15" s="3506" t="s">
        <v>2136</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514"/>
      <c r="Q16" s="1486"/>
      <c r="R16" s="713"/>
      <c r="S16" s="714"/>
      <c r="T16" s="713"/>
      <c r="U16" s="714"/>
      <c r="V16" s="713"/>
      <c r="W16" s="714"/>
      <c r="X16" s="1489"/>
      <c r="Y16" s="3507"/>
      <c r="Z16" s="1490"/>
      <c r="AA16" s="1487">
        <v>1</v>
      </c>
      <c r="AB16" s="1487">
        <v>1</v>
      </c>
      <c r="AC16" s="1487">
        <v>1</v>
      </c>
    </row>
    <row r="17" spans="1:29" ht="85.5">
      <c r="A17" s="386"/>
      <c r="B17" s="409" t="s">
        <v>1703</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514"/>
      <c r="Q17" s="1486" t="str">
        <f>B17</f>
        <v>交通便捷度</v>
      </c>
      <c r="R17" s="713" t="s">
        <v>17</v>
      </c>
      <c r="S17" s="714">
        <f>F17</f>
        <v>100</v>
      </c>
      <c r="T17" s="713" t="s">
        <v>17</v>
      </c>
      <c r="U17" s="714">
        <f>H17</f>
        <v>100</v>
      </c>
      <c r="V17" s="713" t="s">
        <v>17</v>
      </c>
      <c r="W17" s="714">
        <f>J17</f>
        <v>100</v>
      </c>
      <c r="X17" s="1489"/>
      <c r="Y17" s="350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514"/>
      <c r="Q18" s="1486"/>
      <c r="R18" s="713"/>
      <c r="S18" s="714"/>
      <c r="T18" s="713"/>
      <c r="U18" s="714"/>
      <c r="V18" s="713"/>
      <c r="W18" s="714"/>
      <c r="X18" s="1489"/>
      <c r="Y18" s="3507"/>
      <c r="Z18" s="1490"/>
      <c r="AA18" s="1487">
        <v>1</v>
      </c>
      <c r="AB18" s="1487">
        <v>1</v>
      </c>
      <c r="AC18" s="1487">
        <v>1</v>
      </c>
    </row>
    <row r="19" spans="1:29" ht="42.75">
      <c r="A19" s="386"/>
      <c r="B19" s="409" t="s">
        <v>2230</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514"/>
      <c r="Q19" s="1486" t="str">
        <f>B19</f>
        <v>公共配套设施</v>
      </c>
      <c r="R19" s="713" t="s">
        <v>17</v>
      </c>
      <c r="S19" s="714">
        <f>F19</f>
        <v>100</v>
      </c>
      <c r="T19" s="713" t="s">
        <v>17</v>
      </c>
      <c r="U19" s="714">
        <f>H19</f>
        <v>100</v>
      </c>
      <c r="V19" s="713" t="s">
        <v>17</v>
      </c>
      <c r="W19" s="714">
        <f>J19</f>
        <v>100</v>
      </c>
      <c r="X19" s="1489"/>
      <c r="Y19" s="350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514"/>
      <c r="Q20" s="1486"/>
      <c r="R20" s="713"/>
      <c r="S20" s="714"/>
      <c r="T20" s="713"/>
      <c r="U20" s="714"/>
      <c r="V20" s="713"/>
      <c r="W20" s="714"/>
      <c r="X20" s="1489"/>
      <c r="Y20" s="3507"/>
      <c r="Z20" s="1490"/>
      <c r="AA20" s="1487">
        <v>1</v>
      </c>
      <c r="AB20" s="1487">
        <v>1</v>
      </c>
      <c r="AC20" s="1487">
        <v>1</v>
      </c>
    </row>
    <row r="21" spans="1:29" ht="28.5">
      <c r="A21" s="386"/>
      <c r="B21" s="1245" t="s">
        <v>2231</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514"/>
      <c r="Q21" s="1486" t="str">
        <f>B21</f>
        <v>基础设施水平</v>
      </c>
      <c r="R21" s="713" t="s">
        <v>17</v>
      </c>
      <c r="S21" s="714">
        <f>F21</f>
        <v>100</v>
      </c>
      <c r="T21" s="713" t="s">
        <v>17</v>
      </c>
      <c r="U21" s="714">
        <f>H21</f>
        <v>100</v>
      </c>
      <c r="V21" s="713" t="s">
        <v>17</v>
      </c>
      <c r="W21" s="714">
        <f>J21</f>
        <v>100</v>
      </c>
      <c r="X21" s="1489"/>
      <c r="Y21" s="350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514"/>
      <c r="Q22" s="1486"/>
      <c r="R22" s="713"/>
      <c r="S22" s="714"/>
      <c r="T22" s="713"/>
      <c r="U22" s="714"/>
      <c r="V22" s="713"/>
      <c r="W22" s="714"/>
      <c r="X22" s="1489"/>
      <c r="Y22" s="3507"/>
      <c r="Z22" s="1490"/>
      <c r="AA22" s="1487">
        <v>1</v>
      </c>
      <c r="AB22" s="1487">
        <v>1</v>
      </c>
      <c r="AC22" s="1487">
        <v>1</v>
      </c>
    </row>
    <row r="23" spans="1:29" ht="57">
      <c r="A23" s="386"/>
      <c r="B23" s="409" t="s">
        <v>1705</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514"/>
      <c r="Q23" s="1486" t="str">
        <f>B23</f>
        <v>自然及人文环境</v>
      </c>
      <c r="R23" s="713" t="s">
        <v>17</v>
      </c>
      <c r="S23" s="714">
        <f>F23</f>
        <v>100</v>
      </c>
      <c r="T23" s="713" t="s">
        <v>17</v>
      </c>
      <c r="U23" s="714">
        <f>H23</f>
        <v>100</v>
      </c>
      <c r="V23" s="713" t="s">
        <v>17</v>
      </c>
      <c r="W23" s="714">
        <f>J23</f>
        <v>100</v>
      </c>
      <c r="X23" s="1489"/>
      <c r="Y23" s="3507"/>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514"/>
      <c r="Q24" s="1486"/>
      <c r="R24" s="713"/>
      <c r="S24" s="714"/>
      <c r="T24" s="713"/>
      <c r="U24" s="714"/>
      <c r="V24" s="713"/>
      <c r="W24" s="714"/>
      <c r="X24" s="1489"/>
      <c r="Y24" s="3507"/>
      <c r="Z24" s="1490"/>
      <c r="AA24" s="1487">
        <v>1</v>
      </c>
      <c r="AB24" s="1487">
        <v>1</v>
      </c>
      <c r="AC24" s="1487">
        <v>1</v>
      </c>
    </row>
    <row r="25" spans="1:29" ht="15">
      <c r="A25" s="386"/>
      <c r="B25" s="380" t="s">
        <v>2232</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514"/>
      <c r="Q25" s="1486" t="str">
        <f t="shared" ref="Q25:Q46" si="11">B25</f>
        <v>临街状况</v>
      </c>
      <c r="R25" s="713" t="s">
        <v>17</v>
      </c>
      <c r="S25" s="714">
        <f>F25</f>
        <v>100</v>
      </c>
      <c r="T25" s="713" t="s">
        <v>17</v>
      </c>
      <c r="U25" s="714">
        <f>H25</f>
        <v>100</v>
      </c>
      <c r="V25" s="713" t="s">
        <v>17</v>
      </c>
      <c r="W25" s="714">
        <f>J25</f>
        <v>100</v>
      </c>
      <c r="X25" s="1489"/>
      <c r="Y25" s="3507"/>
      <c r="Z25" s="1490" t="str">
        <f>Q25</f>
        <v>临街状况</v>
      </c>
      <c r="AA25" s="1487">
        <f t="shared" si="3"/>
        <v>1</v>
      </c>
      <c r="AB25" s="1487">
        <f t="shared" si="4"/>
        <v>1</v>
      </c>
      <c r="AC25" s="1487">
        <f t="shared" si="5"/>
        <v>1</v>
      </c>
    </row>
    <row r="26" spans="1:29" ht="15">
      <c r="A26" s="386"/>
      <c r="B26" s="1247" t="s">
        <v>2233</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514"/>
      <c r="Q26" s="1486" t="str">
        <f t="shared" si="11"/>
        <v>平面位置/可视性</v>
      </c>
      <c r="R26" s="713" t="s">
        <v>17</v>
      </c>
      <c r="S26" s="714">
        <f>F26</f>
        <v>100</v>
      </c>
      <c r="T26" s="713" t="s">
        <v>17</v>
      </c>
      <c r="U26" s="714">
        <f>H26</f>
        <v>100</v>
      </c>
      <c r="V26" s="713" t="s">
        <v>17</v>
      </c>
      <c r="W26" s="714">
        <f>J26</f>
        <v>100</v>
      </c>
      <c r="X26" s="1489"/>
      <c r="Y26" s="3507"/>
      <c r="Z26" s="1490" t="str">
        <f>Q26</f>
        <v>平面位置/可视性</v>
      </c>
      <c r="AA26" s="1487">
        <f t="shared" si="3"/>
        <v>1</v>
      </c>
      <c r="AB26" s="1487">
        <f t="shared" si="4"/>
        <v>1</v>
      </c>
      <c r="AC26" s="1487">
        <f t="shared" si="5"/>
        <v>1</v>
      </c>
    </row>
    <row r="27" spans="1:29" s="112" customFormat="1" ht="15">
      <c r="A27" s="389"/>
      <c r="B27" s="409" t="s">
        <v>2234</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514"/>
      <c r="Q27" s="1477" t="str">
        <f t="shared" si="11"/>
        <v>人流量</v>
      </c>
      <c r="R27" s="709" t="s">
        <v>17</v>
      </c>
      <c r="S27" s="710">
        <f>F27</f>
        <v>100</v>
      </c>
      <c r="T27" s="709" t="s">
        <v>17</v>
      </c>
      <c r="U27" s="710">
        <f>H27</f>
        <v>100</v>
      </c>
      <c r="V27" s="709" t="s">
        <v>17</v>
      </c>
      <c r="W27" s="710">
        <f>J27</f>
        <v>100</v>
      </c>
      <c r="X27" s="711"/>
      <c r="Y27" s="3507"/>
      <c r="Z27" s="55" t="str">
        <f>Q27</f>
        <v>人流量</v>
      </c>
      <c r="AA27" s="1487">
        <f>D27/F27</f>
        <v>1</v>
      </c>
      <c r="AB27" s="1487">
        <f>D27/H27</f>
        <v>1</v>
      </c>
      <c r="AC27" s="1487">
        <f>D27/J27</f>
        <v>1</v>
      </c>
    </row>
    <row r="28" spans="1:29" ht="15">
      <c r="A28" s="386"/>
      <c r="B28" s="380" t="s">
        <v>2235</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514"/>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07"/>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514"/>
      <c r="Q29" s="1486">
        <f t="shared" si="11"/>
        <v>111</v>
      </c>
      <c r="R29" s="713" t="s">
        <v>17</v>
      </c>
      <c r="S29" s="714">
        <f t="shared" si="12"/>
        <v>100</v>
      </c>
      <c r="T29" s="713" t="s">
        <v>17</v>
      </c>
      <c r="U29" s="714">
        <f t="shared" si="13"/>
        <v>100</v>
      </c>
      <c r="V29" s="713" t="s">
        <v>17</v>
      </c>
      <c r="W29" s="714">
        <f t="shared" si="14"/>
        <v>100</v>
      </c>
      <c r="X29" s="1489"/>
      <c r="Y29" s="3507"/>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514"/>
      <c r="Q30" s="1486">
        <f t="shared" si="11"/>
        <v>111</v>
      </c>
      <c r="R30" s="713" t="s">
        <v>17</v>
      </c>
      <c r="S30" s="714">
        <f t="shared" si="12"/>
        <v>100</v>
      </c>
      <c r="T30" s="713" t="s">
        <v>17</v>
      </c>
      <c r="U30" s="714">
        <f t="shared" si="13"/>
        <v>100</v>
      </c>
      <c r="V30" s="713" t="s">
        <v>17</v>
      </c>
      <c r="W30" s="714">
        <f t="shared" si="14"/>
        <v>100</v>
      </c>
      <c r="X30" s="1489"/>
      <c r="Y30" s="3507"/>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514"/>
      <c r="Q31" s="1486">
        <f t="shared" si="11"/>
        <v>111</v>
      </c>
      <c r="R31" s="713" t="s">
        <v>17</v>
      </c>
      <c r="S31" s="714">
        <f t="shared" si="12"/>
        <v>100</v>
      </c>
      <c r="T31" s="713" t="s">
        <v>17</v>
      </c>
      <c r="U31" s="714">
        <f t="shared" si="13"/>
        <v>100</v>
      </c>
      <c r="V31" s="713" t="s">
        <v>17</v>
      </c>
      <c r="W31" s="714">
        <f t="shared" si="14"/>
        <v>100</v>
      </c>
      <c r="X31" s="1489"/>
      <c r="Y31" s="3507"/>
      <c r="Z31" s="1490">
        <f t="shared" si="15"/>
        <v>111</v>
      </c>
      <c r="AA31" s="1487">
        <f t="shared" si="3"/>
        <v>1</v>
      </c>
      <c r="AB31" s="1487">
        <f t="shared" si="4"/>
        <v>1</v>
      </c>
      <c r="AC31" s="1487">
        <f t="shared" si="5"/>
        <v>1</v>
      </c>
    </row>
    <row r="32" spans="1:29" ht="15">
      <c r="A32" s="398" t="s">
        <v>2139</v>
      </c>
      <c r="B32" s="67" t="s">
        <v>2236</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508" t="s">
        <v>2141</v>
      </c>
      <c r="Q32" s="1486" t="str">
        <f t="shared" si="11"/>
        <v>商业类型</v>
      </c>
      <c r="R32" s="713" t="s">
        <v>17</v>
      </c>
      <c r="S32" s="714">
        <f t="shared" si="12"/>
        <v>100</v>
      </c>
      <c r="T32" s="713" t="s">
        <v>17</v>
      </c>
      <c r="U32" s="714">
        <f t="shared" si="13"/>
        <v>100</v>
      </c>
      <c r="V32" s="713" t="s">
        <v>17</v>
      </c>
      <c r="W32" s="714">
        <f t="shared" si="14"/>
        <v>100</v>
      </c>
      <c r="X32" s="1489"/>
      <c r="Y32" s="3511" t="s">
        <v>2141</v>
      </c>
      <c r="Z32" s="1490" t="str">
        <f t="shared" si="15"/>
        <v>商业类型</v>
      </c>
      <c r="AA32" s="1487">
        <f t="shared" si="3"/>
        <v>1</v>
      </c>
      <c r="AB32" s="1487">
        <f t="shared" si="4"/>
        <v>1</v>
      </c>
      <c r="AC32" s="1487">
        <f t="shared" si="5"/>
        <v>1</v>
      </c>
    </row>
    <row r="33" spans="1:29" s="429" customFormat="1" ht="15">
      <c r="A33" s="426"/>
      <c r="B33" s="380" t="s">
        <v>2142</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509"/>
      <c r="Q33" s="715" t="str">
        <f t="shared" si="11"/>
        <v>项目建筑规模</v>
      </c>
      <c r="R33" s="716" t="s">
        <v>17</v>
      </c>
      <c r="S33" s="717" t="e">
        <f t="shared" si="12"/>
        <v>#N/A</v>
      </c>
      <c r="T33" s="716" t="s">
        <v>17</v>
      </c>
      <c r="U33" s="717" t="e">
        <f t="shared" si="13"/>
        <v>#N/A</v>
      </c>
      <c r="V33" s="716" t="s">
        <v>17</v>
      </c>
      <c r="W33" s="717" t="e">
        <f t="shared" si="14"/>
        <v>#N/A</v>
      </c>
      <c r="X33" s="718"/>
      <c r="Y33" s="3511"/>
      <c r="Z33" s="719" t="str">
        <f t="shared" si="15"/>
        <v>项目建筑规模</v>
      </c>
      <c r="AA33" s="1487" t="e">
        <f t="shared" si="3"/>
        <v>#N/A</v>
      </c>
      <c r="AB33" s="1487" t="e">
        <f t="shared" si="4"/>
        <v>#N/A</v>
      </c>
      <c r="AC33" s="1487" t="e">
        <f t="shared" si="5"/>
        <v>#N/A</v>
      </c>
    </row>
    <row r="34" spans="1:29" ht="15">
      <c r="A34" s="430"/>
      <c r="B34" s="380" t="s">
        <v>2143</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509"/>
      <c r="Q34" s="1486" t="str">
        <f t="shared" si="11"/>
        <v>建筑结构</v>
      </c>
      <c r="R34" s="713" t="s">
        <v>17</v>
      </c>
      <c r="S34" s="714">
        <f t="shared" si="12"/>
        <v>100</v>
      </c>
      <c r="T34" s="713" t="s">
        <v>17</v>
      </c>
      <c r="U34" s="714">
        <f t="shared" si="13"/>
        <v>100</v>
      </c>
      <c r="V34" s="713" t="s">
        <v>17</v>
      </c>
      <c r="W34" s="714">
        <f t="shared" si="14"/>
        <v>100</v>
      </c>
      <c r="X34" s="1489"/>
      <c r="Y34" s="3511"/>
      <c r="Z34" s="1490" t="str">
        <f t="shared" si="15"/>
        <v>建筑结构</v>
      </c>
      <c r="AA34" s="1487">
        <f t="shared" si="3"/>
        <v>1</v>
      </c>
      <c r="AB34" s="1487">
        <f t="shared" si="4"/>
        <v>1</v>
      </c>
      <c r="AC34" s="1487">
        <f t="shared" si="5"/>
        <v>1</v>
      </c>
    </row>
    <row r="35" spans="1:29" ht="15">
      <c r="A35" s="430"/>
      <c r="B35" s="380" t="s">
        <v>2237</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509"/>
      <c r="Q35" s="1486" t="str">
        <f t="shared" si="11"/>
        <v>公共部分装修</v>
      </c>
      <c r="R35" s="713" t="s">
        <v>17</v>
      </c>
      <c r="S35" s="714">
        <f t="shared" si="12"/>
        <v>100</v>
      </c>
      <c r="T35" s="713" t="s">
        <v>17</v>
      </c>
      <c r="U35" s="714">
        <f t="shared" si="13"/>
        <v>100</v>
      </c>
      <c r="V35" s="713" t="s">
        <v>17</v>
      </c>
      <c r="W35" s="714">
        <f t="shared" si="14"/>
        <v>100</v>
      </c>
      <c r="X35" s="1489"/>
      <c r="Y35" s="3511"/>
      <c r="Z35" s="1490" t="str">
        <f t="shared" si="15"/>
        <v>公共部分装修</v>
      </c>
      <c r="AA35" s="1487">
        <f t="shared" si="3"/>
        <v>1</v>
      </c>
      <c r="AB35" s="1487">
        <f t="shared" si="4"/>
        <v>1</v>
      </c>
      <c r="AC35" s="1487">
        <f t="shared" si="5"/>
        <v>1</v>
      </c>
    </row>
    <row r="36" spans="1:29" ht="15">
      <c r="A36" s="430"/>
      <c r="B36" s="380" t="s">
        <v>2238</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509"/>
      <c r="Q36" s="1486" t="str">
        <f t="shared" si="11"/>
        <v>成新度</v>
      </c>
      <c r="R36" s="713" t="s">
        <v>17</v>
      </c>
      <c r="S36" s="714" t="e">
        <f t="shared" si="12"/>
        <v>#N/A</v>
      </c>
      <c r="T36" s="713" t="s">
        <v>17</v>
      </c>
      <c r="U36" s="714" t="e">
        <f t="shared" si="13"/>
        <v>#N/A</v>
      </c>
      <c r="V36" s="713" t="s">
        <v>17</v>
      </c>
      <c r="W36" s="714" t="e">
        <f t="shared" si="14"/>
        <v>#N/A</v>
      </c>
      <c r="X36" s="1489"/>
      <c r="Y36" s="3511"/>
      <c r="Z36" s="1490" t="str">
        <f t="shared" si="15"/>
        <v>成新度</v>
      </c>
      <c r="AA36" s="1487" t="e">
        <f t="shared" si="3"/>
        <v>#N/A</v>
      </c>
      <c r="AB36" s="1487" t="e">
        <f t="shared" si="4"/>
        <v>#N/A</v>
      </c>
      <c r="AC36" s="1487" t="e">
        <f t="shared" si="5"/>
        <v>#N/A</v>
      </c>
    </row>
    <row r="37" spans="1:29" s="112" customFormat="1" ht="15">
      <c r="A37" s="431"/>
      <c r="B37" s="380" t="s">
        <v>2239</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509"/>
      <c r="Q37" s="1477" t="str">
        <f t="shared" si="11"/>
        <v>市政基础设施</v>
      </c>
      <c r="R37" s="709" t="s">
        <v>17</v>
      </c>
      <c r="S37" s="710">
        <f t="shared" si="12"/>
        <v>100</v>
      </c>
      <c r="T37" s="709" t="s">
        <v>17</v>
      </c>
      <c r="U37" s="710">
        <f t="shared" si="13"/>
        <v>100</v>
      </c>
      <c r="V37" s="709" t="s">
        <v>17</v>
      </c>
      <c r="W37" s="710">
        <f t="shared" si="14"/>
        <v>100</v>
      </c>
      <c r="X37" s="711"/>
      <c r="Y37" s="3511"/>
      <c r="Z37" s="55" t="str">
        <f t="shared" si="15"/>
        <v>市政基础设施</v>
      </c>
      <c r="AA37" s="712">
        <f t="shared" si="3"/>
        <v>1</v>
      </c>
      <c r="AB37" s="712">
        <f t="shared" si="4"/>
        <v>1</v>
      </c>
      <c r="AC37" s="712">
        <f t="shared" si="5"/>
        <v>1</v>
      </c>
    </row>
    <row r="38" spans="1:29" ht="15">
      <c r="A38" s="430"/>
      <c r="B38" s="380" t="s">
        <v>2240</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509" t="s">
        <v>2141</v>
      </c>
      <c r="Q38" s="1486" t="str">
        <f t="shared" si="11"/>
        <v>业态</v>
      </c>
      <c r="R38" s="713" t="s">
        <v>17</v>
      </c>
      <c r="S38" s="714">
        <f t="shared" si="12"/>
        <v>100</v>
      </c>
      <c r="T38" s="713" t="s">
        <v>17</v>
      </c>
      <c r="U38" s="714">
        <f t="shared" si="13"/>
        <v>100</v>
      </c>
      <c r="V38" s="713" t="s">
        <v>17</v>
      </c>
      <c r="W38" s="714">
        <f t="shared" si="14"/>
        <v>100</v>
      </c>
      <c r="X38" s="1489"/>
      <c r="Y38" s="3511" t="s">
        <v>2141</v>
      </c>
      <c r="Z38" s="1490" t="str">
        <f t="shared" si="15"/>
        <v>业态</v>
      </c>
      <c r="AA38" s="1487">
        <f t="shared" si="3"/>
        <v>1</v>
      </c>
      <c r="AB38" s="1487">
        <f t="shared" si="4"/>
        <v>1</v>
      </c>
      <c r="AC38" s="1487">
        <f t="shared" si="5"/>
        <v>1</v>
      </c>
    </row>
    <row r="39" spans="1:29" ht="15">
      <c r="A39" s="430"/>
      <c r="B39" s="380" t="s">
        <v>2241</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509"/>
      <c r="Q39" s="1486" t="str">
        <f t="shared" si="11"/>
        <v>层高</v>
      </c>
      <c r="R39" s="713" t="s">
        <v>17</v>
      </c>
      <c r="S39" s="714">
        <f t="shared" si="12"/>
        <v>100</v>
      </c>
      <c r="T39" s="713" t="s">
        <v>17</v>
      </c>
      <c r="U39" s="714">
        <f t="shared" si="13"/>
        <v>100</v>
      </c>
      <c r="V39" s="713" t="s">
        <v>17</v>
      </c>
      <c r="W39" s="714">
        <f t="shared" si="14"/>
        <v>100</v>
      </c>
      <c r="X39" s="1489"/>
      <c r="Y39" s="3511"/>
      <c r="Z39" s="1490" t="str">
        <f t="shared" si="15"/>
        <v>层高</v>
      </c>
      <c r="AA39" s="1487">
        <f t="shared" si="3"/>
        <v>1</v>
      </c>
      <c r="AB39" s="1487">
        <f t="shared" si="4"/>
        <v>1</v>
      </c>
      <c r="AC39" s="1487">
        <f t="shared" si="5"/>
        <v>1</v>
      </c>
    </row>
    <row r="40" spans="1:29" ht="15">
      <c r="A40" s="430"/>
      <c r="B40" s="380" t="s">
        <v>2242</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509"/>
      <c r="Q40" s="1486" t="str">
        <f t="shared" si="11"/>
        <v>单套建筑面积</v>
      </c>
      <c r="R40" s="713" t="s">
        <v>17</v>
      </c>
      <c r="S40" s="714">
        <f t="shared" si="12"/>
        <v>100</v>
      </c>
      <c r="T40" s="713" t="s">
        <v>17</v>
      </c>
      <c r="U40" s="714">
        <f t="shared" si="13"/>
        <v>100</v>
      </c>
      <c r="V40" s="713" t="s">
        <v>17</v>
      </c>
      <c r="W40" s="714">
        <f t="shared" si="14"/>
        <v>100</v>
      </c>
      <c r="X40" s="1489"/>
      <c r="Y40" s="3511"/>
      <c r="Z40" s="1490" t="str">
        <f t="shared" si="15"/>
        <v>单套建筑面积</v>
      </c>
      <c r="AA40" s="1487">
        <f t="shared" si="3"/>
        <v>1</v>
      </c>
      <c r="AB40" s="1487">
        <f t="shared" si="4"/>
        <v>1</v>
      </c>
      <c r="AC40" s="1487">
        <f t="shared" si="5"/>
        <v>1</v>
      </c>
    </row>
    <row r="41" spans="1:29" s="429" customFormat="1" ht="15">
      <c r="A41" s="426"/>
      <c r="B41" s="1488" t="s">
        <v>2243</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509"/>
      <c r="Q41" s="715" t="str">
        <f t="shared" si="11"/>
        <v>进深比</v>
      </c>
      <c r="R41" s="716" t="s">
        <v>17</v>
      </c>
      <c r="S41" s="717">
        <f t="shared" si="12"/>
        <v>100</v>
      </c>
      <c r="T41" s="716" t="s">
        <v>17</v>
      </c>
      <c r="U41" s="717">
        <f t="shared" si="13"/>
        <v>100</v>
      </c>
      <c r="V41" s="716" t="s">
        <v>17</v>
      </c>
      <c r="W41" s="717">
        <f t="shared" si="14"/>
        <v>100</v>
      </c>
      <c r="X41" s="718"/>
      <c r="Y41" s="3511"/>
      <c r="Z41" s="719" t="str">
        <f t="shared" si="15"/>
        <v>进深比</v>
      </c>
      <c r="AA41" s="1487">
        <f t="shared" si="3"/>
        <v>1</v>
      </c>
      <c r="AB41" s="1487">
        <f t="shared" si="4"/>
        <v>1</v>
      </c>
      <c r="AC41" s="1487">
        <f t="shared" si="5"/>
        <v>1</v>
      </c>
    </row>
    <row r="42" spans="1:29" ht="15">
      <c r="A42" s="430"/>
      <c r="B42" s="380" t="s">
        <v>2244</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509"/>
      <c r="Q42" s="1486" t="str">
        <f t="shared" si="11"/>
        <v>内部装修</v>
      </c>
      <c r="R42" s="713" t="s">
        <v>17</v>
      </c>
      <c r="S42" s="714">
        <f t="shared" si="12"/>
        <v>100</v>
      </c>
      <c r="T42" s="713" t="s">
        <v>17</v>
      </c>
      <c r="U42" s="714">
        <f t="shared" si="13"/>
        <v>100</v>
      </c>
      <c r="V42" s="713" t="s">
        <v>17</v>
      </c>
      <c r="W42" s="714">
        <f t="shared" si="14"/>
        <v>100</v>
      </c>
      <c r="X42" s="1489"/>
      <c r="Y42" s="3511"/>
      <c r="Z42" s="1490" t="str">
        <f t="shared" si="15"/>
        <v>内部装修</v>
      </c>
      <c r="AA42" s="1487">
        <f t="shared" si="3"/>
        <v>1</v>
      </c>
      <c r="AB42" s="1487">
        <f t="shared" si="4"/>
        <v>1</v>
      </c>
      <c r="AC42" s="1487">
        <f t="shared" si="5"/>
        <v>1</v>
      </c>
    </row>
    <row r="43" spans="1:29" ht="15">
      <c r="A43" s="430"/>
      <c r="B43" s="380" t="s">
        <v>2152</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509"/>
      <c r="Q43" s="1486" t="str">
        <f t="shared" si="11"/>
        <v>内部装修维护情况</v>
      </c>
      <c r="R43" s="713" t="s">
        <v>17</v>
      </c>
      <c r="S43" s="714">
        <f t="shared" si="12"/>
        <v>100</v>
      </c>
      <c r="T43" s="713" t="s">
        <v>17</v>
      </c>
      <c r="U43" s="714">
        <f t="shared" si="13"/>
        <v>100</v>
      </c>
      <c r="V43" s="713" t="s">
        <v>17</v>
      </c>
      <c r="W43" s="714">
        <f t="shared" si="14"/>
        <v>100</v>
      </c>
      <c r="X43" s="1489"/>
      <c r="Y43" s="3511"/>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509"/>
      <c r="Q44" s="1477">
        <f t="shared" si="11"/>
        <v>111</v>
      </c>
      <c r="R44" s="709" t="s">
        <v>17</v>
      </c>
      <c r="S44" s="710">
        <f t="shared" si="12"/>
        <v>100</v>
      </c>
      <c r="T44" s="709" t="s">
        <v>17</v>
      </c>
      <c r="U44" s="710">
        <f t="shared" si="13"/>
        <v>100</v>
      </c>
      <c r="V44" s="709" t="s">
        <v>17</v>
      </c>
      <c r="W44" s="710">
        <f t="shared" si="14"/>
        <v>100</v>
      </c>
      <c r="X44" s="711"/>
      <c r="Y44" s="3511"/>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509"/>
      <c r="Q45" s="1486">
        <f t="shared" si="11"/>
        <v>111</v>
      </c>
      <c r="R45" s="713" t="s">
        <v>17</v>
      </c>
      <c r="S45" s="714">
        <f t="shared" si="12"/>
        <v>100</v>
      </c>
      <c r="T45" s="713" t="s">
        <v>17</v>
      </c>
      <c r="U45" s="714">
        <f t="shared" si="13"/>
        <v>100</v>
      </c>
      <c r="V45" s="713" t="s">
        <v>17</v>
      </c>
      <c r="W45" s="714">
        <f t="shared" si="14"/>
        <v>100</v>
      </c>
      <c r="X45" s="1489"/>
      <c r="Y45" s="3511"/>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510"/>
      <c r="Q46" s="1486">
        <f t="shared" si="11"/>
        <v>111</v>
      </c>
      <c r="R46" s="713" t="s">
        <v>17</v>
      </c>
      <c r="S46" s="714">
        <f t="shared" si="12"/>
        <v>100</v>
      </c>
      <c r="T46" s="713" t="s">
        <v>17</v>
      </c>
      <c r="U46" s="714">
        <f t="shared" si="13"/>
        <v>100</v>
      </c>
      <c r="V46" s="713" t="s">
        <v>17</v>
      </c>
      <c r="W46" s="714">
        <f t="shared" si="14"/>
        <v>100</v>
      </c>
      <c r="X46" s="1489"/>
      <c r="Y46" s="3512"/>
      <c r="Z46" s="1490">
        <f t="shared" si="15"/>
        <v>111</v>
      </c>
      <c r="AA46" s="1487">
        <f t="shared" si="3"/>
        <v>1</v>
      </c>
      <c r="AB46" s="1487">
        <f t="shared" si="4"/>
        <v>1</v>
      </c>
      <c r="AC46" s="1487">
        <f t="shared" si="5"/>
        <v>1</v>
      </c>
    </row>
    <row r="47" spans="1:29" ht="15">
      <c r="A47" s="437" t="s">
        <v>2153</v>
      </c>
      <c r="B47" s="438"/>
      <c r="C47" s="1268" t="s">
        <v>1</v>
      </c>
      <c r="D47" s="1269"/>
      <c r="E47" s="1270"/>
      <c r="F47" s="1271"/>
      <c r="G47" s="1272"/>
      <c r="H47" s="1273"/>
      <c r="I47" s="1270"/>
      <c r="J47" s="1273"/>
      <c r="K47" s="722"/>
      <c r="L47" s="2902"/>
      <c r="M47" s="2903"/>
      <c r="N47" s="2894"/>
      <c r="O47" s="2903"/>
      <c r="P47" s="3504" t="str">
        <f>A47</f>
        <v>成交单价（元/平方米）</v>
      </c>
      <c r="Q47" s="3504"/>
      <c r="R47" s="3499">
        <f>E47</f>
        <v>0</v>
      </c>
      <c r="S47" s="3499"/>
      <c r="T47" s="3499">
        <f>G47</f>
        <v>0</v>
      </c>
      <c r="U47" s="3499"/>
      <c r="V47" s="3499">
        <f>I47</f>
        <v>0</v>
      </c>
      <c r="W47" s="3499"/>
      <c r="X47" s="698"/>
      <c r="Y47" s="720"/>
      <c r="Z47" s="698"/>
      <c r="AA47" s="698"/>
      <c r="AB47" s="698"/>
      <c r="AC47" s="698"/>
    </row>
    <row r="48" spans="1:29" ht="15.75" thickBot="1">
      <c r="A48" s="444" t="s">
        <v>2245</v>
      </c>
      <c r="B48" s="445"/>
      <c r="C48" s="1274" t="e">
        <f>R49</f>
        <v>#DIV/0!</v>
      </c>
      <c r="D48" s="2488" t="s">
        <v>2635</v>
      </c>
      <c r="E48" s="1275" t="e">
        <f>R48</f>
        <v>#DIV/0!</v>
      </c>
      <c r="F48" s="2489"/>
      <c r="G48" s="1274" t="e">
        <f>T48</f>
        <v>#DIV/0!</v>
      </c>
      <c r="H48" s="2489"/>
      <c r="I48" s="1275" t="e">
        <f>V48</f>
        <v>#DIV/0!</v>
      </c>
      <c r="J48" s="2489"/>
      <c r="K48" s="2491">
        <f>F48+H48+J48</f>
        <v>0</v>
      </c>
      <c r="L48" s="2902"/>
      <c r="M48" s="2903"/>
      <c r="N48" s="2894"/>
      <c r="O48" s="2903"/>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8"/>
      <c r="Y48" s="698"/>
      <c r="Z48" s="698"/>
      <c r="AA48" s="698"/>
      <c r="AB48" s="698"/>
      <c r="AC48" s="698"/>
    </row>
    <row r="49" spans="1:29" ht="15.75" thickBot="1">
      <c r="A49" s="448" t="s">
        <v>2246</v>
      </c>
      <c r="B49" s="449"/>
      <c r="C49" s="1277" t="e">
        <f>R49</f>
        <v>#DIV/0!</v>
      </c>
      <c r="D49" s="1277"/>
      <c r="E49" s="1277"/>
      <c r="F49" s="1277"/>
      <c r="G49" s="1277"/>
      <c r="H49" s="1277"/>
      <c r="I49" s="1277"/>
      <c r="J49" s="1277"/>
      <c r="K49" s="723"/>
      <c r="L49" s="2902"/>
      <c r="M49" s="2903"/>
      <c r="N49" s="2894"/>
      <c r="O49" s="2903"/>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2247</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2248</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2249</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2250</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2124</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2161</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2126</v>
      </c>
      <c r="B61" s="466"/>
      <c r="C61" s="478" t="s">
        <v>2228</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2164</v>
      </c>
      <c r="B63" s="484" t="s">
        <v>2130</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2133</v>
      </c>
      <c r="C65" s="495" t="s">
        <v>2165</v>
      </c>
      <c r="D65" s="495" t="s">
        <v>2166</v>
      </c>
      <c r="E65" s="495" t="s">
        <v>2167</v>
      </c>
      <c r="F65" s="495" t="s">
        <v>2168</v>
      </c>
      <c r="G65" s="495" t="s">
        <v>2169</v>
      </c>
      <c r="H65" s="495" t="s">
        <v>2170</v>
      </c>
      <c r="I65" s="495" t="s">
        <v>2171</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2134</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2135</v>
      </c>
      <c r="B76" s="484" t="s">
        <v>2172</v>
      </c>
      <c r="C76" s="529" t="s">
        <v>2173</v>
      </c>
      <c r="D76" s="529" t="s">
        <v>2174</v>
      </c>
      <c r="E76" s="529" t="s">
        <v>2175</v>
      </c>
      <c r="F76" s="529" t="s">
        <v>2176</v>
      </c>
      <c r="G76" s="529" t="s">
        <v>2177</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2178</v>
      </c>
      <c r="C78" s="534" t="s">
        <v>2173</v>
      </c>
      <c r="D78" s="534" t="s">
        <v>2174</v>
      </c>
      <c r="E78" s="534" t="s">
        <v>2175</v>
      </c>
      <c r="F78" s="534" t="s">
        <v>2176</v>
      </c>
      <c r="G78" s="534" t="s">
        <v>2177</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2179</v>
      </c>
      <c r="C80" s="534" t="s">
        <v>2173</v>
      </c>
      <c r="D80" s="534" t="s">
        <v>2174</v>
      </c>
      <c r="E80" s="534" t="s">
        <v>2175</v>
      </c>
      <c r="F80" s="534" t="s">
        <v>2176</v>
      </c>
      <c r="G80" s="534" t="s">
        <v>2177</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2231</v>
      </c>
      <c r="C82" s="615" t="s">
        <v>2251</v>
      </c>
      <c r="D82" s="615" t="s">
        <v>2252</v>
      </c>
      <c r="E82" s="615" t="s">
        <v>2253</v>
      </c>
      <c r="F82" s="615" t="s">
        <v>2254</v>
      </c>
      <c r="G82" s="615" t="s">
        <v>2255</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2185</v>
      </c>
      <c r="C84" s="534" t="s">
        <v>2173</v>
      </c>
      <c r="D84" s="534" t="s">
        <v>2174</v>
      </c>
      <c r="E84" s="534" t="s">
        <v>2175</v>
      </c>
      <c r="F84" s="534" t="s">
        <v>2176</v>
      </c>
      <c r="G84" s="534" t="s">
        <v>2177</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2256</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2139</v>
      </c>
      <c r="B100" s="484" t="s">
        <v>2257</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2189</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2190</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2192</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2194</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2258</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2259</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2260</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2261</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2196</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2197</v>
      </c>
      <c r="C124" s="534" t="s">
        <v>2173</v>
      </c>
      <c r="D124" s="534" t="s">
        <v>2174</v>
      </c>
      <c r="E124" s="534" t="s">
        <v>2175</v>
      </c>
      <c r="F124" s="534" t="s">
        <v>2176</v>
      </c>
      <c r="G124" s="534" t="s">
        <v>2177</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93" t="s">
        <v>2262</v>
      </c>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IF(C2="——",ROUND(C50*D3/10000,0),ROUND(C50*D3/10000,0)-D2)</f>
        <v>#DIV/0!</v>
      </c>
      <c r="C2" s="2017"/>
      <c r="D2" s="1227" t="e">
        <f ca="1">SUMIF(INDIRECT("'"&amp;F2&amp;"'"&amp;"!A:A"),"承租人权益价值",INDIRECT("'"&amp;F2&amp;"'"&amp;"!c:c"))</f>
        <v>#REF!</v>
      </c>
      <c r="E2" s="2018" t="s">
        <v>1907</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 ca="1">IF(C2="——",C50,ROUND(B2*10000/D3,0))</f>
        <v>#DIV/0!</v>
      </c>
      <c r="C3" s="359" t="s">
        <v>2220</v>
      </c>
      <c r="D3" s="358">
        <f>IF(D1="",'数据-汇总表'!E3,SUMIF('数据-汇总表'!$C19:$C33,D1,'数据-汇总表'!$E19:$E33))</f>
        <v>51495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2221</v>
      </c>
      <c r="B4" s="361"/>
      <c r="C4" s="3487" t="s">
        <v>2222</v>
      </c>
      <c r="D4" s="3488"/>
      <c r="E4" s="3489" t="s">
        <v>2223</v>
      </c>
      <c r="F4" s="3490"/>
      <c r="G4" s="3487" t="s">
        <v>2224</v>
      </c>
      <c r="H4" s="3488"/>
      <c r="I4" s="3487" t="s">
        <v>2225</v>
      </c>
      <c r="J4" s="3488"/>
      <c r="K4" s="566" t="s">
        <v>2226</v>
      </c>
      <c r="L4" s="2893"/>
      <c r="M4" s="2894"/>
      <c r="N4" s="2894"/>
      <c r="O4" s="2894"/>
      <c r="P4" s="3521" t="s">
        <v>2227</v>
      </c>
      <c r="Q4" s="3522"/>
      <c r="R4" s="3516" t="s">
        <v>2223</v>
      </c>
      <c r="S4" s="3517"/>
      <c r="T4" s="3516" t="s">
        <v>2224</v>
      </c>
      <c r="U4" s="3517"/>
      <c r="V4" s="3525" t="s">
        <v>2225</v>
      </c>
      <c r="W4" s="3525"/>
      <c r="X4" s="2094"/>
      <c r="Y4" s="3516" t="s">
        <v>2227</v>
      </c>
      <c r="Z4" s="3517"/>
      <c r="AA4" s="3515" t="s">
        <v>2223</v>
      </c>
      <c r="AB4" s="3515" t="s">
        <v>2224</v>
      </c>
      <c r="AC4" s="3518" t="s">
        <v>2225</v>
      </c>
    </row>
    <row r="5" spans="1:29" ht="15">
      <c r="A5" s="363"/>
      <c r="B5" s="364"/>
      <c r="C5" s="3480" t="s">
        <v>2118</v>
      </c>
      <c r="D5" s="3481"/>
      <c r="E5" s="3478" t="s">
        <v>2119</v>
      </c>
      <c r="F5" s="3479"/>
      <c r="G5" s="3480" t="s">
        <v>2120</v>
      </c>
      <c r="H5" s="3481"/>
      <c r="I5" s="3480" t="s">
        <v>2121</v>
      </c>
      <c r="J5" s="3481"/>
      <c r="K5" s="566"/>
      <c r="L5" s="2893"/>
      <c r="M5" s="2894"/>
      <c r="N5" s="2894"/>
      <c r="O5" s="2894"/>
      <c r="P5" s="3523"/>
      <c r="Q5" s="3494"/>
      <c r="R5" s="3476"/>
      <c r="S5" s="3477"/>
      <c r="T5" s="3476"/>
      <c r="U5" s="3477"/>
      <c r="V5" s="3499"/>
      <c r="W5" s="3499"/>
      <c r="X5" s="1489"/>
      <c r="Y5" s="3476"/>
      <c r="Z5" s="3477"/>
      <c r="AA5" s="3470"/>
      <c r="AB5" s="3470"/>
      <c r="AC5" s="3519"/>
    </row>
    <row r="6" spans="1:29" ht="15.75" thickBot="1">
      <c r="A6" s="365"/>
      <c r="B6" s="366"/>
      <c r="C6" s="3482" t="s">
        <v>2122</v>
      </c>
      <c r="D6" s="3483"/>
      <c r="E6" s="3484" t="s">
        <v>2122</v>
      </c>
      <c r="F6" s="3485"/>
      <c r="G6" s="3482" t="s">
        <v>2122</v>
      </c>
      <c r="H6" s="3483"/>
      <c r="I6" s="3482" t="s">
        <v>2122</v>
      </c>
      <c r="J6" s="3483"/>
      <c r="K6" s="566" t="s">
        <v>2123</v>
      </c>
      <c r="L6" s="2893"/>
      <c r="M6" s="2894"/>
      <c r="N6" s="2894"/>
      <c r="O6" s="2894"/>
      <c r="P6" s="3524"/>
      <c r="Q6" s="3496"/>
      <c r="R6" s="3476"/>
      <c r="S6" s="3477"/>
      <c r="T6" s="3497"/>
      <c r="U6" s="3498"/>
      <c r="V6" s="3499"/>
      <c r="W6" s="3499"/>
      <c r="X6" s="1489"/>
      <c r="Y6" s="3497"/>
      <c r="Z6" s="3498"/>
      <c r="AA6" s="3471"/>
      <c r="AB6" s="3471"/>
      <c r="AC6" s="3520"/>
    </row>
    <row r="7" spans="1:29" s="112" customFormat="1" ht="15.75" thickBot="1">
      <c r="A7" s="367" t="s">
        <v>2124</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26" t="s">
        <v>2125</v>
      </c>
      <c r="Q7" s="3500"/>
      <c r="R7" s="709" t="s">
        <v>17</v>
      </c>
      <c r="S7" s="710">
        <f t="shared" ref="S7:S15" si="0">F7</f>
        <v>0</v>
      </c>
      <c r="T7" s="709" t="s">
        <v>17</v>
      </c>
      <c r="U7" s="710">
        <f t="shared" ref="U7:U15" si="1">H7</f>
        <v>0</v>
      </c>
      <c r="V7" s="709" t="s">
        <v>17</v>
      </c>
      <c r="W7" s="710">
        <f t="shared" ref="W7:W15" si="2">J7</f>
        <v>0</v>
      </c>
      <c r="X7" s="711"/>
      <c r="Y7" s="3472" t="s">
        <v>2125</v>
      </c>
      <c r="Z7" s="3473"/>
      <c r="AA7" s="712" t="e">
        <f>D7/F7</f>
        <v>#DIV/0!</v>
      </c>
      <c r="AB7" s="712" t="e">
        <f>D7/H7</f>
        <v>#DIV/0!</v>
      </c>
      <c r="AC7" s="2095" t="e">
        <f>D7/J7</f>
        <v>#DIV/0!</v>
      </c>
    </row>
    <row r="8" spans="1:29" s="112" customFormat="1" ht="15.75" thickBot="1">
      <c r="A8" s="367" t="s">
        <v>2126</v>
      </c>
      <c r="B8" s="368"/>
      <c r="C8" s="373" t="s">
        <v>2228</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26" t="s">
        <v>2128</v>
      </c>
      <c r="Q8" s="3473"/>
      <c r="R8" s="709" t="s">
        <v>17</v>
      </c>
      <c r="S8" s="710">
        <f t="shared" si="0"/>
        <v>0</v>
      </c>
      <c r="T8" s="709" t="s">
        <v>17</v>
      </c>
      <c r="U8" s="710">
        <f t="shared" si="1"/>
        <v>0</v>
      </c>
      <c r="V8" s="709" t="s">
        <v>17</v>
      </c>
      <c r="W8" s="710">
        <f t="shared" si="2"/>
        <v>0</v>
      </c>
      <c r="X8" s="711"/>
      <c r="Y8" s="3472" t="s">
        <v>2128</v>
      </c>
      <c r="Z8" s="3473"/>
      <c r="AA8" s="712" t="e">
        <f t="shared" ref="AA8:AA47" si="3">D8/F8</f>
        <v>#DIV/0!</v>
      </c>
      <c r="AB8" s="712" t="e">
        <f t="shared" ref="AB8:AB47" si="4">D8/H8</f>
        <v>#DIV/0!</v>
      </c>
      <c r="AC8" s="2095" t="e">
        <f t="shared" ref="AC8:AC47" si="5">D8/J8</f>
        <v>#DIV/0!</v>
      </c>
    </row>
    <row r="9" spans="1:29" s="112" customFormat="1">
      <c r="A9" s="374" t="s">
        <v>2129</v>
      </c>
      <c r="B9" s="67" t="s">
        <v>2130</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86" t="s">
        <v>2131</v>
      </c>
      <c r="Q9" s="1477" t="str">
        <f t="shared" ref="Q9:Q15" si="6">B9</f>
        <v>用途</v>
      </c>
      <c r="R9" s="709" t="s">
        <v>17</v>
      </c>
      <c r="S9" s="710">
        <f t="shared" si="0"/>
        <v>100</v>
      </c>
      <c r="T9" s="709" t="s">
        <v>17</v>
      </c>
      <c r="U9" s="710">
        <f t="shared" si="1"/>
        <v>100</v>
      </c>
      <c r="V9" s="709" t="s">
        <v>17</v>
      </c>
      <c r="W9" s="710">
        <f t="shared" si="2"/>
        <v>100</v>
      </c>
      <c r="X9" s="711"/>
      <c r="Y9" s="3416" t="s">
        <v>2132</v>
      </c>
      <c r="Z9" s="55" t="str">
        <f t="shared" ref="Z9:Z15" si="7">Q9</f>
        <v>用途</v>
      </c>
      <c r="AA9" s="712">
        <f t="shared" si="3"/>
        <v>1</v>
      </c>
      <c r="AB9" s="712">
        <f t="shared" si="4"/>
        <v>1</v>
      </c>
      <c r="AC9" s="2095">
        <f t="shared" si="5"/>
        <v>1</v>
      </c>
    </row>
    <row r="10" spans="1:29" s="385" customFormat="1" ht="27">
      <c r="A10" s="379"/>
      <c r="B10" s="380" t="s">
        <v>2133</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416"/>
      <c r="Z10" s="55" t="str">
        <f t="shared" si="7"/>
        <v>土地使用年限（年）</v>
      </c>
      <c r="AA10" s="712">
        <f t="shared" si="3"/>
        <v>1</v>
      </c>
      <c r="AB10" s="712">
        <f t="shared" si="4"/>
        <v>1</v>
      </c>
      <c r="AC10" s="2095">
        <f t="shared" si="5"/>
        <v>1</v>
      </c>
    </row>
    <row r="11" spans="1:29" ht="15">
      <c r="A11" s="386"/>
      <c r="B11" s="380" t="s">
        <v>2134</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86"/>
      <c r="Q11" s="1477" t="str">
        <f t="shared" si="6"/>
        <v>容积率</v>
      </c>
      <c r="R11" s="709" t="s">
        <v>17</v>
      </c>
      <c r="S11" s="710" t="e">
        <f t="shared" si="0"/>
        <v>#N/A</v>
      </c>
      <c r="T11" s="709" t="s">
        <v>17</v>
      </c>
      <c r="U11" s="710" t="e">
        <f t="shared" si="1"/>
        <v>#N/A</v>
      </c>
      <c r="V11" s="709" t="s">
        <v>17</v>
      </c>
      <c r="W11" s="710" t="e">
        <f t="shared" si="2"/>
        <v>#N/A</v>
      </c>
      <c r="X11" s="711"/>
      <c r="Y11" s="3416"/>
      <c r="Z11" s="55"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86"/>
      <c r="Q12" s="1477">
        <f t="shared" si="6"/>
        <v>111</v>
      </c>
      <c r="R12" s="709" t="s">
        <v>17</v>
      </c>
      <c r="S12" s="710">
        <f t="shared" si="0"/>
        <v>100</v>
      </c>
      <c r="T12" s="709" t="s">
        <v>17</v>
      </c>
      <c r="U12" s="710">
        <f t="shared" si="1"/>
        <v>100</v>
      </c>
      <c r="V12" s="709" t="s">
        <v>17</v>
      </c>
      <c r="W12" s="710">
        <f t="shared" si="2"/>
        <v>100</v>
      </c>
      <c r="X12" s="711"/>
      <c r="Y12" s="3416"/>
      <c r="Z12" s="55">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86"/>
      <c r="Q13" s="1477">
        <f t="shared" si="6"/>
        <v>111</v>
      </c>
      <c r="R13" s="709" t="s">
        <v>17</v>
      </c>
      <c r="S13" s="710">
        <f t="shared" si="0"/>
        <v>100</v>
      </c>
      <c r="T13" s="709" t="s">
        <v>17</v>
      </c>
      <c r="U13" s="710">
        <f t="shared" si="1"/>
        <v>100</v>
      </c>
      <c r="V13" s="709" t="s">
        <v>17</v>
      </c>
      <c r="W13" s="710">
        <f t="shared" si="2"/>
        <v>100</v>
      </c>
      <c r="X13" s="711"/>
      <c r="Y13" s="3416"/>
      <c r="Z13" s="55">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86"/>
      <c r="Q14" s="1477">
        <f t="shared" si="6"/>
        <v>111</v>
      </c>
      <c r="R14" s="709" t="s">
        <v>17</v>
      </c>
      <c r="S14" s="710">
        <f t="shared" si="0"/>
        <v>100</v>
      </c>
      <c r="T14" s="709" t="s">
        <v>17</v>
      </c>
      <c r="U14" s="710">
        <f t="shared" si="1"/>
        <v>100</v>
      </c>
      <c r="V14" s="709" t="s">
        <v>17</v>
      </c>
      <c r="W14" s="710">
        <f t="shared" si="2"/>
        <v>100</v>
      </c>
      <c r="X14" s="711"/>
      <c r="Y14" s="3416"/>
      <c r="Z14" s="55">
        <f t="shared" si="7"/>
        <v>111</v>
      </c>
      <c r="AA14" s="712">
        <f t="shared" si="3"/>
        <v>1</v>
      </c>
      <c r="AB14" s="712">
        <f t="shared" si="4"/>
        <v>1</v>
      </c>
      <c r="AC14" s="2095">
        <f t="shared" si="5"/>
        <v>1</v>
      </c>
    </row>
    <row r="15" spans="1:29" ht="71.25">
      <c r="A15" s="398" t="s">
        <v>2135</v>
      </c>
      <c r="B15" s="584" t="s">
        <v>2263</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513" t="s">
        <v>2136</v>
      </c>
      <c r="Q15" s="1486" t="str">
        <f t="shared" si="6"/>
        <v>办公集聚程度</v>
      </c>
      <c r="R15" s="713" t="s">
        <v>17</v>
      </c>
      <c r="S15" s="714">
        <f t="shared" si="0"/>
        <v>100</v>
      </c>
      <c r="T15" s="713" t="s">
        <v>17</v>
      </c>
      <c r="U15" s="714">
        <f t="shared" si="1"/>
        <v>100</v>
      </c>
      <c r="V15" s="713" t="s">
        <v>17</v>
      </c>
      <c r="W15" s="714">
        <f t="shared" si="2"/>
        <v>100</v>
      </c>
      <c r="X15" s="1489"/>
      <c r="Y15" s="3506" t="s">
        <v>2136</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514"/>
      <c r="Q16" s="1486"/>
      <c r="R16" s="713"/>
      <c r="S16" s="714"/>
      <c r="T16" s="713"/>
      <c r="U16" s="714"/>
      <c r="V16" s="713"/>
      <c r="W16" s="714"/>
      <c r="X16" s="1489"/>
      <c r="Y16" s="3507"/>
      <c r="Z16" s="1490"/>
      <c r="AA16" s="1487">
        <v>1</v>
      </c>
      <c r="AB16" s="1487">
        <v>1</v>
      </c>
      <c r="AC16" s="2098">
        <v>1</v>
      </c>
    </row>
    <row r="17" spans="1:29" ht="71.25">
      <c r="A17" s="386"/>
      <c r="B17" s="586" t="s">
        <v>1703</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514"/>
      <c r="Q17" s="1486" t="str">
        <f>B17</f>
        <v>交通便捷度</v>
      </c>
      <c r="R17" s="713" t="s">
        <v>17</v>
      </c>
      <c r="S17" s="714">
        <f>F17</f>
        <v>100</v>
      </c>
      <c r="T17" s="713" t="s">
        <v>17</v>
      </c>
      <c r="U17" s="714">
        <f>H17</f>
        <v>100</v>
      </c>
      <c r="V17" s="713" t="s">
        <v>17</v>
      </c>
      <c r="W17" s="714">
        <f>J17</f>
        <v>100</v>
      </c>
      <c r="X17" s="1489"/>
      <c r="Y17" s="3507"/>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514"/>
      <c r="Q18" s="1486"/>
      <c r="R18" s="713"/>
      <c r="S18" s="714"/>
      <c r="T18" s="713"/>
      <c r="U18" s="714"/>
      <c r="V18" s="713"/>
      <c r="W18" s="714"/>
      <c r="X18" s="1489"/>
      <c r="Y18" s="3507"/>
      <c r="Z18" s="1490"/>
      <c r="AA18" s="1487">
        <v>1</v>
      </c>
      <c r="AB18" s="1487">
        <v>1</v>
      </c>
      <c r="AC18" s="2098">
        <v>1</v>
      </c>
    </row>
    <row r="19" spans="1:29" ht="42.75">
      <c r="A19" s="386"/>
      <c r="B19" s="586" t="s">
        <v>2264</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514"/>
      <c r="Q19" s="1486" t="str">
        <f>B19</f>
        <v>公共配套设施</v>
      </c>
      <c r="R19" s="713" t="s">
        <v>17</v>
      </c>
      <c r="S19" s="714">
        <f>F19</f>
        <v>100</v>
      </c>
      <c r="T19" s="713" t="s">
        <v>17</v>
      </c>
      <c r="U19" s="714">
        <f>H19</f>
        <v>100</v>
      </c>
      <c r="V19" s="713" t="s">
        <v>17</v>
      </c>
      <c r="W19" s="714">
        <f>J19</f>
        <v>100</v>
      </c>
      <c r="X19" s="1489"/>
      <c r="Y19" s="3507"/>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514"/>
      <c r="Q20" s="1486"/>
      <c r="R20" s="713"/>
      <c r="S20" s="714"/>
      <c r="T20" s="713"/>
      <c r="U20" s="714"/>
      <c r="V20" s="713"/>
      <c r="W20" s="714"/>
      <c r="X20" s="1489"/>
      <c r="Y20" s="3507"/>
      <c r="Z20" s="1490"/>
      <c r="AA20" s="1487">
        <v>1</v>
      </c>
      <c r="AB20" s="1487">
        <v>1</v>
      </c>
      <c r="AC20" s="2098">
        <v>1</v>
      </c>
    </row>
    <row r="21" spans="1:29" ht="28.5">
      <c r="A21" s="386"/>
      <c r="B21" s="588" t="s">
        <v>2265</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514"/>
      <c r="Q21" s="1486" t="str">
        <f>B21</f>
        <v>基础设施水平</v>
      </c>
      <c r="R21" s="713" t="s">
        <v>17</v>
      </c>
      <c r="S21" s="714">
        <f>F21</f>
        <v>100</v>
      </c>
      <c r="T21" s="713" t="s">
        <v>17</v>
      </c>
      <c r="U21" s="714">
        <f>H21</f>
        <v>100</v>
      </c>
      <c r="V21" s="713" t="s">
        <v>17</v>
      </c>
      <c r="W21" s="714">
        <f>J21</f>
        <v>100</v>
      </c>
      <c r="X21" s="1489"/>
      <c r="Y21" s="3507"/>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514"/>
      <c r="Q22" s="1486"/>
      <c r="R22" s="713"/>
      <c r="S22" s="714"/>
      <c r="T22" s="713"/>
      <c r="U22" s="714"/>
      <c r="V22" s="713"/>
      <c r="W22" s="714"/>
      <c r="X22" s="1489"/>
      <c r="Y22" s="3507"/>
      <c r="Z22" s="1490"/>
      <c r="AA22" s="1487">
        <v>1</v>
      </c>
      <c r="AB22" s="1487">
        <v>1</v>
      </c>
      <c r="AC22" s="2098">
        <v>1</v>
      </c>
    </row>
    <row r="23" spans="1:29" ht="42.75">
      <c r="A23" s="386"/>
      <c r="B23" s="586" t="s">
        <v>2266</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514"/>
      <c r="Q23" s="1486" t="str">
        <f>B23</f>
        <v>环境质量</v>
      </c>
      <c r="R23" s="713" t="s">
        <v>17</v>
      </c>
      <c r="S23" s="714">
        <f>F23</f>
        <v>100</v>
      </c>
      <c r="T23" s="713" t="s">
        <v>17</v>
      </c>
      <c r="U23" s="714">
        <f>H23</f>
        <v>100</v>
      </c>
      <c r="V23" s="713" t="s">
        <v>17</v>
      </c>
      <c r="W23" s="714">
        <f>J23</f>
        <v>100</v>
      </c>
      <c r="X23" s="1489"/>
      <c r="Y23" s="3507"/>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514"/>
      <c r="Q24" s="1486"/>
      <c r="R24" s="713"/>
      <c r="S24" s="714"/>
      <c r="T24" s="713"/>
      <c r="U24" s="714"/>
      <c r="V24" s="713"/>
      <c r="W24" s="714"/>
      <c r="X24" s="1489"/>
      <c r="Y24" s="3507"/>
      <c r="Z24" s="1490"/>
      <c r="AA24" s="1487">
        <v>1</v>
      </c>
      <c r="AB24" s="1487">
        <v>1</v>
      </c>
      <c r="AC24" s="2098">
        <v>1</v>
      </c>
    </row>
    <row r="25" spans="1:29" ht="27">
      <c r="A25" s="363"/>
      <c r="B25" s="586" t="s">
        <v>2267</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14"/>
      <c r="Q25" s="1486" t="str">
        <f>B25</f>
        <v>毗邻道路的类型与等级</v>
      </c>
      <c r="R25" s="713" t="s">
        <v>17</v>
      </c>
      <c r="S25" s="714">
        <f>F25</f>
        <v>100</v>
      </c>
      <c r="T25" s="713" t="s">
        <v>17</v>
      </c>
      <c r="U25" s="714">
        <f>H25</f>
        <v>100</v>
      </c>
      <c r="V25" s="713" t="s">
        <v>17</v>
      </c>
      <c r="W25" s="714">
        <f>J25</f>
        <v>100</v>
      </c>
      <c r="X25" s="1489"/>
      <c r="Y25" s="3507"/>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514"/>
      <c r="Q26" s="1486"/>
      <c r="R26" s="713"/>
      <c r="S26" s="714"/>
      <c r="T26" s="713"/>
      <c r="U26" s="714"/>
      <c r="V26" s="713"/>
      <c r="W26" s="714"/>
      <c r="X26" s="1489"/>
      <c r="Y26" s="3507"/>
      <c r="Z26" s="1490"/>
      <c r="AA26" s="1487">
        <v>1</v>
      </c>
      <c r="AB26" s="1487">
        <v>1</v>
      </c>
      <c r="AC26" s="2098">
        <v>1</v>
      </c>
    </row>
    <row r="27" spans="1:29" ht="15">
      <c r="A27" s="386"/>
      <c r="B27" s="587" t="s">
        <v>2235</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14"/>
      <c r="Q27" s="1486" t="str">
        <f t="shared" ref="Q27:Q47" si="11">B27</f>
        <v>楼层</v>
      </c>
      <c r="R27" s="713" t="s">
        <v>17</v>
      </c>
      <c r="S27" s="714">
        <f>F27</f>
        <v>100</v>
      </c>
      <c r="T27" s="713" t="s">
        <v>17</v>
      </c>
      <c r="U27" s="714">
        <f>H27</f>
        <v>100</v>
      </c>
      <c r="V27" s="713" t="s">
        <v>17</v>
      </c>
      <c r="W27" s="714">
        <f>J27</f>
        <v>100</v>
      </c>
      <c r="X27" s="1489"/>
      <c r="Y27" s="3507"/>
      <c r="Z27" s="1490" t="str">
        <f>Q27</f>
        <v>楼层</v>
      </c>
      <c r="AA27" s="1487">
        <f t="shared" si="3"/>
        <v>1</v>
      </c>
      <c r="AB27" s="1487">
        <f t="shared" si="4"/>
        <v>1</v>
      </c>
      <c r="AC27" s="2098">
        <f t="shared" si="5"/>
        <v>1</v>
      </c>
    </row>
    <row r="28" spans="1:29" s="112" customFormat="1" ht="15">
      <c r="A28" s="389"/>
      <c r="B28" s="586" t="s">
        <v>2268</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14"/>
      <c r="Q28" s="1477" t="str">
        <f t="shared" si="11"/>
        <v>朝向</v>
      </c>
      <c r="R28" s="709" t="s">
        <v>17</v>
      </c>
      <c r="S28" s="710">
        <f>F28</f>
        <v>100</v>
      </c>
      <c r="T28" s="709" t="s">
        <v>17</v>
      </c>
      <c r="U28" s="710">
        <f>H28</f>
        <v>100</v>
      </c>
      <c r="V28" s="709" t="s">
        <v>17</v>
      </c>
      <c r="W28" s="710">
        <f>J28</f>
        <v>100</v>
      </c>
      <c r="X28" s="711"/>
      <c r="Y28" s="3507"/>
      <c r="Z28" s="55"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14"/>
      <c r="Q29" s="1486">
        <f t="shared" si="11"/>
        <v>111</v>
      </c>
      <c r="R29" s="713" t="s">
        <v>17</v>
      </c>
      <c r="S29" s="714">
        <f t="shared" ref="S29:S47" si="12">F29</f>
        <v>100</v>
      </c>
      <c r="T29" s="713" t="s">
        <v>17</v>
      </c>
      <c r="U29" s="714">
        <f t="shared" ref="U29:U47" si="13">H29</f>
        <v>100</v>
      </c>
      <c r="V29" s="713" t="s">
        <v>17</v>
      </c>
      <c r="W29" s="714">
        <f t="shared" ref="W29:W47" si="14">J29</f>
        <v>100</v>
      </c>
      <c r="X29" s="1489"/>
      <c r="Y29" s="3507"/>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14"/>
      <c r="Q30" s="1486">
        <f t="shared" si="11"/>
        <v>111</v>
      </c>
      <c r="R30" s="713" t="s">
        <v>17</v>
      </c>
      <c r="S30" s="714">
        <f t="shared" si="12"/>
        <v>100</v>
      </c>
      <c r="T30" s="713" t="s">
        <v>17</v>
      </c>
      <c r="U30" s="714">
        <f t="shared" si="13"/>
        <v>100</v>
      </c>
      <c r="V30" s="713" t="s">
        <v>17</v>
      </c>
      <c r="W30" s="714">
        <f t="shared" si="14"/>
        <v>100</v>
      </c>
      <c r="X30" s="1489"/>
      <c r="Y30" s="3507"/>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14"/>
      <c r="Q31" s="1486">
        <f t="shared" si="11"/>
        <v>111</v>
      </c>
      <c r="R31" s="713" t="s">
        <v>17</v>
      </c>
      <c r="S31" s="714">
        <f t="shared" si="12"/>
        <v>100</v>
      </c>
      <c r="T31" s="713" t="s">
        <v>17</v>
      </c>
      <c r="U31" s="714">
        <f t="shared" si="13"/>
        <v>100</v>
      </c>
      <c r="V31" s="713" t="s">
        <v>17</v>
      </c>
      <c r="W31" s="714">
        <f t="shared" si="14"/>
        <v>100</v>
      </c>
      <c r="X31" s="1489"/>
      <c r="Y31" s="3507"/>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14"/>
      <c r="Q32" s="1486">
        <f t="shared" si="11"/>
        <v>111</v>
      </c>
      <c r="R32" s="713" t="s">
        <v>17</v>
      </c>
      <c r="S32" s="714">
        <f t="shared" si="12"/>
        <v>100</v>
      </c>
      <c r="T32" s="713" t="s">
        <v>17</v>
      </c>
      <c r="U32" s="714">
        <f t="shared" si="13"/>
        <v>100</v>
      </c>
      <c r="V32" s="713" t="s">
        <v>17</v>
      </c>
      <c r="W32" s="714">
        <f t="shared" si="14"/>
        <v>100</v>
      </c>
      <c r="X32" s="1489"/>
      <c r="Y32" s="3507"/>
      <c r="Z32" s="1490">
        <f t="shared" si="15"/>
        <v>111</v>
      </c>
      <c r="AA32" s="1487">
        <f t="shared" si="3"/>
        <v>1</v>
      </c>
      <c r="AB32" s="1487">
        <f t="shared" si="4"/>
        <v>1</v>
      </c>
      <c r="AC32" s="2098">
        <f t="shared" si="5"/>
        <v>1</v>
      </c>
    </row>
    <row r="33" spans="1:29" ht="15">
      <c r="A33" s="398" t="s">
        <v>2139</v>
      </c>
      <c r="B33" s="67" t="s">
        <v>2269</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508" t="s">
        <v>2141</v>
      </c>
      <c r="Q33" s="1486" t="str">
        <f t="shared" si="11"/>
        <v>建筑类型</v>
      </c>
      <c r="R33" s="713" t="s">
        <v>17</v>
      </c>
      <c r="S33" s="714">
        <f t="shared" si="12"/>
        <v>100</v>
      </c>
      <c r="T33" s="713" t="s">
        <v>17</v>
      </c>
      <c r="U33" s="714">
        <f t="shared" si="13"/>
        <v>100</v>
      </c>
      <c r="V33" s="713" t="s">
        <v>17</v>
      </c>
      <c r="W33" s="714">
        <f t="shared" si="14"/>
        <v>100</v>
      </c>
      <c r="X33" s="1489"/>
      <c r="Y33" s="3511" t="s">
        <v>2141</v>
      </c>
      <c r="Z33" s="1490" t="str">
        <f t="shared" si="15"/>
        <v>建筑类型</v>
      </c>
      <c r="AA33" s="1487">
        <f t="shared" si="3"/>
        <v>1</v>
      </c>
      <c r="AB33" s="1487">
        <f t="shared" si="4"/>
        <v>1</v>
      </c>
      <c r="AC33" s="2098">
        <f t="shared" si="5"/>
        <v>1</v>
      </c>
    </row>
    <row r="34" spans="1:29" s="429" customFormat="1" ht="15">
      <c r="A34" s="426"/>
      <c r="B34" s="380" t="s">
        <v>2142</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509"/>
      <c r="Q34" s="715" t="str">
        <f t="shared" si="11"/>
        <v>项目建筑规模</v>
      </c>
      <c r="R34" s="716" t="s">
        <v>17</v>
      </c>
      <c r="S34" s="717" t="e">
        <f t="shared" si="12"/>
        <v>#N/A</v>
      </c>
      <c r="T34" s="716" t="s">
        <v>17</v>
      </c>
      <c r="U34" s="717" t="e">
        <f t="shared" si="13"/>
        <v>#N/A</v>
      </c>
      <c r="V34" s="716" t="s">
        <v>17</v>
      </c>
      <c r="W34" s="717" t="e">
        <f t="shared" si="14"/>
        <v>#N/A</v>
      </c>
      <c r="X34" s="718"/>
      <c r="Y34" s="3511"/>
      <c r="Z34" s="719" t="str">
        <f t="shared" si="15"/>
        <v>项目建筑规模</v>
      </c>
      <c r="AA34" s="1487" t="e">
        <f t="shared" si="3"/>
        <v>#N/A</v>
      </c>
      <c r="AB34" s="1487" t="e">
        <f t="shared" si="4"/>
        <v>#N/A</v>
      </c>
      <c r="AC34" s="2098" t="e">
        <f t="shared" si="5"/>
        <v>#N/A</v>
      </c>
    </row>
    <row r="35" spans="1:29" ht="15">
      <c r="A35" s="430"/>
      <c r="B35" s="380" t="s">
        <v>2143</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509"/>
      <c r="Q35" s="1486" t="str">
        <f t="shared" si="11"/>
        <v>建筑结构</v>
      </c>
      <c r="R35" s="713" t="s">
        <v>17</v>
      </c>
      <c r="S35" s="714">
        <f t="shared" si="12"/>
        <v>100</v>
      </c>
      <c r="T35" s="713" t="s">
        <v>17</v>
      </c>
      <c r="U35" s="714">
        <f t="shared" si="13"/>
        <v>100</v>
      </c>
      <c r="V35" s="713" t="s">
        <v>17</v>
      </c>
      <c r="W35" s="714">
        <f t="shared" si="14"/>
        <v>100</v>
      </c>
      <c r="X35" s="1489"/>
      <c r="Y35" s="3511"/>
      <c r="Z35" s="1490" t="str">
        <f t="shared" si="15"/>
        <v>建筑结构</v>
      </c>
      <c r="AA35" s="1487">
        <f t="shared" si="3"/>
        <v>1</v>
      </c>
      <c r="AB35" s="1487">
        <f t="shared" si="4"/>
        <v>1</v>
      </c>
      <c r="AC35" s="2098">
        <f t="shared" si="5"/>
        <v>1</v>
      </c>
    </row>
    <row r="36" spans="1:29" ht="15">
      <c r="A36" s="430"/>
      <c r="B36" s="380" t="s">
        <v>2237</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509"/>
      <c r="Q36" s="1486" t="str">
        <f t="shared" si="11"/>
        <v>公共部分装修</v>
      </c>
      <c r="R36" s="713" t="s">
        <v>17</v>
      </c>
      <c r="S36" s="714">
        <f t="shared" si="12"/>
        <v>100</v>
      </c>
      <c r="T36" s="713" t="s">
        <v>17</v>
      </c>
      <c r="U36" s="714">
        <f t="shared" si="13"/>
        <v>100</v>
      </c>
      <c r="V36" s="713" t="s">
        <v>17</v>
      </c>
      <c r="W36" s="714">
        <f t="shared" si="14"/>
        <v>100</v>
      </c>
      <c r="X36" s="1489"/>
      <c r="Y36" s="3511"/>
      <c r="Z36" s="1490" t="str">
        <f t="shared" si="15"/>
        <v>公共部分装修</v>
      </c>
      <c r="AA36" s="1487">
        <f t="shared" si="3"/>
        <v>1</v>
      </c>
      <c r="AB36" s="1487">
        <f t="shared" si="4"/>
        <v>1</v>
      </c>
      <c r="AC36" s="2098">
        <f t="shared" si="5"/>
        <v>1</v>
      </c>
    </row>
    <row r="37" spans="1:29" ht="15">
      <c r="A37" s="430"/>
      <c r="B37" s="380" t="s">
        <v>2238</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509"/>
      <c r="Q37" s="1486" t="str">
        <f t="shared" si="11"/>
        <v>成新度</v>
      </c>
      <c r="R37" s="713" t="s">
        <v>17</v>
      </c>
      <c r="S37" s="714" t="e">
        <f t="shared" si="12"/>
        <v>#N/A</v>
      </c>
      <c r="T37" s="713" t="s">
        <v>17</v>
      </c>
      <c r="U37" s="714" t="e">
        <f t="shared" si="13"/>
        <v>#N/A</v>
      </c>
      <c r="V37" s="713" t="s">
        <v>17</v>
      </c>
      <c r="W37" s="714" t="e">
        <f t="shared" si="14"/>
        <v>#N/A</v>
      </c>
      <c r="X37" s="1489"/>
      <c r="Y37" s="3511"/>
      <c r="Z37" s="1490" t="str">
        <f t="shared" si="15"/>
        <v>成新度</v>
      </c>
      <c r="AA37" s="1487" t="e">
        <f t="shared" si="3"/>
        <v>#N/A</v>
      </c>
      <c r="AB37" s="1487" t="e">
        <f t="shared" si="4"/>
        <v>#N/A</v>
      </c>
      <c r="AC37" s="2098" t="e">
        <f t="shared" si="5"/>
        <v>#N/A</v>
      </c>
    </row>
    <row r="38" spans="1:29" s="112" customFormat="1" ht="15">
      <c r="A38" s="431"/>
      <c r="B38" s="380" t="s">
        <v>2270</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509"/>
      <c r="Q38" s="1477" t="str">
        <f t="shared" si="11"/>
        <v>写字楼等级</v>
      </c>
      <c r="R38" s="709" t="s">
        <v>17</v>
      </c>
      <c r="S38" s="710">
        <f t="shared" si="12"/>
        <v>100</v>
      </c>
      <c r="T38" s="709" t="s">
        <v>17</v>
      </c>
      <c r="U38" s="710">
        <f t="shared" si="13"/>
        <v>100</v>
      </c>
      <c r="V38" s="709" t="s">
        <v>17</v>
      </c>
      <c r="W38" s="710">
        <f t="shared" si="14"/>
        <v>100</v>
      </c>
      <c r="X38" s="711"/>
      <c r="Y38" s="3511"/>
      <c r="Z38" s="55" t="str">
        <f t="shared" si="15"/>
        <v>写字楼等级</v>
      </c>
      <c r="AA38" s="712">
        <f t="shared" si="3"/>
        <v>1</v>
      </c>
      <c r="AB38" s="712">
        <f t="shared" si="4"/>
        <v>1</v>
      </c>
      <c r="AC38" s="2095">
        <f t="shared" si="5"/>
        <v>1</v>
      </c>
    </row>
    <row r="39" spans="1:29" ht="15">
      <c r="A39" s="430"/>
      <c r="B39" s="380" t="s">
        <v>2271</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509" t="s">
        <v>2141</v>
      </c>
      <c r="Q39" s="1486" t="str">
        <f t="shared" si="11"/>
        <v>物业管理</v>
      </c>
      <c r="R39" s="713" t="s">
        <v>17</v>
      </c>
      <c r="S39" s="714">
        <f t="shared" si="12"/>
        <v>100</v>
      </c>
      <c r="T39" s="713" t="s">
        <v>17</v>
      </c>
      <c r="U39" s="714">
        <f t="shared" si="13"/>
        <v>100</v>
      </c>
      <c r="V39" s="713" t="s">
        <v>17</v>
      </c>
      <c r="W39" s="714">
        <f t="shared" si="14"/>
        <v>100</v>
      </c>
      <c r="X39" s="1489"/>
      <c r="Y39" s="3511" t="s">
        <v>2141</v>
      </c>
      <c r="Z39" s="1490" t="str">
        <f t="shared" si="15"/>
        <v>物业管理</v>
      </c>
      <c r="AA39" s="1487">
        <f t="shared" si="3"/>
        <v>1</v>
      </c>
      <c r="AB39" s="1487">
        <f t="shared" si="4"/>
        <v>1</v>
      </c>
      <c r="AC39" s="2098">
        <f t="shared" si="5"/>
        <v>1</v>
      </c>
    </row>
    <row r="40" spans="1:29" ht="15">
      <c r="A40" s="430"/>
      <c r="B40" s="380" t="s">
        <v>2239</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509"/>
      <c r="Q40" s="1486" t="str">
        <f t="shared" si="11"/>
        <v>市政基础设施</v>
      </c>
      <c r="R40" s="713" t="s">
        <v>17</v>
      </c>
      <c r="S40" s="714">
        <f t="shared" si="12"/>
        <v>100</v>
      </c>
      <c r="T40" s="713" t="s">
        <v>17</v>
      </c>
      <c r="U40" s="714">
        <f t="shared" si="13"/>
        <v>100</v>
      </c>
      <c r="V40" s="713" t="s">
        <v>17</v>
      </c>
      <c r="W40" s="714">
        <f t="shared" si="14"/>
        <v>100</v>
      </c>
      <c r="X40" s="1489"/>
      <c r="Y40" s="3511"/>
      <c r="Z40" s="1490" t="str">
        <f t="shared" si="15"/>
        <v>市政基础设施</v>
      </c>
      <c r="AA40" s="1487">
        <f t="shared" si="3"/>
        <v>1</v>
      </c>
      <c r="AB40" s="1487">
        <f t="shared" si="4"/>
        <v>1</v>
      </c>
      <c r="AC40" s="2098">
        <f t="shared" si="5"/>
        <v>1</v>
      </c>
    </row>
    <row r="41" spans="1:29" ht="15">
      <c r="A41" s="430"/>
      <c r="B41" s="380" t="s">
        <v>2241</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09"/>
      <c r="Q41" s="1486" t="str">
        <f t="shared" si="11"/>
        <v>层高</v>
      </c>
      <c r="R41" s="713" t="s">
        <v>17</v>
      </c>
      <c r="S41" s="714">
        <f t="shared" si="12"/>
        <v>100</v>
      </c>
      <c r="T41" s="713" t="s">
        <v>17</v>
      </c>
      <c r="U41" s="714">
        <f t="shared" si="13"/>
        <v>100</v>
      </c>
      <c r="V41" s="713" t="s">
        <v>17</v>
      </c>
      <c r="W41" s="714">
        <f t="shared" si="14"/>
        <v>100</v>
      </c>
      <c r="X41" s="1489"/>
      <c r="Y41" s="3511"/>
      <c r="Z41" s="1490" t="str">
        <f t="shared" si="15"/>
        <v>层高</v>
      </c>
      <c r="AA41" s="1487">
        <f t="shared" si="3"/>
        <v>1</v>
      </c>
      <c r="AB41" s="1487">
        <f t="shared" si="4"/>
        <v>1</v>
      </c>
      <c r="AC41" s="2098">
        <f t="shared" si="5"/>
        <v>1</v>
      </c>
    </row>
    <row r="42" spans="1:29" s="429" customFormat="1" ht="15">
      <c r="A42" s="426"/>
      <c r="B42" s="1488" t="s">
        <v>2272</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09"/>
      <c r="Q42" s="715" t="str">
        <f t="shared" si="11"/>
        <v>单套建筑面积</v>
      </c>
      <c r="R42" s="716" t="s">
        <v>17</v>
      </c>
      <c r="S42" s="717">
        <f t="shared" si="12"/>
        <v>100</v>
      </c>
      <c r="T42" s="716" t="s">
        <v>17</v>
      </c>
      <c r="U42" s="717">
        <f t="shared" si="13"/>
        <v>100</v>
      </c>
      <c r="V42" s="716" t="s">
        <v>17</v>
      </c>
      <c r="W42" s="717">
        <f t="shared" si="14"/>
        <v>100</v>
      </c>
      <c r="X42" s="718"/>
      <c r="Y42" s="3511"/>
      <c r="Z42" s="719" t="str">
        <f t="shared" si="15"/>
        <v>单套建筑面积</v>
      </c>
      <c r="AA42" s="1487">
        <f t="shared" si="3"/>
        <v>1</v>
      </c>
      <c r="AB42" s="1487">
        <f t="shared" si="4"/>
        <v>1</v>
      </c>
      <c r="AC42" s="2098">
        <f t="shared" si="5"/>
        <v>1</v>
      </c>
    </row>
    <row r="43" spans="1:29" ht="15">
      <c r="A43" s="430"/>
      <c r="B43" s="380" t="s">
        <v>2244</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509"/>
      <c r="Q43" s="1486" t="str">
        <f t="shared" si="11"/>
        <v>内部装修</v>
      </c>
      <c r="R43" s="713" t="s">
        <v>17</v>
      </c>
      <c r="S43" s="714">
        <f t="shared" si="12"/>
        <v>100</v>
      </c>
      <c r="T43" s="713" t="s">
        <v>17</v>
      </c>
      <c r="U43" s="714">
        <f t="shared" si="13"/>
        <v>100</v>
      </c>
      <c r="V43" s="713" t="s">
        <v>17</v>
      </c>
      <c r="W43" s="714">
        <f t="shared" si="14"/>
        <v>100</v>
      </c>
      <c r="X43" s="1489"/>
      <c r="Y43" s="3511"/>
      <c r="Z43" s="1490" t="str">
        <f t="shared" si="15"/>
        <v>内部装修</v>
      </c>
      <c r="AA43" s="1487">
        <f t="shared" si="3"/>
        <v>1</v>
      </c>
      <c r="AB43" s="1487">
        <f t="shared" si="4"/>
        <v>1</v>
      </c>
      <c r="AC43" s="2098">
        <f t="shared" si="5"/>
        <v>1</v>
      </c>
    </row>
    <row r="44" spans="1:29" ht="15">
      <c r="A44" s="430"/>
      <c r="B44" s="380" t="s">
        <v>2152</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509"/>
      <c r="Q44" s="1486" t="str">
        <f t="shared" si="11"/>
        <v>内部装修维护情况</v>
      </c>
      <c r="R44" s="713" t="s">
        <v>17</v>
      </c>
      <c r="S44" s="714">
        <f t="shared" si="12"/>
        <v>100</v>
      </c>
      <c r="T44" s="713" t="s">
        <v>17</v>
      </c>
      <c r="U44" s="714">
        <f t="shared" si="13"/>
        <v>100</v>
      </c>
      <c r="V44" s="713" t="s">
        <v>17</v>
      </c>
      <c r="W44" s="714">
        <f t="shared" si="14"/>
        <v>100</v>
      </c>
      <c r="X44" s="1489"/>
      <c r="Y44" s="3511"/>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509"/>
      <c r="Q45" s="1477">
        <f t="shared" si="11"/>
        <v>111</v>
      </c>
      <c r="R45" s="709" t="s">
        <v>17</v>
      </c>
      <c r="S45" s="710">
        <f t="shared" si="12"/>
        <v>100</v>
      </c>
      <c r="T45" s="709" t="s">
        <v>17</v>
      </c>
      <c r="U45" s="710">
        <f t="shared" si="13"/>
        <v>100</v>
      </c>
      <c r="V45" s="709" t="s">
        <v>17</v>
      </c>
      <c r="W45" s="710">
        <f t="shared" si="14"/>
        <v>100</v>
      </c>
      <c r="X45" s="711"/>
      <c r="Y45" s="3511"/>
      <c r="Z45" s="55">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09"/>
      <c r="Q46" s="1486">
        <f t="shared" si="11"/>
        <v>111</v>
      </c>
      <c r="R46" s="713" t="s">
        <v>17</v>
      </c>
      <c r="S46" s="714">
        <f t="shared" si="12"/>
        <v>100</v>
      </c>
      <c r="T46" s="713" t="s">
        <v>17</v>
      </c>
      <c r="U46" s="714">
        <f t="shared" si="13"/>
        <v>100</v>
      </c>
      <c r="V46" s="713" t="s">
        <v>17</v>
      </c>
      <c r="W46" s="714">
        <f t="shared" si="14"/>
        <v>100</v>
      </c>
      <c r="X46" s="1489"/>
      <c r="Y46" s="3511"/>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510"/>
      <c r="Q47" s="1486">
        <f t="shared" si="11"/>
        <v>111</v>
      </c>
      <c r="R47" s="713" t="s">
        <v>17</v>
      </c>
      <c r="S47" s="714">
        <f t="shared" si="12"/>
        <v>100</v>
      </c>
      <c r="T47" s="713" t="s">
        <v>17</v>
      </c>
      <c r="U47" s="714">
        <f t="shared" si="13"/>
        <v>100</v>
      </c>
      <c r="V47" s="713" t="s">
        <v>17</v>
      </c>
      <c r="W47" s="714">
        <f t="shared" si="14"/>
        <v>100</v>
      </c>
      <c r="X47" s="1489"/>
      <c r="Y47" s="3512"/>
      <c r="Z47" s="1490">
        <f t="shared" si="15"/>
        <v>111</v>
      </c>
      <c r="AA47" s="1487">
        <f t="shared" si="3"/>
        <v>1</v>
      </c>
      <c r="AB47" s="1487">
        <f t="shared" si="4"/>
        <v>1</v>
      </c>
      <c r="AC47" s="2098">
        <f t="shared" si="5"/>
        <v>1</v>
      </c>
    </row>
    <row r="48" spans="1:29" ht="15">
      <c r="A48" s="437" t="s">
        <v>2153</v>
      </c>
      <c r="B48" s="438"/>
      <c r="C48" s="1268" t="s">
        <v>1</v>
      </c>
      <c r="D48" s="1269"/>
      <c r="E48" s="1270"/>
      <c r="F48" s="1271"/>
      <c r="G48" s="1272"/>
      <c r="H48" s="1273"/>
      <c r="I48" s="1270"/>
      <c r="J48" s="443"/>
      <c r="K48" s="722"/>
      <c r="L48" s="2902"/>
      <c r="M48" s="2894"/>
      <c r="N48" s="2894"/>
      <c r="O48" s="2894"/>
      <c r="P48" s="3486" t="str">
        <f>A48</f>
        <v>成交单价（元/平方米）</v>
      </c>
      <c r="Q48" s="3504"/>
      <c r="R48" s="3505">
        <f>E48</f>
        <v>0</v>
      </c>
      <c r="S48" s="3505"/>
      <c r="T48" s="3505">
        <f>G48</f>
        <v>0</v>
      </c>
      <c r="U48" s="3505"/>
      <c r="V48" s="3505">
        <f>I48</f>
        <v>0</v>
      </c>
      <c r="W48" s="3505"/>
      <c r="X48" s="404"/>
      <c r="Y48" s="720"/>
      <c r="Z48" s="404"/>
      <c r="AA48" s="404"/>
      <c r="AB48" s="404"/>
      <c r="AC48" s="585"/>
    </row>
    <row r="49" spans="1:29" ht="15.75" thickBot="1">
      <c r="A49" s="444" t="s">
        <v>2245</v>
      </c>
      <c r="B49" s="445"/>
      <c r="C49" s="1274" t="e">
        <f>R50</f>
        <v>#DIV/0!</v>
      </c>
      <c r="D49" s="2488" t="s">
        <v>2635</v>
      </c>
      <c r="E49" s="1275" t="e">
        <f>R49</f>
        <v>#DIV/0!</v>
      </c>
      <c r="F49" s="2489"/>
      <c r="G49" s="1274" t="e">
        <f>T49</f>
        <v>#DIV/0!</v>
      </c>
      <c r="H49" s="2489"/>
      <c r="I49" s="1275" t="e">
        <f>V49</f>
        <v>#DIV/0!</v>
      </c>
      <c r="J49" s="2489"/>
      <c r="K49" s="2491">
        <f>F49+H49+J49</f>
        <v>0</v>
      </c>
      <c r="L49" s="2902"/>
      <c r="M49" s="2894"/>
      <c r="N49" s="2894"/>
      <c r="O49" s="2894"/>
      <c r="P49" s="3486" t="str">
        <f>A49</f>
        <v>比较价值（元/平方米）</v>
      </c>
      <c r="Q49" s="3504"/>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404"/>
      <c r="Y49" s="404"/>
      <c r="Z49" s="404"/>
      <c r="AA49" s="404"/>
      <c r="AB49" s="404"/>
      <c r="AC49" s="585"/>
    </row>
    <row r="50" spans="1:29" ht="15.75" thickBot="1">
      <c r="A50" s="448" t="s">
        <v>2246</v>
      </c>
      <c r="B50" s="449"/>
      <c r="C50" s="1277" t="e">
        <f>R50</f>
        <v>#DIV/0!</v>
      </c>
      <c r="D50" s="1277"/>
      <c r="E50" s="1277"/>
      <c r="F50" s="1277"/>
      <c r="G50" s="1277"/>
      <c r="H50" s="1277"/>
      <c r="I50" s="1277"/>
      <c r="J50" s="450"/>
      <c r="K50" s="723"/>
      <c r="L50" s="2902"/>
      <c r="M50" s="2894"/>
      <c r="N50" s="2894"/>
      <c r="O50" s="2894"/>
      <c r="P50" s="3527" t="str">
        <f>A50</f>
        <v>估价对象XX用房的比较价值（楼面单价，元/平方米）</v>
      </c>
      <c r="Q50" s="3528"/>
      <c r="R50" s="3529" t="e">
        <f>IF(F1="售价",ROUND(IF(D49="简单平均",AVERAGE(R49:V49),R49*F49+T49*H49+V49*J49),0),ROUND(IF(D49="简单平均",AVERAGE(R49:V49),R49*F49+T49*H49+V49*J49),1))</f>
        <v>#DIV/0!</v>
      </c>
      <c r="S50" s="3529"/>
      <c r="T50" s="3529"/>
      <c r="U50" s="3529"/>
      <c r="V50" s="3529"/>
      <c r="W50" s="3529"/>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2247</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2248</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2249</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2250</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2124</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2161</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2126</v>
      </c>
      <c r="B62" s="466"/>
      <c r="C62" s="478" t="s">
        <v>2228</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2164</v>
      </c>
      <c r="B64" s="484" t="s">
        <v>2130</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2133</v>
      </c>
      <c r="C66" s="495" t="s">
        <v>2165</v>
      </c>
      <c r="D66" s="495" t="s">
        <v>2166</v>
      </c>
      <c r="E66" s="495" t="s">
        <v>2167</v>
      </c>
      <c r="F66" s="495" t="s">
        <v>2168</v>
      </c>
      <c r="G66" s="495" t="s">
        <v>2169</v>
      </c>
      <c r="H66" s="495" t="s">
        <v>2170</v>
      </c>
      <c r="I66" s="495" t="s">
        <v>2171</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2134</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2135</v>
      </c>
      <c r="B77" s="484" t="s">
        <v>2273</v>
      </c>
      <c r="C77" s="529" t="s">
        <v>2173</v>
      </c>
      <c r="D77" s="529" t="s">
        <v>2174</v>
      </c>
      <c r="E77" s="529" t="s">
        <v>2175</v>
      </c>
      <c r="F77" s="529" t="s">
        <v>2176</v>
      </c>
      <c r="G77" s="529" t="s">
        <v>2177</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2178</v>
      </c>
      <c r="C79" s="534" t="s">
        <v>2173</v>
      </c>
      <c r="D79" s="534" t="s">
        <v>2174</v>
      </c>
      <c r="E79" s="534" t="s">
        <v>2175</v>
      </c>
      <c r="F79" s="534" t="s">
        <v>2176</v>
      </c>
      <c r="G79" s="534" t="s">
        <v>2177</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2179</v>
      </c>
      <c r="C81" s="534" t="s">
        <v>2173</v>
      </c>
      <c r="D81" s="534" t="s">
        <v>2174</v>
      </c>
      <c r="E81" s="534" t="s">
        <v>2175</v>
      </c>
      <c r="F81" s="534" t="s">
        <v>2176</v>
      </c>
      <c r="G81" s="534" t="s">
        <v>2177</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2265</v>
      </c>
      <c r="C83" s="615" t="s">
        <v>2251</v>
      </c>
      <c r="D83" s="615" t="s">
        <v>2252</v>
      </c>
      <c r="E83" s="615" t="s">
        <v>2253</v>
      </c>
      <c r="F83" s="615" t="s">
        <v>2254</v>
      </c>
      <c r="G83" s="615" t="s">
        <v>2255</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2274</v>
      </c>
      <c r="C85" s="534" t="s">
        <v>2173</v>
      </c>
      <c r="D85" s="534" t="s">
        <v>2174</v>
      </c>
      <c r="E85" s="534" t="s">
        <v>2175</v>
      </c>
      <c r="F85" s="534" t="s">
        <v>2176</v>
      </c>
      <c r="G85" s="534" t="s">
        <v>2177</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2275</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2139</v>
      </c>
      <c r="B101" s="484" t="s">
        <v>2188</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2189</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2190</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2192</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2276</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2193</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2194</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2277</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2260</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2196</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2197</v>
      </c>
      <c r="C125" s="534" t="s">
        <v>2173</v>
      </c>
      <c r="D125" s="534" t="s">
        <v>2174</v>
      </c>
      <c r="E125" s="534" t="s">
        <v>2175</v>
      </c>
      <c r="F125" s="534" t="s">
        <v>2176</v>
      </c>
      <c r="G125" s="534" t="s">
        <v>2177</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受贵公司委托，我公司对北京市朝阳区红松园1号院教育科研项目房地产抵押价值进行了预评估。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估价对象为北京市朝阳区红松园1号院教育科研项目房地产，为所有。根据《国有土地使用证》[]，估价对象（分摊）出让国有建设用地使用权面积为9950.6平方米，建筑面积为51495平方米。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松园1号院教育科研项目房地产,属开发建设的，该项目尚在开发建设中。根据《国有土地使用证》[]，估价对象（分摊）出让国有建设用地使用权面积为9950.6平方米，规划建筑面积为51495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93" t="s">
        <v>2278</v>
      </c>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IF(C2="——",ROUND(C43*D3/10000,0),ROUND(C43*D3/10000,0)-D2)</f>
        <v>#DIV/0!</v>
      </c>
      <c r="C2" s="2017"/>
      <c r="D2" s="1018" t="e">
        <f ca="1">SUMIF(INDIRECT("'"&amp;F2&amp;"'"&amp;"!A:A"),"承租人权益价值",INDIRECT("'"&amp;F2&amp;"'"&amp;"!c:c"))</f>
        <v>#REF!</v>
      </c>
      <c r="E2" s="2018" t="s">
        <v>1907</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1908</v>
      </c>
      <c r="B3" s="565" t="e">
        <f ca="1">IF(C2="——",C43,ROUND(B2*10000/D3,0))</f>
        <v>#DIV/0!</v>
      </c>
      <c r="C3" s="359" t="s">
        <v>2220</v>
      </c>
      <c r="D3" s="358">
        <f>IF(D1="",'数据-汇总表'!E3,SUMIF('数据-汇总表'!$C19:$C33,D1,'数据-汇总表'!$E19:$E33))</f>
        <v>51495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2221</v>
      </c>
      <c r="B4" s="361"/>
      <c r="C4" s="3487" t="s">
        <v>2222</v>
      </c>
      <c r="D4" s="3488"/>
      <c r="E4" s="3489" t="s">
        <v>2223</v>
      </c>
      <c r="F4" s="3490"/>
      <c r="G4" s="3487" t="s">
        <v>2224</v>
      </c>
      <c r="H4" s="3488"/>
      <c r="I4" s="3487" t="s">
        <v>2225</v>
      </c>
      <c r="J4" s="3488"/>
      <c r="K4" s="566" t="s">
        <v>2226</v>
      </c>
      <c r="L4" s="1024"/>
      <c r="M4" s="1025"/>
      <c r="N4" s="1025"/>
      <c r="O4" s="1025"/>
      <c r="P4" s="3491" t="s">
        <v>2227</v>
      </c>
      <c r="Q4" s="3492"/>
      <c r="R4" s="3474" t="s">
        <v>2223</v>
      </c>
      <c r="S4" s="3475"/>
      <c r="T4" s="3474" t="s">
        <v>2224</v>
      </c>
      <c r="U4" s="3475"/>
      <c r="V4" s="3499" t="s">
        <v>2225</v>
      </c>
      <c r="W4" s="3499"/>
      <c r="X4" s="1489"/>
      <c r="Y4" s="3474" t="s">
        <v>2227</v>
      </c>
      <c r="Z4" s="3475"/>
      <c r="AA4" s="3469" t="s">
        <v>2223</v>
      </c>
      <c r="AB4" s="3470" t="s">
        <v>2224</v>
      </c>
      <c r="AC4" s="3469" t="s">
        <v>2225</v>
      </c>
    </row>
    <row r="5" spans="1:29" ht="15">
      <c r="A5" s="363"/>
      <c r="B5" s="364"/>
      <c r="C5" s="3480" t="s">
        <v>2118</v>
      </c>
      <c r="D5" s="3481"/>
      <c r="E5" s="3478" t="s">
        <v>2119</v>
      </c>
      <c r="F5" s="3479"/>
      <c r="G5" s="3480" t="s">
        <v>2120</v>
      </c>
      <c r="H5" s="3481"/>
      <c r="I5" s="3480" t="s">
        <v>2121</v>
      </c>
      <c r="J5" s="3481"/>
      <c r="K5" s="566"/>
      <c r="L5" s="1024"/>
      <c r="M5" s="1025"/>
      <c r="N5" s="1025"/>
      <c r="O5" s="1025"/>
      <c r="P5" s="3493"/>
      <c r="Q5" s="3494"/>
      <c r="R5" s="3476"/>
      <c r="S5" s="3477"/>
      <c r="T5" s="3476"/>
      <c r="U5" s="3477"/>
      <c r="V5" s="3499"/>
      <c r="W5" s="3499"/>
      <c r="X5" s="1489"/>
      <c r="Y5" s="3476"/>
      <c r="Z5" s="3477"/>
      <c r="AA5" s="3470"/>
      <c r="AB5" s="3470"/>
      <c r="AC5" s="3470"/>
    </row>
    <row r="6" spans="1:29" ht="15.75" thickBot="1">
      <c r="A6" s="365"/>
      <c r="B6" s="366"/>
      <c r="C6" s="3482" t="s">
        <v>2122</v>
      </c>
      <c r="D6" s="3483"/>
      <c r="E6" s="3484" t="s">
        <v>2122</v>
      </c>
      <c r="F6" s="3485"/>
      <c r="G6" s="3482" t="s">
        <v>2122</v>
      </c>
      <c r="H6" s="3483"/>
      <c r="I6" s="3482" t="s">
        <v>2122</v>
      </c>
      <c r="J6" s="3483"/>
      <c r="K6" s="566" t="s">
        <v>2123</v>
      </c>
      <c r="L6" s="1024"/>
      <c r="M6" s="1025"/>
      <c r="N6" s="1025"/>
      <c r="O6" s="1025"/>
      <c r="P6" s="3495"/>
      <c r="Q6" s="3496"/>
      <c r="R6" s="3476"/>
      <c r="S6" s="3477"/>
      <c r="T6" s="3497"/>
      <c r="U6" s="3498"/>
      <c r="V6" s="3499"/>
      <c r="W6" s="3499"/>
      <c r="X6" s="1489"/>
      <c r="Y6" s="3497"/>
      <c r="Z6" s="3498"/>
      <c r="AA6" s="3471"/>
      <c r="AB6" s="3471"/>
      <c r="AC6" s="3471"/>
    </row>
    <row r="7" spans="1:29" s="112" customFormat="1" ht="15.75" thickBot="1">
      <c r="A7" s="367" t="s">
        <v>2124</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2" t="s">
        <v>2125</v>
      </c>
      <c r="Q7" s="3500"/>
      <c r="R7" s="709" t="s">
        <v>17</v>
      </c>
      <c r="S7" s="710">
        <f t="shared" ref="S7:S15" si="0">F7</f>
        <v>0</v>
      </c>
      <c r="T7" s="709" t="s">
        <v>17</v>
      </c>
      <c r="U7" s="710">
        <f t="shared" ref="U7:U15" si="1">H7</f>
        <v>0</v>
      </c>
      <c r="V7" s="709" t="s">
        <v>17</v>
      </c>
      <c r="W7" s="710">
        <f t="shared" ref="W7:W15" si="2">J7</f>
        <v>0</v>
      </c>
      <c r="X7" s="711"/>
      <c r="Y7" s="3472" t="s">
        <v>2125</v>
      </c>
      <c r="Z7" s="3473"/>
      <c r="AA7" s="712" t="e">
        <f>D7/F7</f>
        <v>#DIV/0!</v>
      </c>
      <c r="AB7" s="712" t="e">
        <f>D7/H7</f>
        <v>#DIV/0!</v>
      </c>
      <c r="AC7" s="712" t="e">
        <f>D7/J7</f>
        <v>#DIV/0!</v>
      </c>
    </row>
    <row r="8" spans="1:29" s="112" customFormat="1" ht="15.75" thickBot="1">
      <c r="A8" s="367" t="s">
        <v>2126</v>
      </c>
      <c r="B8" s="368"/>
      <c r="C8" s="373" t="s">
        <v>2127</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2" t="s">
        <v>2128</v>
      </c>
      <c r="Q8" s="3473"/>
      <c r="R8" s="709" t="s">
        <v>17</v>
      </c>
      <c r="S8" s="710">
        <f t="shared" si="0"/>
        <v>0</v>
      </c>
      <c r="T8" s="709" t="s">
        <v>17</v>
      </c>
      <c r="U8" s="710">
        <f t="shared" si="1"/>
        <v>0</v>
      </c>
      <c r="V8" s="709" t="s">
        <v>17</v>
      </c>
      <c r="W8" s="710">
        <f t="shared" si="2"/>
        <v>0</v>
      </c>
      <c r="X8" s="711"/>
      <c r="Y8" s="3472" t="s">
        <v>2128</v>
      </c>
      <c r="Z8" s="3473"/>
      <c r="AA8" s="712" t="e">
        <f t="shared" ref="AA8:AA40" si="3">D8/F8</f>
        <v>#DIV/0!</v>
      </c>
      <c r="AB8" s="712" t="e">
        <f t="shared" ref="AB8:AB40" si="4">D8/H8</f>
        <v>#DIV/0!</v>
      </c>
      <c r="AC8" s="712" t="e">
        <f t="shared" ref="AC8:AC40" si="5">D8/J8</f>
        <v>#DIV/0!</v>
      </c>
    </row>
    <row r="9" spans="1:29" s="112" customFormat="1">
      <c r="A9" s="374" t="s">
        <v>2129</v>
      </c>
      <c r="B9" s="67" t="s">
        <v>2130</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04" t="s">
        <v>2131</v>
      </c>
      <c r="Q9" s="1477" t="str">
        <f t="shared" ref="Q9:Q15" si="6">B9</f>
        <v>用途</v>
      </c>
      <c r="R9" s="709" t="s">
        <v>17</v>
      </c>
      <c r="S9" s="710">
        <f t="shared" si="0"/>
        <v>100</v>
      </c>
      <c r="T9" s="709" t="s">
        <v>17</v>
      </c>
      <c r="U9" s="710">
        <f t="shared" si="1"/>
        <v>100</v>
      </c>
      <c r="V9" s="709" t="s">
        <v>17</v>
      </c>
      <c r="W9" s="710">
        <f t="shared" si="2"/>
        <v>100</v>
      </c>
      <c r="X9" s="711"/>
      <c r="Y9" s="3416"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04"/>
      <c r="Q10" s="1477" t="str">
        <f t="shared" si="6"/>
        <v>土地使用年限（年）</v>
      </c>
      <c r="R10" s="709" t="s">
        <v>17</v>
      </c>
      <c r="S10" s="710">
        <f t="shared" si="0"/>
        <v>100</v>
      </c>
      <c r="T10" s="709" t="s">
        <v>17</v>
      </c>
      <c r="U10" s="710">
        <f t="shared" si="1"/>
        <v>100</v>
      </c>
      <c r="V10" s="709" t="s">
        <v>17</v>
      </c>
      <c r="W10" s="710">
        <f t="shared" si="2"/>
        <v>100</v>
      </c>
      <c r="X10" s="711"/>
      <c r="Y10" s="3416"/>
      <c r="Z10" s="55" t="str">
        <f t="shared" si="7"/>
        <v>土地使用年限（年）</v>
      </c>
      <c r="AA10" s="712">
        <f t="shared" si="3"/>
        <v>1</v>
      </c>
      <c r="AB10" s="712">
        <f t="shared" si="4"/>
        <v>1</v>
      </c>
      <c r="AC10" s="712">
        <f t="shared" si="5"/>
        <v>1</v>
      </c>
    </row>
    <row r="11" spans="1:29" ht="15">
      <c r="A11" s="386"/>
      <c r="B11" s="380" t="s">
        <v>2134</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04"/>
      <c r="Q11" s="1477" t="str">
        <f t="shared" si="6"/>
        <v>容积率</v>
      </c>
      <c r="R11" s="709" t="s">
        <v>17</v>
      </c>
      <c r="S11" s="710" t="e">
        <f t="shared" si="0"/>
        <v>#N/A</v>
      </c>
      <c r="T11" s="709" t="s">
        <v>17</v>
      </c>
      <c r="U11" s="710" t="e">
        <f t="shared" si="1"/>
        <v>#N/A</v>
      </c>
      <c r="V11" s="709" t="s">
        <v>17</v>
      </c>
      <c r="W11" s="710" t="e">
        <f t="shared" si="2"/>
        <v>#N/A</v>
      </c>
      <c r="X11" s="711"/>
      <c r="Y11" s="3416"/>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504"/>
      <c r="Q12" s="1477">
        <f t="shared" si="6"/>
        <v>111</v>
      </c>
      <c r="R12" s="709" t="s">
        <v>17</v>
      </c>
      <c r="S12" s="710">
        <f t="shared" si="0"/>
        <v>100</v>
      </c>
      <c r="T12" s="709" t="s">
        <v>17</v>
      </c>
      <c r="U12" s="710">
        <f t="shared" si="1"/>
        <v>100</v>
      </c>
      <c r="V12" s="709" t="s">
        <v>17</v>
      </c>
      <c r="W12" s="710">
        <f t="shared" si="2"/>
        <v>100</v>
      </c>
      <c r="X12" s="711"/>
      <c r="Y12" s="3416"/>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504"/>
      <c r="Q13" s="1477">
        <f t="shared" si="6"/>
        <v>111</v>
      </c>
      <c r="R13" s="709" t="s">
        <v>17</v>
      </c>
      <c r="S13" s="710">
        <f t="shared" si="0"/>
        <v>100</v>
      </c>
      <c r="T13" s="709" t="s">
        <v>17</v>
      </c>
      <c r="U13" s="710">
        <f t="shared" si="1"/>
        <v>100</v>
      </c>
      <c r="V13" s="709" t="s">
        <v>17</v>
      </c>
      <c r="W13" s="710">
        <f t="shared" si="2"/>
        <v>100</v>
      </c>
      <c r="X13" s="711"/>
      <c r="Y13" s="3416"/>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504"/>
      <c r="Q14" s="1477">
        <f t="shared" si="6"/>
        <v>111</v>
      </c>
      <c r="R14" s="709" t="s">
        <v>17</v>
      </c>
      <c r="S14" s="710">
        <f t="shared" si="0"/>
        <v>100</v>
      </c>
      <c r="T14" s="709" t="s">
        <v>17</v>
      </c>
      <c r="U14" s="710">
        <f t="shared" si="1"/>
        <v>100</v>
      </c>
      <c r="V14" s="709" t="s">
        <v>17</v>
      </c>
      <c r="W14" s="710">
        <f t="shared" si="2"/>
        <v>100</v>
      </c>
      <c r="X14" s="711"/>
      <c r="Y14" s="3416"/>
      <c r="Z14" s="55">
        <f t="shared" si="7"/>
        <v>111</v>
      </c>
      <c r="AA14" s="712">
        <f t="shared" si="3"/>
        <v>1</v>
      </c>
      <c r="AB14" s="712">
        <f t="shared" si="4"/>
        <v>1</v>
      </c>
      <c r="AC14" s="712">
        <f t="shared" si="5"/>
        <v>1</v>
      </c>
    </row>
    <row r="15" spans="1:29" ht="57">
      <c r="A15" s="398" t="s">
        <v>2135</v>
      </c>
      <c r="B15" s="65" t="s">
        <v>2279</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06" t="s">
        <v>2136</v>
      </c>
      <c r="Q15" s="1486" t="str">
        <f t="shared" si="6"/>
        <v>产业集聚程度</v>
      </c>
      <c r="R15" s="713" t="s">
        <v>17</v>
      </c>
      <c r="S15" s="714">
        <f t="shared" si="0"/>
        <v>100</v>
      </c>
      <c r="T15" s="713" t="s">
        <v>17</v>
      </c>
      <c r="U15" s="714">
        <f t="shared" si="1"/>
        <v>100</v>
      </c>
      <c r="V15" s="713" t="s">
        <v>17</v>
      </c>
      <c r="W15" s="714">
        <f t="shared" si="2"/>
        <v>100</v>
      </c>
      <c r="X15" s="1489"/>
      <c r="Y15" s="3506" t="s">
        <v>2136</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507"/>
      <c r="Q16" s="1486"/>
      <c r="R16" s="713"/>
      <c r="S16" s="714"/>
      <c r="T16" s="713"/>
      <c r="U16" s="714"/>
      <c r="V16" s="713"/>
      <c r="W16" s="714"/>
      <c r="X16" s="1489"/>
      <c r="Y16" s="3507"/>
      <c r="Z16" s="1490"/>
      <c r="AA16" s="1487">
        <v>1</v>
      </c>
      <c r="AB16" s="1487">
        <v>1</v>
      </c>
      <c r="AC16" s="1487">
        <v>1</v>
      </c>
    </row>
    <row r="17" spans="1:29" ht="85.5">
      <c r="A17" s="386"/>
      <c r="B17" s="409" t="s">
        <v>1703</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07"/>
      <c r="Q17" s="1486" t="str">
        <f>B17</f>
        <v>交通便捷度</v>
      </c>
      <c r="R17" s="713" t="s">
        <v>17</v>
      </c>
      <c r="S17" s="714">
        <f>F17</f>
        <v>100</v>
      </c>
      <c r="T17" s="713" t="s">
        <v>17</v>
      </c>
      <c r="U17" s="714">
        <f>H17</f>
        <v>100</v>
      </c>
      <c r="V17" s="713" t="s">
        <v>17</v>
      </c>
      <c r="W17" s="714">
        <f>J17</f>
        <v>100</v>
      </c>
      <c r="X17" s="1489"/>
      <c r="Y17" s="350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507"/>
      <c r="Q18" s="1486"/>
      <c r="R18" s="713"/>
      <c r="S18" s="714"/>
      <c r="T18" s="713"/>
      <c r="U18" s="714"/>
      <c r="V18" s="713"/>
      <c r="W18" s="714"/>
      <c r="X18" s="1489"/>
      <c r="Y18" s="3507"/>
      <c r="Z18" s="1490"/>
      <c r="AA18" s="1487">
        <v>1</v>
      </c>
      <c r="AB18" s="1487">
        <v>1</v>
      </c>
      <c r="AC18" s="1487">
        <v>1</v>
      </c>
    </row>
    <row r="19" spans="1:29" ht="42.75">
      <c r="A19" s="386"/>
      <c r="B19" s="409" t="s">
        <v>2264</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07"/>
      <c r="Q19" s="1486" t="str">
        <f>B19</f>
        <v>公共配套设施</v>
      </c>
      <c r="R19" s="713" t="s">
        <v>17</v>
      </c>
      <c r="S19" s="714">
        <f>F19</f>
        <v>100</v>
      </c>
      <c r="T19" s="713" t="s">
        <v>17</v>
      </c>
      <c r="U19" s="714">
        <f>H19</f>
        <v>100</v>
      </c>
      <c r="V19" s="713" t="s">
        <v>17</v>
      </c>
      <c r="W19" s="714">
        <f>J19</f>
        <v>100</v>
      </c>
      <c r="X19" s="1489"/>
      <c r="Y19" s="350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507"/>
      <c r="Q20" s="1486"/>
      <c r="R20" s="713"/>
      <c r="S20" s="714"/>
      <c r="T20" s="713"/>
      <c r="U20" s="714"/>
      <c r="V20" s="713"/>
      <c r="W20" s="714"/>
      <c r="X20" s="1489"/>
      <c r="Y20" s="3507"/>
      <c r="Z20" s="1490"/>
      <c r="AA20" s="1487">
        <v>1</v>
      </c>
      <c r="AB20" s="1487">
        <v>1</v>
      </c>
      <c r="AC20" s="1487">
        <v>1</v>
      </c>
    </row>
    <row r="21" spans="1:29" ht="28.5">
      <c r="A21" s="386"/>
      <c r="B21" s="1245" t="s">
        <v>2265</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07"/>
      <c r="Q21" s="1486" t="str">
        <f>B21</f>
        <v>基础设施水平</v>
      </c>
      <c r="R21" s="713" t="s">
        <v>17</v>
      </c>
      <c r="S21" s="714">
        <f>F21</f>
        <v>100</v>
      </c>
      <c r="T21" s="713" t="s">
        <v>17</v>
      </c>
      <c r="U21" s="714">
        <f>H21</f>
        <v>100</v>
      </c>
      <c r="V21" s="713" t="s">
        <v>17</v>
      </c>
      <c r="W21" s="714">
        <f>J21</f>
        <v>100</v>
      </c>
      <c r="X21" s="1489"/>
      <c r="Y21" s="350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507"/>
      <c r="Q22" s="1486"/>
      <c r="R22" s="713"/>
      <c r="S22" s="714"/>
      <c r="T22" s="713"/>
      <c r="U22" s="714"/>
      <c r="V22" s="713"/>
      <c r="W22" s="714"/>
      <c r="X22" s="1489"/>
      <c r="Y22" s="3507"/>
      <c r="Z22" s="1490"/>
      <c r="AA22" s="1487">
        <v>1</v>
      </c>
      <c r="AB22" s="1487">
        <v>1</v>
      </c>
      <c r="AC22" s="1487">
        <v>1</v>
      </c>
    </row>
    <row r="23" spans="1:29" ht="71.25">
      <c r="A23" s="386"/>
      <c r="B23" s="409" t="s">
        <v>2266</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07"/>
      <c r="Q23" s="1486" t="str">
        <f>B23</f>
        <v>环境质量</v>
      </c>
      <c r="R23" s="713" t="s">
        <v>17</v>
      </c>
      <c r="S23" s="714">
        <f>F23</f>
        <v>100</v>
      </c>
      <c r="T23" s="713" t="s">
        <v>17</v>
      </c>
      <c r="U23" s="714">
        <f>H23</f>
        <v>100</v>
      </c>
      <c r="V23" s="713" t="s">
        <v>17</v>
      </c>
      <c r="W23" s="714">
        <f>J23</f>
        <v>100</v>
      </c>
      <c r="X23" s="1489"/>
      <c r="Y23" s="3507"/>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507"/>
      <c r="Q24" s="1486"/>
      <c r="R24" s="713"/>
      <c r="S24" s="714"/>
      <c r="T24" s="713"/>
      <c r="U24" s="714"/>
      <c r="V24" s="713"/>
      <c r="W24" s="714"/>
      <c r="X24" s="1489"/>
      <c r="Y24" s="3507"/>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07"/>
      <c r="Q25" s="1486">
        <f>B25</f>
        <v>111</v>
      </c>
      <c r="R25" s="713" t="s">
        <v>17</v>
      </c>
      <c r="S25" s="714">
        <f>F25</f>
        <v>100</v>
      </c>
      <c r="T25" s="713" t="s">
        <v>17</v>
      </c>
      <c r="U25" s="714">
        <f>H25</f>
        <v>100</v>
      </c>
      <c r="V25" s="713" t="s">
        <v>17</v>
      </c>
      <c r="W25" s="714">
        <f>J25</f>
        <v>100</v>
      </c>
      <c r="X25" s="1489"/>
      <c r="Y25" s="3507"/>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07"/>
      <c r="Q26" s="1486">
        <f t="shared" ref="Q26:Q40" si="11">B26</f>
        <v>111</v>
      </c>
      <c r="R26" s="713" t="s">
        <v>17</v>
      </c>
      <c r="S26" s="714">
        <f>F26</f>
        <v>100</v>
      </c>
      <c r="T26" s="713" t="s">
        <v>17</v>
      </c>
      <c r="U26" s="714">
        <f>H26</f>
        <v>100</v>
      </c>
      <c r="V26" s="713" t="s">
        <v>17</v>
      </c>
      <c r="W26" s="714">
        <f>J26</f>
        <v>100</v>
      </c>
      <c r="X26" s="1489"/>
      <c r="Y26" s="3507"/>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07"/>
      <c r="Q27" s="1477">
        <f t="shared" si="11"/>
        <v>111</v>
      </c>
      <c r="R27" s="709" t="s">
        <v>17</v>
      </c>
      <c r="S27" s="710">
        <f>F27</f>
        <v>100</v>
      </c>
      <c r="T27" s="709" t="s">
        <v>17</v>
      </c>
      <c r="U27" s="710">
        <f>H27</f>
        <v>100</v>
      </c>
      <c r="V27" s="709" t="s">
        <v>17</v>
      </c>
      <c r="W27" s="710">
        <f>J27</f>
        <v>100</v>
      </c>
      <c r="X27" s="711"/>
      <c r="Y27" s="3507"/>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07"/>
      <c r="Q28" s="1486">
        <f t="shared" si="11"/>
        <v>111</v>
      </c>
      <c r="R28" s="713" t="s">
        <v>17</v>
      </c>
      <c r="S28" s="714">
        <f t="shared" ref="S28:S40" si="12">F28</f>
        <v>100</v>
      </c>
      <c r="T28" s="713" t="s">
        <v>17</v>
      </c>
      <c r="U28" s="714">
        <f t="shared" ref="U28:U40" si="13">H28</f>
        <v>100</v>
      </c>
      <c r="V28" s="713" t="s">
        <v>17</v>
      </c>
      <c r="W28" s="714">
        <f t="shared" ref="W28:W40" si="14">J28</f>
        <v>100</v>
      </c>
      <c r="X28" s="1489"/>
      <c r="Y28" s="3507"/>
      <c r="Z28" s="1490">
        <f t="shared" ref="Z28:Z40" si="15">Q28</f>
        <v>111</v>
      </c>
      <c r="AA28" s="1487">
        <f t="shared" si="3"/>
        <v>1</v>
      </c>
      <c r="AB28" s="1487">
        <f t="shared" si="4"/>
        <v>1</v>
      </c>
      <c r="AC28" s="1487">
        <f t="shared" si="5"/>
        <v>1</v>
      </c>
    </row>
    <row r="29" spans="1:29" ht="28.5">
      <c r="A29" s="424" t="s">
        <v>2139</v>
      </c>
      <c r="B29" s="67" t="s">
        <v>2269</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30" t="s">
        <v>2141</v>
      </c>
      <c r="Q29" s="1486" t="str">
        <f t="shared" si="11"/>
        <v>建筑类型</v>
      </c>
      <c r="R29" s="713" t="s">
        <v>17</v>
      </c>
      <c r="S29" s="714">
        <f t="shared" si="12"/>
        <v>100</v>
      </c>
      <c r="T29" s="713" t="s">
        <v>17</v>
      </c>
      <c r="U29" s="714">
        <f t="shared" si="13"/>
        <v>100</v>
      </c>
      <c r="V29" s="713" t="s">
        <v>17</v>
      </c>
      <c r="W29" s="714">
        <f t="shared" si="14"/>
        <v>100</v>
      </c>
      <c r="X29" s="1489"/>
      <c r="Y29" s="3511" t="s">
        <v>2141</v>
      </c>
      <c r="Z29" s="1490" t="str">
        <f t="shared" si="15"/>
        <v>建筑类型</v>
      </c>
      <c r="AA29" s="1487">
        <f t="shared" si="3"/>
        <v>1</v>
      </c>
      <c r="AB29" s="1487">
        <f t="shared" si="4"/>
        <v>1</v>
      </c>
      <c r="AC29" s="1487">
        <f t="shared" si="5"/>
        <v>1</v>
      </c>
    </row>
    <row r="30" spans="1:29" s="429" customFormat="1" ht="15">
      <c r="A30" s="426"/>
      <c r="B30" s="380" t="s">
        <v>2142</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11"/>
      <c r="Q30" s="715" t="str">
        <f t="shared" si="11"/>
        <v>项目建筑规模</v>
      </c>
      <c r="R30" s="716" t="s">
        <v>17</v>
      </c>
      <c r="S30" s="717" t="e">
        <f t="shared" si="12"/>
        <v>#N/A</v>
      </c>
      <c r="T30" s="716" t="s">
        <v>17</v>
      </c>
      <c r="U30" s="717" t="e">
        <f t="shared" si="13"/>
        <v>#N/A</v>
      </c>
      <c r="V30" s="716" t="s">
        <v>17</v>
      </c>
      <c r="W30" s="717" t="e">
        <f t="shared" si="14"/>
        <v>#N/A</v>
      </c>
      <c r="X30" s="718"/>
      <c r="Y30" s="3511"/>
      <c r="Z30" s="719" t="str">
        <f t="shared" si="15"/>
        <v>项目建筑规模</v>
      </c>
      <c r="AA30" s="1487" t="e">
        <f t="shared" si="3"/>
        <v>#N/A</v>
      </c>
      <c r="AB30" s="1487" t="e">
        <f t="shared" si="4"/>
        <v>#N/A</v>
      </c>
      <c r="AC30" s="1487" t="e">
        <f t="shared" si="5"/>
        <v>#N/A</v>
      </c>
    </row>
    <row r="31" spans="1:29" ht="15">
      <c r="A31" s="430"/>
      <c r="B31" s="380" t="s">
        <v>2143</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11"/>
      <c r="Q31" s="1486" t="str">
        <f t="shared" si="11"/>
        <v>建筑结构</v>
      </c>
      <c r="R31" s="713" t="s">
        <v>17</v>
      </c>
      <c r="S31" s="714">
        <f t="shared" si="12"/>
        <v>100</v>
      </c>
      <c r="T31" s="713" t="s">
        <v>17</v>
      </c>
      <c r="U31" s="714">
        <f t="shared" si="13"/>
        <v>100</v>
      </c>
      <c r="V31" s="713" t="s">
        <v>17</v>
      </c>
      <c r="W31" s="714">
        <f t="shared" si="14"/>
        <v>100</v>
      </c>
      <c r="X31" s="1489"/>
      <c r="Y31" s="3511"/>
      <c r="Z31" s="1490" t="str">
        <f t="shared" si="15"/>
        <v>建筑结构</v>
      </c>
      <c r="AA31" s="1487">
        <f t="shared" si="3"/>
        <v>1</v>
      </c>
      <c r="AB31" s="1487">
        <f t="shared" si="4"/>
        <v>1</v>
      </c>
      <c r="AC31" s="1487">
        <f t="shared" si="5"/>
        <v>1</v>
      </c>
    </row>
    <row r="32" spans="1:29" ht="15">
      <c r="A32" s="430"/>
      <c r="B32" s="380" t="s">
        <v>2237</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11"/>
      <c r="Q32" s="1486" t="str">
        <f t="shared" si="11"/>
        <v>公共部分装修</v>
      </c>
      <c r="R32" s="713" t="s">
        <v>17</v>
      </c>
      <c r="S32" s="714">
        <f t="shared" si="12"/>
        <v>100</v>
      </c>
      <c r="T32" s="713" t="s">
        <v>17</v>
      </c>
      <c r="U32" s="714">
        <f t="shared" si="13"/>
        <v>100</v>
      </c>
      <c r="V32" s="713" t="s">
        <v>17</v>
      </c>
      <c r="W32" s="714">
        <f t="shared" si="14"/>
        <v>100</v>
      </c>
      <c r="X32" s="1489"/>
      <c r="Y32" s="3511"/>
      <c r="Z32" s="1490" t="str">
        <f t="shared" si="15"/>
        <v>公共部分装修</v>
      </c>
      <c r="AA32" s="1487">
        <f t="shared" si="3"/>
        <v>1</v>
      </c>
      <c r="AB32" s="1487">
        <f t="shared" si="4"/>
        <v>1</v>
      </c>
      <c r="AC32" s="1487">
        <f t="shared" si="5"/>
        <v>1</v>
      </c>
    </row>
    <row r="33" spans="1:29" ht="15">
      <c r="A33" s="430"/>
      <c r="B33" s="380" t="s">
        <v>2238</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11"/>
      <c r="Q33" s="1486" t="str">
        <f t="shared" si="11"/>
        <v>成新度</v>
      </c>
      <c r="R33" s="713" t="s">
        <v>17</v>
      </c>
      <c r="S33" s="714" t="e">
        <f t="shared" si="12"/>
        <v>#N/A</v>
      </c>
      <c r="T33" s="713" t="s">
        <v>17</v>
      </c>
      <c r="U33" s="714" t="e">
        <f t="shared" si="13"/>
        <v>#N/A</v>
      </c>
      <c r="V33" s="713" t="s">
        <v>17</v>
      </c>
      <c r="W33" s="714" t="e">
        <f t="shared" si="14"/>
        <v>#N/A</v>
      </c>
      <c r="X33" s="1489"/>
      <c r="Y33" s="3511"/>
      <c r="Z33" s="1490" t="str">
        <f t="shared" si="15"/>
        <v>成新度</v>
      </c>
      <c r="AA33" s="1487" t="e">
        <f t="shared" si="3"/>
        <v>#N/A</v>
      </c>
      <c r="AB33" s="1487" t="e">
        <f t="shared" si="4"/>
        <v>#N/A</v>
      </c>
      <c r="AC33" s="1487" t="e">
        <f t="shared" si="5"/>
        <v>#N/A</v>
      </c>
    </row>
    <row r="34" spans="1:29" s="112" customFormat="1" ht="15">
      <c r="A34" s="431"/>
      <c r="B34" s="380" t="s">
        <v>2271</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11"/>
      <c r="Q34" s="1477" t="str">
        <f t="shared" si="11"/>
        <v>物业管理</v>
      </c>
      <c r="R34" s="709" t="s">
        <v>17</v>
      </c>
      <c r="S34" s="710">
        <f t="shared" si="12"/>
        <v>100</v>
      </c>
      <c r="T34" s="709" t="s">
        <v>17</v>
      </c>
      <c r="U34" s="710">
        <f t="shared" si="13"/>
        <v>100</v>
      </c>
      <c r="V34" s="709" t="s">
        <v>17</v>
      </c>
      <c r="W34" s="710">
        <f t="shared" si="14"/>
        <v>100</v>
      </c>
      <c r="X34" s="711"/>
      <c r="Y34" s="3511"/>
      <c r="Z34" s="55" t="str">
        <f t="shared" si="15"/>
        <v>物业管理</v>
      </c>
      <c r="AA34" s="712">
        <f t="shared" si="3"/>
        <v>1</v>
      </c>
      <c r="AB34" s="712">
        <f t="shared" si="4"/>
        <v>1</v>
      </c>
      <c r="AC34" s="712">
        <f t="shared" si="5"/>
        <v>1</v>
      </c>
    </row>
    <row r="35" spans="1:29" ht="15">
      <c r="A35" s="430"/>
      <c r="B35" s="380" t="s">
        <v>2239</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11" t="s">
        <v>2141</v>
      </c>
      <c r="Q35" s="1486" t="str">
        <f t="shared" si="11"/>
        <v>市政基础设施</v>
      </c>
      <c r="R35" s="713" t="s">
        <v>17</v>
      </c>
      <c r="S35" s="714">
        <f t="shared" si="12"/>
        <v>100</v>
      </c>
      <c r="T35" s="713" t="s">
        <v>17</v>
      </c>
      <c r="U35" s="714">
        <f t="shared" si="13"/>
        <v>100</v>
      </c>
      <c r="V35" s="713" t="s">
        <v>17</v>
      </c>
      <c r="W35" s="714">
        <f t="shared" si="14"/>
        <v>100</v>
      </c>
      <c r="X35" s="1489"/>
      <c r="Y35" s="3511" t="s">
        <v>2141</v>
      </c>
      <c r="Z35" s="1490" t="str">
        <f t="shared" si="15"/>
        <v>市政基础设施</v>
      </c>
      <c r="AA35" s="1487">
        <f t="shared" si="3"/>
        <v>1</v>
      </c>
      <c r="AB35" s="1487">
        <f t="shared" si="4"/>
        <v>1</v>
      </c>
      <c r="AC35" s="1487">
        <f t="shared" si="5"/>
        <v>1</v>
      </c>
    </row>
    <row r="36" spans="1:29" ht="15">
      <c r="A36" s="430"/>
      <c r="B36" s="380" t="s">
        <v>2244</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11"/>
      <c r="Q36" s="1486" t="str">
        <f t="shared" si="11"/>
        <v>内部装修</v>
      </c>
      <c r="R36" s="713" t="s">
        <v>17</v>
      </c>
      <c r="S36" s="714">
        <f t="shared" si="12"/>
        <v>100</v>
      </c>
      <c r="T36" s="713" t="s">
        <v>17</v>
      </c>
      <c r="U36" s="714">
        <f t="shared" si="13"/>
        <v>100</v>
      </c>
      <c r="V36" s="713" t="s">
        <v>17</v>
      </c>
      <c r="W36" s="714">
        <f t="shared" si="14"/>
        <v>100</v>
      </c>
      <c r="X36" s="1489"/>
      <c r="Y36" s="3511"/>
      <c r="Z36" s="1490" t="str">
        <f t="shared" si="15"/>
        <v>内部装修</v>
      </c>
      <c r="AA36" s="1487">
        <f t="shared" si="3"/>
        <v>1</v>
      </c>
      <c r="AB36" s="1487">
        <f t="shared" si="4"/>
        <v>1</v>
      </c>
      <c r="AC36" s="1487">
        <f t="shared" si="5"/>
        <v>1</v>
      </c>
    </row>
    <row r="37" spans="1:29" ht="15">
      <c r="A37" s="430"/>
      <c r="B37" s="380" t="s">
        <v>2280</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11"/>
      <c r="Q37" s="1486" t="str">
        <f t="shared" si="11"/>
        <v>内部装修状况</v>
      </c>
      <c r="R37" s="713" t="s">
        <v>17</v>
      </c>
      <c r="S37" s="714">
        <f t="shared" si="12"/>
        <v>100</v>
      </c>
      <c r="T37" s="713" t="s">
        <v>17</v>
      </c>
      <c r="U37" s="714">
        <f t="shared" si="13"/>
        <v>100</v>
      </c>
      <c r="V37" s="713" t="s">
        <v>17</v>
      </c>
      <c r="W37" s="714">
        <f t="shared" si="14"/>
        <v>100</v>
      </c>
      <c r="X37" s="1489"/>
      <c r="Y37" s="3511"/>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11"/>
      <c r="Q38" s="715">
        <f t="shared" si="11"/>
        <v>111</v>
      </c>
      <c r="R38" s="716" t="s">
        <v>17</v>
      </c>
      <c r="S38" s="717">
        <f t="shared" si="12"/>
        <v>100</v>
      </c>
      <c r="T38" s="716" t="s">
        <v>17</v>
      </c>
      <c r="U38" s="717">
        <f t="shared" si="13"/>
        <v>100</v>
      </c>
      <c r="V38" s="716" t="s">
        <v>17</v>
      </c>
      <c r="W38" s="717">
        <f t="shared" si="14"/>
        <v>100</v>
      </c>
      <c r="X38" s="718"/>
      <c r="Y38" s="3511"/>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11"/>
      <c r="Q39" s="1486">
        <f t="shared" si="11"/>
        <v>111</v>
      </c>
      <c r="R39" s="713" t="s">
        <v>17</v>
      </c>
      <c r="S39" s="714">
        <f t="shared" si="12"/>
        <v>100</v>
      </c>
      <c r="T39" s="713" t="s">
        <v>17</v>
      </c>
      <c r="U39" s="714">
        <f t="shared" si="13"/>
        <v>100</v>
      </c>
      <c r="V39" s="713" t="s">
        <v>17</v>
      </c>
      <c r="W39" s="714">
        <f t="shared" si="14"/>
        <v>100</v>
      </c>
      <c r="X39" s="1489"/>
      <c r="Y39" s="3511"/>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12"/>
      <c r="Q40" s="1486">
        <f t="shared" si="11"/>
        <v>111</v>
      </c>
      <c r="R40" s="713" t="s">
        <v>17</v>
      </c>
      <c r="S40" s="714">
        <f t="shared" si="12"/>
        <v>100</v>
      </c>
      <c r="T40" s="713" t="s">
        <v>17</v>
      </c>
      <c r="U40" s="714">
        <f t="shared" si="13"/>
        <v>100</v>
      </c>
      <c r="V40" s="713" t="s">
        <v>17</v>
      </c>
      <c r="W40" s="714">
        <f t="shared" si="14"/>
        <v>100</v>
      </c>
      <c r="X40" s="1489"/>
      <c r="Y40" s="3512"/>
      <c r="Z40" s="1490">
        <f t="shared" si="15"/>
        <v>111</v>
      </c>
      <c r="AA40" s="1487">
        <f t="shared" si="3"/>
        <v>1</v>
      </c>
      <c r="AB40" s="1487">
        <f t="shared" si="4"/>
        <v>1</v>
      </c>
      <c r="AC40" s="1487">
        <f t="shared" si="5"/>
        <v>1</v>
      </c>
    </row>
    <row r="41" spans="1:29" ht="15">
      <c r="A41" s="437" t="s">
        <v>2153</v>
      </c>
      <c r="B41" s="438"/>
      <c r="C41" s="1268" t="s">
        <v>1</v>
      </c>
      <c r="D41" s="1269"/>
      <c r="E41" s="1270"/>
      <c r="F41" s="1271"/>
      <c r="G41" s="1272"/>
      <c r="H41" s="1273"/>
      <c r="I41" s="1270"/>
      <c r="J41" s="1273"/>
      <c r="K41" s="722"/>
      <c r="L41" s="1037"/>
      <c r="M41" s="1038"/>
      <c r="N41" s="1025"/>
      <c r="O41" s="1038"/>
      <c r="P41" s="3504" t="str">
        <f>A41</f>
        <v>成交单价（元/平方米）</v>
      </c>
      <c r="Q41" s="3504"/>
      <c r="R41" s="3505">
        <f>E41</f>
        <v>0</v>
      </c>
      <c r="S41" s="3505"/>
      <c r="T41" s="3505">
        <f>G41</f>
        <v>0</v>
      </c>
      <c r="U41" s="3505"/>
      <c r="V41" s="3505">
        <f>I41</f>
        <v>0</v>
      </c>
      <c r="W41" s="3505"/>
      <c r="X41" s="698"/>
      <c r="Y41" s="720"/>
      <c r="Z41" s="698"/>
      <c r="AA41" s="698"/>
      <c r="AB41" s="698"/>
      <c r="AC41" s="698"/>
    </row>
    <row r="42" spans="1:29" ht="15.75" thickBot="1">
      <c r="A42" s="444" t="s">
        <v>2245</v>
      </c>
      <c r="B42" s="445"/>
      <c r="C42" s="1274" t="e">
        <f>R43</f>
        <v>#DIV/0!</v>
      </c>
      <c r="D42" s="2488" t="s">
        <v>2635</v>
      </c>
      <c r="E42" s="1275" t="e">
        <f>R42</f>
        <v>#DIV/0!</v>
      </c>
      <c r="F42" s="2489"/>
      <c r="G42" s="1274" t="e">
        <f>T42</f>
        <v>#DIV/0!</v>
      </c>
      <c r="H42" s="2489"/>
      <c r="I42" s="1275" t="e">
        <f>V42</f>
        <v>#DIV/0!</v>
      </c>
      <c r="J42" s="2489"/>
      <c r="K42" s="2491">
        <f>F42+H42+J42</f>
        <v>0</v>
      </c>
      <c r="L42" s="1037"/>
      <c r="M42" s="1038"/>
      <c r="N42" s="1025"/>
      <c r="O42" s="1038"/>
      <c r="P42" s="3504" t="str">
        <f>A42</f>
        <v>比较价值（元/平方米）</v>
      </c>
      <c r="Q42" s="3504"/>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698"/>
      <c r="Y42" s="698"/>
      <c r="Z42" s="698"/>
      <c r="AA42" s="698"/>
      <c r="AB42" s="698"/>
      <c r="AC42" s="698"/>
    </row>
    <row r="43" spans="1:29" ht="15.75" thickBot="1">
      <c r="A43" s="448" t="s">
        <v>2246</v>
      </c>
      <c r="B43" s="449"/>
      <c r="C43" s="1277" t="e">
        <f>R43</f>
        <v>#DIV/0!</v>
      </c>
      <c r="D43" s="1277"/>
      <c r="E43" s="1277"/>
      <c r="F43" s="1277"/>
      <c r="G43" s="1277"/>
      <c r="H43" s="1277"/>
      <c r="I43" s="1277"/>
      <c r="J43" s="1277"/>
      <c r="K43" s="723"/>
      <c r="L43" s="1037"/>
      <c r="M43" s="1038"/>
      <c r="N43" s="1038"/>
      <c r="O43" s="1038"/>
      <c r="P43" s="3501" t="str">
        <f>A43</f>
        <v>估价对象XX用房的比较价值（楼面单价，元/平方米）</v>
      </c>
      <c r="Q43" s="3502"/>
      <c r="R43" s="3503" t="e">
        <f>IF(F1="售价",ROUND(IF(D42="简单平均",AVERAGE(R42:V42),R42*F42+T42*H42+V42*J42),0),ROUND(IF(D42="简单平均",AVERAGE(R42:V42),R42*F42+T42*H42+V42*J42),1))</f>
        <v>#DIV/0!</v>
      </c>
      <c r="S43" s="3503"/>
      <c r="T43" s="3503"/>
      <c r="U43" s="3503"/>
      <c r="V43" s="3503"/>
      <c r="W43" s="3503"/>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2247</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2248</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2249</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2250</v>
      </c>
      <c r="B51" s="698"/>
      <c r="C51" s="703"/>
      <c r="D51" s="703"/>
      <c r="E51" s="703"/>
      <c r="F51" s="704"/>
      <c r="G51" s="704"/>
      <c r="H51" s="703"/>
      <c r="I51" s="703"/>
      <c r="J51" s="703"/>
      <c r="K51" s="1052"/>
      <c r="L51" s="1053"/>
      <c r="M51" s="1051"/>
      <c r="N51" s="1051"/>
      <c r="O51" s="1051"/>
      <c r="P51" s="459"/>
      <c r="Q51" s="460"/>
    </row>
    <row r="52" spans="1:17" s="464" customFormat="1" ht="15">
      <c r="A52" s="461" t="s">
        <v>2124</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2161</v>
      </c>
      <c r="B54" s="472"/>
      <c r="C54" s="473"/>
      <c r="D54" s="474"/>
      <c r="E54" s="474"/>
      <c r="F54" s="474"/>
      <c r="G54" s="474"/>
      <c r="H54" s="474"/>
      <c r="I54" s="474"/>
      <c r="J54" s="474"/>
      <c r="K54" s="474"/>
      <c r="L54" s="474"/>
      <c r="M54" s="475"/>
      <c r="N54" s="2948"/>
      <c r="O54" s="2949"/>
      <c r="P54" s="460"/>
      <c r="Q54" s="460"/>
    </row>
    <row r="55" spans="1:17" s="112" customFormat="1" ht="15">
      <c r="A55" s="477" t="s">
        <v>2126</v>
      </c>
      <c r="B55" s="466"/>
      <c r="C55" s="478" t="s">
        <v>2228</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2164</v>
      </c>
      <c r="B57" s="484" t="s">
        <v>2130</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2133</v>
      </c>
      <c r="C59" s="495" t="s">
        <v>2165</v>
      </c>
      <c r="D59" s="495" t="s">
        <v>2166</v>
      </c>
      <c r="E59" s="495" t="s">
        <v>2167</v>
      </c>
      <c r="F59" s="495" t="s">
        <v>2168</v>
      </c>
      <c r="G59" s="495" t="s">
        <v>2169</v>
      </c>
      <c r="H59" s="495" t="s">
        <v>2170</v>
      </c>
      <c r="I59" s="495" t="s">
        <v>2171</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2134</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2135</v>
      </c>
      <c r="B70" s="484" t="s">
        <v>2281</v>
      </c>
      <c r="C70" s="529" t="s">
        <v>2173</v>
      </c>
      <c r="D70" s="529" t="s">
        <v>2174</v>
      </c>
      <c r="E70" s="529" t="s">
        <v>2175</v>
      </c>
      <c r="F70" s="529" t="s">
        <v>2176</v>
      </c>
      <c r="G70" s="529" t="s">
        <v>2177</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2178</v>
      </c>
      <c r="C72" s="534" t="s">
        <v>2173</v>
      </c>
      <c r="D72" s="534" t="s">
        <v>2174</v>
      </c>
      <c r="E72" s="534" t="s">
        <v>2175</v>
      </c>
      <c r="F72" s="534" t="s">
        <v>2176</v>
      </c>
      <c r="G72" s="534" t="s">
        <v>2177</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2179</v>
      </c>
      <c r="C74" s="534" t="s">
        <v>2173</v>
      </c>
      <c r="D74" s="534" t="s">
        <v>2174</v>
      </c>
      <c r="E74" s="534" t="s">
        <v>2175</v>
      </c>
      <c r="F74" s="534" t="s">
        <v>2176</v>
      </c>
      <c r="G74" s="534" t="s">
        <v>2177</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2265</v>
      </c>
      <c r="C76" s="615" t="s">
        <v>2251</v>
      </c>
      <c r="D76" s="615" t="s">
        <v>2252</v>
      </c>
      <c r="E76" s="615" t="s">
        <v>2253</v>
      </c>
      <c r="F76" s="615" t="s">
        <v>2254</v>
      </c>
      <c r="G76" s="615" t="s">
        <v>2255</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2274</v>
      </c>
      <c r="C78" s="534" t="s">
        <v>2173</v>
      </c>
      <c r="D78" s="534" t="s">
        <v>2174</v>
      </c>
      <c r="E78" s="534" t="s">
        <v>2175</v>
      </c>
      <c r="F78" s="534" t="s">
        <v>2176</v>
      </c>
      <c r="G78" s="534" t="s">
        <v>2177</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2139</v>
      </c>
      <c r="B88" s="484" t="s">
        <v>2188</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2189</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2190</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2192</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2193</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2194</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2196</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2282</v>
      </c>
      <c r="C106" s="534" t="s">
        <v>2173</v>
      </c>
      <c r="D106" s="534" t="s">
        <v>2174</v>
      </c>
      <c r="E106" s="534" t="s">
        <v>2175</v>
      </c>
      <c r="F106" s="534" t="s">
        <v>2176</v>
      </c>
      <c r="G106" s="534" t="s">
        <v>2177</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2283</v>
      </c>
      <c r="B1" s="1343"/>
      <c r="C1" s="1344" t="s">
        <v>2106</v>
      </c>
      <c r="D1" s="1345"/>
      <c r="E1" s="1346"/>
      <c r="F1" s="2015"/>
      <c r="G1" s="1347" t="s">
        <v>2219</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1906</v>
      </c>
      <c r="B2" s="1278" t="e">
        <f ca="1">IF(C2="——",IF(B37="元/平方米",ROUND(C39*D3/10000,0),ROUND(F3*C39/10000,0)),IF(B37="元/平方米",ROUND(C39*D3/10000,0),ROUND(F3*C39/10000,0))-D2)</f>
        <v>#DIV/0!</v>
      </c>
      <c r="C2" s="2017"/>
      <c r="D2" s="1018" t="e">
        <f ca="1">SUMIF(INDIRECT("'"&amp;F2&amp;"'"&amp;"!A:A"),"承租人权益价值",INDIRECT("'"&amp;F2&amp;"'"&amp;"!c:c"))</f>
        <v>#REF!</v>
      </c>
      <c r="E2" s="2018" t="s">
        <v>1907</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1908</v>
      </c>
      <c r="B3" s="565" t="e">
        <f ca="1">IF(AND(C2="——",B37="元/平方米"),C39,ROUND(B2*10000/D3,0))</f>
        <v>#DIV/0!</v>
      </c>
      <c r="C3" s="359" t="s">
        <v>2220</v>
      </c>
      <c r="D3" s="358">
        <f>SUMIF('数据-汇总表'!$C19:$C33,D1,'数据-汇总表'!$E19:$E33)</f>
        <v>0</v>
      </c>
      <c r="E3" s="359" t="s">
        <v>2284</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2221</v>
      </c>
      <c r="B4" s="361"/>
      <c r="C4" s="3487" t="s">
        <v>2222</v>
      </c>
      <c r="D4" s="3488"/>
      <c r="E4" s="3489" t="s">
        <v>2223</v>
      </c>
      <c r="F4" s="3490"/>
      <c r="G4" s="3487" t="s">
        <v>2224</v>
      </c>
      <c r="H4" s="3488"/>
      <c r="I4" s="3487" t="s">
        <v>2225</v>
      </c>
      <c r="J4" s="3488"/>
      <c r="K4" s="566" t="s">
        <v>2226</v>
      </c>
      <c r="L4" s="2893"/>
      <c r="M4" s="2894"/>
      <c r="N4" s="2894"/>
      <c r="O4" s="2894"/>
      <c r="P4" s="3491" t="s">
        <v>2227</v>
      </c>
      <c r="Q4" s="3492"/>
      <c r="R4" s="3474" t="s">
        <v>2223</v>
      </c>
      <c r="S4" s="3475"/>
      <c r="T4" s="3474" t="s">
        <v>2224</v>
      </c>
      <c r="U4" s="3475"/>
      <c r="V4" s="3499" t="s">
        <v>2225</v>
      </c>
      <c r="W4" s="3499"/>
      <c r="X4" s="1489"/>
      <c r="Y4" s="3474" t="s">
        <v>2227</v>
      </c>
      <c r="Z4" s="3475"/>
      <c r="AA4" s="3469" t="s">
        <v>2223</v>
      </c>
      <c r="AB4" s="3470" t="s">
        <v>2224</v>
      </c>
      <c r="AC4" s="3469" t="s">
        <v>2225</v>
      </c>
    </row>
    <row r="5" spans="1:29" ht="15">
      <c r="A5" s="363"/>
      <c r="B5" s="364"/>
      <c r="C5" s="3480" t="s">
        <v>2118</v>
      </c>
      <c r="D5" s="3481"/>
      <c r="E5" s="3478" t="s">
        <v>2119</v>
      </c>
      <c r="F5" s="3479"/>
      <c r="G5" s="3480" t="s">
        <v>2120</v>
      </c>
      <c r="H5" s="3481"/>
      <c r="I5" s="3480" t="s">
        <v>2121</v>
      </c>
      <c r="J5" s="3481"/>
      <c r="K5" s="566"/>
      <c r="L5" s="2893"/>
      <c r="M5" s="2894"/>
      <c r="N5" s="2894"/>
      <c r="O5" s="2894"/>
      <c r="P5" s="3493"/>
      <c r="Q5" s="3494"/>
      <c r="R5" s="3476"/>
      <c r="S5" s="3477"/>
      <c r="T5" s="3476"/>
      <c r="U5" s="3477"/>
      <c r="V5" s="3499"/>
      <c r="W5" s="3499"/>
      <c r="X5" s="1489"/>
      <c r="Y5" s="3476"/>
      <c r="Z5" s="3477"/>
      <c r="AA5" s="3470"/>
      <c r="AB5" s="3470"/>
      <c r="AC5" s="3470"/>
    </row>
    <row r="6" spans="1:29" ht="15.75" thickBot="1">
      <c r="A6" s="365"/>
      <c r="B6" s="366"/>
      <c r="C6" s="3482" t="s">
        <v>2122</v>
      </c>
      <c r="D6" s="3483"/>
      <c r="E6" s="3484" t="s">
        <v>2122</v>
      </c>
      <c r="F6" s="3485"/>
      <c r="G6" s="3482" t="s">
        <v>2122</v>
      </c>
      <c r="H6" s="3483"/>
      <c r="I6" s="3482" t="s">
        <v>2122</v>
      </c>
      <c r="J6" s="3483"/>
      <c r="K6" s="566" t="s">
        <v>2123</v>
      </c>
      <c r="L6" s="2893"/>
      <c r="M6" s="2894"/>
      <c r="N6" s="2894"/>
      <c r="O6" s="2894"/>
      <c r="P6" s="3495"/>
      <c r="Q6" s="3496"/>
      <c r="R6" s="3476"/>
      <c r="S6" s="3477"/>
      <c r="T6" s="3497"/>
      <c r="U6" s="3498"/>
      <c r="V6" s="3499"/>
      <c r="W6" s="3499"/>
      <c r="X6" s="1489"/>
      <c r="Y6" s="3497"/>
      <c r="Z6" s="3498"/>
      <c r="AA6" s="3471"/>
      <c r="AB6" s="3471"/>
      <c r="AC6" s="3471"/>
    </row>
    <row r="7" spans="1:29" s="112" customFormat="1" ht="15.75" thickBot="1">
      <c r="A7" s="367" t="s">
        <v>2124</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95"/>
      <c r="M7" s="2896"/>
      <c r="N7" s="2896"/>
      <c r="O7" s="2896"/>
      <c r="P7" s="3472" t="s">
        <v>2125</v>
      </c>
      <c r="Q7" s="3500"/>
      <c r="R7" s="709" t="s">
        <v>17</v>
      </c>
      <c r="S7" s="710">
        <f t="shared" ref="S7:S14" si="0">F7</f>
        <v>0</v>
      </c>
      <c r="T7" s="709" t="s">
        <v>17</v>
      </c>
      <c r="U7" s="710">
        <f t="shared" ref="U7:U14" si="1">H7</f>
        <v>0</v>
      </c>
      <c r="V7" s="709" t="s">
        <v>17</v>
      </c>
      <c r="W7" s="710">
        <f t="shared" ref="W7:W14" si="2">J7</f>
        <v>0</v>
      </c>
      <c r="X7" s="711"/>
      <c r="Y7" s="3472" t="s">
        <v>2125</v>
      </c>
      <c r="Z7" s="3473"/>
      <c r="AA7" s="712" t="e">
        <f>D7/F7</f>
        <v>#DIV/0!</v>
      </c>
      <c r="AB7" s="712" t="e">
        <f>D7/H7</f>
        <v>#DIV/0!</v>
      </c>
      <c r="AC7" s="712" t="e">
        <f>D7/J7</f>
        <v>#DIV/0!</v>
      </c>
    </row>
    <row r="8" spans="1:29" s="112" customFormat="1" ht="15.75" thickBot="1">
      <c r="A8" s="367" t="s">
        <v>2126</v>
      </c>
      <c r="B8" s="368"/>
      <c r="C8" s="373" t="s">
        <v>2228</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472" t="s">
        <v>2128</v>
      </c>
      <c r="Q8" s="3473"/>
      <c r="R8" s="709" t="s">
        <v>17</v>
      </c>
      <c r="S8" s="710">
        <f t="shared" si="0"/>
        <v>0</v>
      </c>
      <c r="T8" s="709" t="s">
        <v>17</v>
      </c>
      <c r="U8" s="710">
        <f t="shared" si="1"/>
        <v>0</v>
      </c>
      <c r="V8" s="709" t="s">
        <v>17</v>
      </c>
      <c r="W8" s="710">
        <f t="shared" si="2"/>
        <v>0</v>
      </c>
      <c r="X8" s="711"/>
      <c r="Y8" s="3472" t="s">
        <v>2128</v>
      </c>
      <c r="Z8" s="3473"/>
      <c r="AA8" s="712" t="e">
        <f t="shared" ref="AA8:AA36" si="3">D8/F8</f>
        <v>#DIV/0!</v>
      </c>
      <c r="AB8" s="712" t="e">
        <f t="shared" ref="AB8:AB36" si="4">D8/H8</f>
        <v>#DIV/0!</v>
      </c>
      <c r="AC8" s="712" t="e">
        <f t="shared" ref="AC8:AC36" si="5">D8/J8</f>
        <v>#DIV/0!</v>
      </c>
    </row>
    <row r="9" spans="1:29" s="112" customFormat="1">
      <c r="A9" s="64" t="s">
        <v>2129</v>
      </c>
      <c r="B9" s="595" t="s">
        <v>2130</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504" t="s">
        <v>2131</v>
      </c>
      <c r="Q9" s="1477" t="str">
        <f t="shared" ref="Q9:Q14" si="6">B9</f>
        <v>用途</v>
      </c>
      <c r="R9" s="709" t="s">
        <v>17</v>
      </c>
      <c r="S9" s="710">
        <f t="shared" si="0"/>
        <v>100</v>
      </c>
      <c r="T9" s="709" t="s">
        <v>17</v>
      </c>
      <c r="U9" s="710">
        <f t="shared" si="1"/>
        <v>100</v>
      </c>
      <c r="V9" s="709" t="s">
        <v>17</v>
      </c>
      <c r="W9" s="710">
        <f t="shared" si="2"/>
        <v>100</v>
      </c>
      <c r="X9" s="711"/>
      <c r="Y9" s="3416" t="s">
        <v>2132</v>
      </c>
      <c r="Z9" s="55" t="str">
        <f t="shared" ref="Z9:Z14" si="7">Q9</f>
        <v>用途</v>
      </c>
      <c r="AA9" s="712">
        <f t="shared" si="3"/>
        <v>1</v>
      </c>
      <c r="AB9" s="712">
        <f t="shared" si="4"/>
        <v>1</v>
      </c>
      <c r="AC9" s="712">
        <f t="shared" si="5"/>
        <v>1</v>
      </c>
    </row>
    <row r="10" spans="1:29" s="385" customFormat="1" ht="27">
      <c r="A10" s="596"/>
      <c r="B10" s="597" t="s">
        <v>2133</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504"/>
      <c r="Q10" s="1477" t="str">
        <f t="shared" si="6"/>
        <v>土地使用年限（年）</v>
      </c>
      <c r="R10" s="709" t="s">
        <v>17</v>
      </c>
      <c r="S10" s="710">
        <f t="shared" si="0"/>
        <v>100</v>
      </c>
      <c r="T10" s="709" t="s">
        <v>17</v>
      </c>
      <c r="U10" s="710">
        <f t="shared" si="1"/>
        <v>100</v>
      </c>
      <c r="V10" s="709" t="s">
        <v>17</v>
      </c>
      <c r="W10" s="710">
        <f t="shared" si="2"/>
        <v>100</v>
      </c>
      <c r="X10" s="711"/>
      <c r="Y10" s="3416"/>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504"/>
      <c r="Q11" s="1477">
        <f t="shared" si="6"/>
        <v>111</v>
      </c>
      <c r="R11" s="709" t="s">
        <v>17</v>
      </c>
      <c r="S11" s="710">
        <f t="shared" si="0"/>
        <v>100</v>
      </c>
      <c r="T11" s="709" t="s">
        <v>17</v>
      </c>
      <c r="U11" s="710">
        <f t="shared" si="1"/>
        <v>100</v>
      </c>
      <c r="V11" s="709" t="s">
        <v>17</v>
      </c>
      <c r="W11" s="710">
        <f t="shared" si="2"/>
        <v>100</v>
      </c>
      <c r="X11" s="711"/>
      <c r="Y11" s="3416"/>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504"/>
      <c r="Q12" s="1477">
        <f t="shared" si="6"/>
        <v>111</v>
      </c>
      <c r="R12" s="709" t="s">
        <v>17</v>
      </c>
      <c r="S12" s="710">
        <f t="shared" si="0"/>
        <v>100</v>
      </c>
      <c r="T12" s="709" t="s">
        <v>17</v>
      </c>
      <c r="U12" s="710">
        <f t="shared" si="1"/>
        <v>100</v>
      </c>
      <c r="V12" s="709" t="s">
        <v>17</v>
      </c>
      <c r="W12" s="710">
        <f t="shared" si="2"/>
        <v>100</v>
      </c>
      <c r="X12" s="711"/>
      <c r="Y12" s="3416"/>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504"/>
      <c r="Q13" s="1477">
        <f t="shared" si="6"/>
        <v>111</v>
      </c>
      <c r="R13" s="709" t="s">
        <v>17</v>
      </c>
      <c r="S13" s="710">
        <f t="shared" si="0"/>
        <v>100</v>
      </c>
      <c r="T13" s="709" t="s">
        <v>17</v>
      </c>
      <c r="U13" s="710">
        <f t="shared" si="1"/>
        <v>100</v>
      </c>
      <c r="V13" s="709" t="s">
        <v>17</v>
      </c>
      <c r="W13" s="710">
        <f t="shared" si="2"/>
        <v>100</v>
      </c>
      <c r="X13" s="711"/>
      <c r="Y13" s="3416"/>
      <c r="Z13" s="55">
        <f t="shared" si="7"/>
        <v>111</v>
      </c>
      <c r="AA13" s="712">
        <f t="shared" si="3"/>
        <v>1</v>
      </c>
      <c r="AB13" s="712">
        <f t="shared" si="4"/>
        <v>1</v>
      </c>
      <c r="AC13" s="712">
        <f t="shared" si="5"/>
        <v>1</v>
      </c>
    </row>
    <row r="14" spans="1:29" ht="85.5">
      <c r="A14" s="360" t="s">
        <v>2135</v>
      </c>
      <c r="B14" s="584" t="s">
        <v>2285</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506" t="s">
        <v>2136</v>
      </c>
      <c r="Q14" s="1486" t="str">
        <f t="shared" si="6"/>
        <v>交通便捷度</v>
      </c>
      <c r="R14" s="713" t="s">
        <v>17</v>
      </c>
      <c r="S14" s="714">
        <f t="shared" si="0"/>
        <v>100</v>
      </c>
      <c r="T14" s="713" t="s">
        <v>17</v>
      </c>
      <c r="U14" s="714">
        <f t="shared" si="1"/>
        <v>100</v>
      </c>
      <c r="V14" s="713" t="s">
        <v>17</v>
      </c>
      <c r="W14" s="714">
        <f t="shared" si="2"/>
        <v>100</v>
      </c>
      <c r="X14" s="1489"/>
      <c r="Y14" s="3506" t="s">
        <v>2136</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507"/>
      <c r="Q15" s="1486"/>
      <c r="R15" s="713"/>
      <c r="S15" s="714"/>
      <c r="T15" s="713"/>
      <c r="U15" s="714"/>
      <c r="V15" s="713"/>
      <c r="W15" s="714"/>
      <c r="X15" s="1489"/>
      <c r="Y15" s="3507"/>
      <c r="Z15" s="1490"/>
      <c r="AA15" s="1487">
        <v>1</v>
      </c>
      <c r="AB15" s="1487">
        <v>1</v>
      </c>
      <c r="AC15" s="1487">
        <v>1</v>
      </c>
    </row>
    <row r="16" spans="1:29" ht="42.75">
      <c r="A16" s="363"/>
      <c r="B16" s="586" t="s">
        <v>2264</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507"/>
      <c r="Q16" s="1486" t="str">
        <f>B16</f>
        <v>公共配套设施</v>
      </c>
      <c r="R16" s="713" t="s">
        <v>17</v>
      </c>
      <c r="S16" s="714">
        <f>F16</f>
        <v>100</v>
      </c>
      <c r="T16" s="713" t="s">
        <v>17</v>
      </c>
      <c r="U16" s="714">
        <f>H16</f>
        <v>100</v>
      </c>
      <c r="V16" s="713" t="s">
        <v>17</v>
      </c>
      <c r="W16" s="714">
        <f>J16</f>
        <v>100</v>
      </c>
      <c r="X16" s="1489"/>
      <c r="Y16" s="3507"/>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507"/>
      <c r="Q17" s="1486"/>
      <c r="R17" s="713"/>
      <c r="S17" s="714"/>
      <c r="T17" s="713"/>
      <c r="U17" s="714"/>
      <c r="V17" s="713"/>
      <c r="W17" s="714"/>
      <c r="X17" s="1489"/>
      <c r="Y17" s="3507"/>
      <c r="Z17" s="1490"/>
      <c r="AA17" s="1487">
        <v>1</v>
      </c>
      <c r="AB17" s="1487">
        <v>1</v>
      </c>
      <c r="AC17" s="1487">
        <v>1</v>
      </c>
    </row>
    <row r="18" spans="1:29" ht="28.5">
      <c r="A18" s="363"/>
      <c r="B18" s="588" t="s">
        <v>2265</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507"/>
      <c r="Q18" s="1486" t="str">
        <f>B18</f>
        <v>基础设施水平</v>
      </c>
      <c r="R18" s="713" t="s">
        <v>17</v>
      </c>
      <c r="S18" s="714">
        <f>F18</f>
        <v>100</v>
      </c>
      <c r="T18" s="713" t="s">
        <v>17</v>
      </c>
      <c r="U18" s="714">
        <f>H18</f>
        <v>100</v>
      </c>
      <c r="V18" s="713" t="s">
        <v>17</v>
      </c>
      <c r="W18" s="714">
        <f>J18</f>
        <v>100</v>
      </c>
      <c r="X18" s="1489"/>
      <c r="Y18" s="3507"/>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507"/>
      <c r="Q19" s="1486"/>
      <c r="R19" s="713"/>
      <c r="S19" s="714"/>
      <c r="T19" s="713"/>
      <c r="U19" s="714"/>
      <c r="V19" s="713"/>
      <c r="W19" s="714"/>
      <c r="X19" s="1489"/>
      <c r="Y19" s="3507"/>
      <c r="Z19" s="1490"/>
      <c r="AA19" s="1487">
        <v>1</v>
      </c>
      <c r="AB19" s="1487">
        <v>1</v>
      </c>
      <c r="AC19" s="1487">
        <v>1</v>
      </c>
    </row>
    <row r="20" spans="1:29" ht="57">
      <c r="A20" s="363"/>
      <c r="B20" s="586" t="s">
        <v>2286</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507"/>
      <c r="Q20" s="1486" t="str">
        <f>B20</f>
        <v>自然及人文环境</v>
      </c>
      <c r="R20" s="713" t="s">
        <v>17</v>
      </c>
      <c r="S20" s="714">
        <f>F20</f>
        <v>100</v>
      </c>
      <c r="T20" s="713" t="s">
        <v>17</v>
      </c>
      <c r="U20" s="714">
        <f>H20</f>
        <v>100</v>
      </c>
      <c r="V20" s="713" t="s">
        <v>17</v>
      </c>
      <c r="W20" s="714">
        <f>J20</f>
        <v>100</v>
      </c>
      <c r="X20" s="1489"/>
      <c r="Y20" s="3507"/>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507"/>
      <c r="Q21" s="1486"/>
      <c r="R21" s="713"/>
      <c r="S21" s="714"/>
      <c r="T21" s="713"/>
      <c r="U21" s="714"/>
      <c r="V21" s="713"/>
      <c r="W21" s="714"/>
      <c r="X21" s="1489"/>
      <c r="Y21" s="3507"/>
      <c r="Z21" s="1490"/>
      <c r="AA21" s="1487">
        <v>1</v>
      </c>
      <c r="AB21" s="1487">
        <v>1</v>
      </c>
      <c r="AC21" s="1487">
        <v>1</v>
      </c>
    </row>
    <row r="22" spans="1:29" ht="15">
      <c r="A22" s="363"/>
      <c r="B22" s="586" t="s">
        <v>2287</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507"/>
      <c r="Q22" s="1486" t="str">
        <f>B22</f>
        <v>楼层</v>
      </c>
      <c r="R22" s="713" t="s">
        <v>17</v>
      </c>
      <c r="S22" s="714">
        <f>F22</f>
        <v>100</v>
      </c>
      <c r="T22" s="713" t="s">
        <v>17</v>
      </c>
      <c r="U22" s="714">
        <f>H22</f>
        <v>100</v>
      </c>
      <c r="V22" s="713" t="s">
        <v>17</v>
      </c>
      <c r="W22" s="714">
        <f>J22</f>
        <v>100</v>
      </c>
      <c r="X22" s="1489"/>
      <c r="Y22" s="3507"/>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507"/>
      <c r="Q23" s="1486">
        <f>B23</f>
        <v>111</v>
      </c>
      <c r="R23" s="713" t="s">
        <v>17</v>
      </c>
      <c r="S23" s="714">
        <f>F23</f>
        <v>100</v>
      </c>
      <c r="T23" s="713" t="s">
        <v>17</v>
      </c>
      <c r="U23" s="714">
        <f>H23</f>
        <v>100</v>
      </c>
      <c r="V23" s="713" t="s">
        <v>17</v>
      </c>
      <c r="W23" s="714">
        <f>J23</f>
        <v>100</v>
      </c>
      <c r="X23" s="1489"/>
      <c r="Y23" s="3507"/>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507"/>
      <c r="Q24" s="1486">
        <f t="shared" ref="Q24:Q36" si="11">B24</f>
        <v>111</v>
      </c>
      <c r="R24" s="713" t="s">
        <v>17</v>
      </c>
      <c r="S24" s="714">
        <f>F24</f>
        <v>100</v>
      </c>
      <c r="T24" s="713" t="s">
        <v>17</v>
      </c>
      <c r="U24" s="714">
        <f>H24</f>
        <v>100</v>
      </c>
      <c r="V24" s="713" t="s">
        <v>17</v>
      </c>
      <c r="W24" s="714">
        <f>J24</f>
        <v>100</v>
      </c>
      <c r="X24" s="1489"/>
      <c r="Y24" s="3507"/>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507"/>
      <c r="Q25" s="1477">
        <f t="shared" si="11"/>
        <v>111</v>
      </c>
      <c r="R25" s="709" t="s">
        <v>17</v>
      </c>
      <c r="S25" s="710">
        <f>F25</f>
        <v>100</v>
      </c>
      <c r="T25" s="709" t="s">
        <v>17</v>
      </c>
      <c r="U25" s="710">
        <f>H25</f>
        <v>100</v>
      </c>
      <c r="V25" s="709" t="s">
        <v>17</v>
      </c>
      <c r="W25" s="710">
        <f>J25</f>
        <v>100</v>
      </c>
      <c r="X25" s="711"/>
      <c r="Y25" s="3507"/>
      <c r="Z25" s="55">
        <f>Q25</f>
        <v>111</v>
      </c>
      <c r="AA25" s="1487">
        <f>D25/F25</f>
        <v>1</v>
      </c>
      <c r="AB25" s="1487">
        <f>D25/H25</f>
        <v>1</v>
      </c>
      <c r="AC25" s="1487">
        <f>D25/J25</f>
        <v>1</v>
      </c>
    </row>
    <row r="26" spans="1:29" ht="28.5">
      <c r="A26" s="607" t="s">
        <v>2139</v>
      </c>
      <c r="B26" s="66" t="s">
        <v>2288</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30" t="s">
        <v>2141</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11" t="s">
        <v>2141</v>
      </c>
      <c r="Z26" s="1490" t="str">
        <f t="shared" ref="Z26:Z36" si="15">Q26</f>
        <v>配套类型</v>
      </c>
      <c r="AA26" s="1487">
        <f t="shared" si="3"/>
        <v>1</v>
      </c>
      <c r="AB26" s="1487">
        <f t="shared" si="4"/>
        <v>1</v>
      </c>
      <c r="AC26" s="1487">
        <f t="shared" si="5"/>
        <v>1</v>
      </c>
    </row>
    <row r="27" spans="1:29" s="429" customFormat="1" ht="15">
      <c r="A27" s="608"/>
      <c r="B27" s="609" t="s">
        <v>2289</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511"/>
      <c r="Q27" s="715" t="str">
        <f t="shared" si="11"/>
        <v>项目停车位配比</v>
      </c>
      <c r="R27" s="716" t="s">
        <v>17</v>
      </c>
      <c r="S27" s="717">
        <f t="shared" si="12"/>
        <v>100</v>
      </c>
      <c r="T27" s="716" t="s">
        <v>17</v>
      </c>
      <c r="U27" s="717">
        <f t="shared" si="13"/>
        <v>100</v>
      </c>
      <c r="V27" s="716" t="s">
        <v>17</v>
      </c>
      <c r="W27" s="717">
        <f t="shared" si="14"/>
        <v>100</v>
      </c>
      <c r="X27" s="718"/>
      <c r="Y27" s="3511"/>
      <c r="Z27" s="719" t="str">
        <f t="shared" si="15"/>
        <v>项目停车位配比</v>
      </c>
      <c r="AA27" s="1487">
        <f t="shared" si="3"/>
        <v>1</v>
      </c>
      <c r="AB27" s="1487">
        <f t="shared" si="4"/>
        <v>1</v>
      </c>
      <c r="AC27" s="1487">
        <f t="shared" si="5"/>
        <v>1</v>
      </c>
    </row>
    <row r="28" spans="1:29" ht="15">
      <c r="A28" s="611"/>
      <c r="B28" s="609" t="s">
        <v>2290</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511"/>
      <c r="Q28" s="1486" t="str">
        <f t="shared" si="11"/>
        <v>公共部分装修</v>
      </c>
      <c r="R28" s="713" t="s">
        <v>17</v>
      </c>
      <c r="S28" s="714">
        <f t="shared" si="12"/>
        <v>100</v>
      </c>
      <c r="T28" s="713" t="s">
        <v>17</v>
      </c>
      <c r="U28" s="714">
        <f t="shared" si="13"/>
        <v>100</v>
      </c>
      <c r="V28" s="713" t="s">
        <v>17</v>
      </c>
      <c r="W28" s="714">
        <f t="shared" si="14"/>
        <v>100</v>
      </c>
      <c r="X28" s="1489"/>
      <c r="Y28" s="3511"/>
      <c r="Z28" s="1490" t="str">
        <f t="shared" si="15"/>
        <v>公共部分装修</v>
      </c>
      <c r="AA28" s="1487">
        <f t="shared" si="3"/>
        <v>1</v>
      </c>
      <c r="AB28" s="1487">
        <f t="shared" si="4"/>
        <v>1</v>
      </c>
      <c r="AC28" s="1487">
        <f t="shared" si="5"/>
        <v>1</v>
      </c>
    </row>
    <row r="29" spans="1:29" ht="15">
      <c r="A29" s="611"/>
      <c r="B29" s="609" t="s">
        <v>2291</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511"/>
      <c r="Q29" s="1486" t="str">
        <f t="shared" si="11"/>
        <v>成新率</v>
      </c>
      <c r="R29" s="713" t="s">
        <v>17</v>
      </c>
      <c r="S29" s="714" t="e">
        <f t="shared" si="12"/>
        <v>#N/A</v>
      </c>
      <c r="T29" s="713" t="s">
        <v>17</v>
      </c>
      <c r="U29" s="714" t="e">
        <f t="shared" si="13"/>
        <v>#N/A</v>
      </c>
      <c r="V29" s="713" t="s">
        <v>17</v>
      </c>
      <c r="W29" s="714" t="e">
        <f t="shared" si="14"/>
        <v>#N/A</v>
      </c>
      <c r="X29" s="1489"/>
      <c r="Y29" s="3511"/>
      <c r="Z29" s="1490" t="str">
        <f t="shared" si="15"/>
        <v>成新率</v>
      </c>
      <c r="AA29" s="1487" t="e">
        <f t="shared" si="3"/>
        <v>#N/A</v>
      </c>
      <c r="AB29" s="1487" t="e">
        <f t="shared" si="4"/>
        <v>#N/A</v>
      </c>
      <c r="AC29" s="1487" t="e">
        <f t="shared" si="5"/>
        <v>#N/A</v>
      </c>
    </row>
    <row r="30" spans="1:29" ht="15">
      <c r="A30" s="611"/>
      <c r="B30" s="609" t="s">
        <v>2292</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511"/>
      <c r="Q30" s="1486" t="str">
        <f t="shared" si="11"/>
        <v>物业等级</v>
      </c>
      <c r="R30" s="713" t="s">
        <v>17</v>
      </c>
      <c r="S30" s="714">
        <f t="shared" si="12"/>
        <v>100</v>
      </c>
      <c r="T30" s="713" t="s">
        <v>17</v>
      </c>
      <c r="U30" s="714">
        <f t="shared" si="13"/>
        <v>100</v>
      </c>
      <c r="V30" s="713" t="s">
        <v>17</v>
      </c>
      <c r="W30" s="714">
        <f t="shared" si="14"/>
        <v>100</v>
      </c>
      <c r="X30" s="1489"/>
      <c r="Y30" s="3511"/>
      <c r="Z30" s="1490" t="str">
        <f t="shared" si="15"/>
        <v>物业等级</v>
      </c>
      <c r="AA30" s="1487">
        <f t="shared" si="3"/>
        <v>1</v>
      </c>
      <c r="AB30" s="1487">
        <f t="shared" si="4"/>
        <v>1</v>
      </c>
      <c r="AC30" s="1487">
        <f t="shared" si="5"/>
        <v>1</v>
      </c>
    </row>
    <row r="31" spans="1:29" s="112" customFormat="1" ht="15">
      <c r="A31" s="613"/>
      <c r="B31" s="609" t="s">
        <v>2293</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511"/>
      <c r="Q31" s="1477" t="str">
        <f t="shared" si="11"/>
        <v>停车位面积</v>
      </c>
      <c r="R31" s="709" t="s">
        <v>17</v>
      </c>
      <c r="S31" s="710" t="e">
        <f t="shared" si="12"/>
        <v>#N/A</v>
      </c>
      <c r="T31" s="709" t="s">
        <v>17</v>
      </c>
      <c r="U31" s="710" t="e">
        <f t="shared" si="13"/>
        <v>#N/A</v>
      </c>
      <c r="V31" s="709" t="s">
        <v>17</v>
      </c>
      <c r="W31" s="710" t="e">
        <f t="shared" si="14"/>
        <v>#N/A</v>
      </c>
      <c r="X31" s="711"/>
      <c r="Y31" s="3511"/>
      <c r="Z31" s="55" t="str">
        <f t="shared" si="15"/>
        <v>停车位面积</v>
      </c>
      <c r="AA31" s="712" t="e">
        <f t="shared" si="3"/>
        <v>#N/A</v>
      </c>
      <c r="AB31" s="712" t="e">
        <f t="shared" si="4"/>
        <v>#N/A</v>
      </c>
      <c r="AC31" s="712" t="e">
        <f t="shared" si="5"/>
        <v>#N/A</v>
      </c>
    </row>
    <row r="32" spans="1:29" ht="15">
      <c r="A32" s="611"/>
      <c r="B32" s="609" t="s">
        <v>2294</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511" t="s">
        <v>2141</v>
      </c>
      <c r="Q32" s="1486" t="str">
        <f t="shared" si="11"/>
        <v>车位类型</v>
      </c>
      <c r="R32" s="713" t="s">
        <v>17</v>
      </c>
      <c r="S32" s="714">
        <f t="shared" si="12"/>
        <v>100</v>
      </c>
      <c r="T32" s="713" t="s">
        <v>17</v>
      </c>
      <c r="U32" s="714">
        <f t="shared" si="13"/>
        <v>100</v>
      </c>
      <c r="V32" s="713" t="s">
        <v>17</v>
      </c>
      <c r="W32" s="714">
        <f t="shared" si="14"/>
        <v>100</v>
      </c>
      <c r="X32" s="1489"/>
      <c r="Y32" s="3511" t="s">
        <v>2141</v>
      </c>
      <c r="Z32" s="1490" t="str">
        <f t="shared" si="15"/>
        <v>车位类型</v>
      </c>
      <c r="AA32" s="1487">
        <f t="shared" si="3"/>
        <v>1</v>
      </c>
      <c r="AB32" s="1487">
        <f t="shared" si="4"/>
        <v>1</v>
      </c>
      <c r="AC32" s="1487">
        <f t="shared" si="5"/>
        <v>1</v>
      </c>
    </row>
    <row r="33" spans="1:29" ht="15">
      <c r="A33" s="611"/>
      <c r="B33" s="609" t="s">
        <v>2295</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511"/>
      <c r="Q33" s="1486" t="str">
        <f t="shared" si="11"/>
        <v>是否直接入户</v>
      </c>
      <c r="R33" s="713" t="s">
        <v>17</v>
      </c>
      <c r="S33" s="714">
        <f t="shared" si="12"/>
        <v>100</v>
      </c>
      <c r="T33" s="713" t="s">
        <v>17</v>
      </c>
      <c r="U33" s="714">
        <f t="shared" si="13"/>
        <v>100</v>
      </c>
      <c r="V33" s="713" t="s">
        <v>17</v>
      </c>
      <c r="W33" s="714">
        <f t="shared" si="14"/>
        <v>100</v>
      </c>
      <c r="X33" s="1489"/>
      <c r="Y33" s="3511"/>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511"/>
      <c r="Q34" s="1486">
        <f t="shared" si="11"/>
        <v>111</v>
      </c>
      <c r="R34" s="713" t="s">
        <v>17</v>
      </c>
      <c r="S34" s="714">
        <f t="shared" si="12"/>
        <v>100</v>
      </c>
      <c r="T34" s="713" t="s">
        <v>17</v>
      </c>
      <c r="U34" s="714">
        <f t="shared" si="13"/>
        <v>100</v>
      </c>
      <c r="V34" s="713" t="s">
        <v>17</v>
      </c>
      <c r="W34" s="714">
        <f t="shared" si="14"/>
        <v>100</v>
      </c>
      <c r="X34" s="1489"/>
      <c r="Y34" s="3511"/>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511"/>
      <c r="Q35" s="715">
        <f t="shared" si="11"/>
        <v>111</v>
      </c>
      <c r="R35" s="716" t="s">
        <v>17</v>
      </c>
      <c r="S35" s="717">
        <f t="shared" si="12"/>
        <v>100</v>
      </c>
      <c r="T35" s="716" t="s">
        <v>17</v>
      </c>
      <c r="U35" s="717">
        <f t="shared" si="13"/>
        <v>100</v>
      </c>
      <c r="V35" s="716" t="s">
        <v>17</v>
      </c>
      <c r="W35" s="717">
        <f t="shared" si="14"/>
        <v>100</v>
      </c>
      <c r="X35" s="718"/>
      <c r="Y35" s="3511"/>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511"/>
      <c r="Q36" s="1486">
        <f t="shared" si="11"/>
        <v>111</v>
      </c>
      <c r="R36" s="713" t="s">
        <v>17</v>
      </c>
      <c r="S36" s="714">
        <f t="shared" si="12"/>
        <v>100</v>
      </c>
      <c r="T36" s="713" t="s">
        <v>17</v>
      </c>
      <c r="U36" s="714">
        <f t="shared" si="13"/>
        <v>100</v>
      </c>
      <c r="V36" s="713" t="s">
        <v>17</v>
      </c>
      <c r="W36" s="714">
        <f t="shared" si="14"/>
        <v>100</v>
      </c>
      <c r="X36" s="1489"/>
      <c r="Y36" s="3511"/>
      <c r="Z36" s="1490">
        <f t="shared" si="15"/>
        <v>111</v>
      </c>
      <c r="AA36" s="1487">
        <f t="shared" si="3"/>
        <v>1</v>
      </c>
      <c r="AB36" s="1487">
        <f t="shared" si="4"/>
        <v>1</v>
      </c>
      <c r="AC36" s="1487">
        <f t="shared" si="5"/>
        <v>1</v>
      </c>
    </row>
    <row r="37" spans="1:29" ht="15">
      <c r="A37" s="437" t="s">
        <v>2296</v>
      </c>
      <c r="B37" s="2109" t="s">
        <v>2297</v>
      </c>
      <c r="C37" s="1268" t="s">
        <v>1</v>
      </c>
      <c r="D37" s="1269"/>
      <c r="E37" s="1270"/>
      <c r="F37" s="1271"/>
      <c r="G37" s="1272"/>
      <c r="H37" s="1273"/>
      <c r="I37" s="1270"/>
      <c r="J37" s="1273"/>
      <c r="K37" s="575"/>
      <c r="L37" s="2902"/>
      <c r="M37" s="2903"/>
      <c r="N37" s="2894"/>
      <c r="O37" s="2903"/>
      <c r="P37" s="3504" t="str">
        <f>A37</f>
        <v>成交单价</v>
      </c>
      <c r="Q37" s="3504"/>
      <c r="R37" s="3505">
        <f>E37</f>
        <v>0</v>
      </c>
      <c r="S37" s="3505"/>
      <c r="T37" s="3505">
        <f>G37</f>
        <v>0</v>
      </c>
      <c r="U37" s="3505"/>
      <c r="V37" s="3505">
        <f>I37</f>
        <v>0</v>
      </c>
      <c r="W37" s="3505"/>
      <c r="X37" s="698"/>
      <c r="Y37" s="720"/>
      <c r="Z37" s="698"/>
      <c r="AA37" s="698"/>
      <c r="AB37" s="698"/>
      <c r="AC37" s="698"/>
    </row>
    <row r="38" spans="1:29" ht="15.75" thickBot="1">
      <c r="A38" s="444" t="s">
        <v>2298</v>
      </c>
      <c r="B38" s="445" t="str">
        <f>B37</f>
        <v>元/车位</v>
      </c>
      <c r="C38" s="1274" t="e">
        <f>R39</f>
        <v>#DIV/0!</v>
      </c>
      <c r="D38" s="2488" t="s">
        <v>2635</v>
      </c>
      <c r="E38" s="1275" t="e">
        <f>R38</f>
        <v>#DIV/0!</v>
      </c>
      <c r="F38" s="2489"/>
      <c r="G38" s="1274" t="e">
        <f>T38</f>
        <v>#DIV/0!</v>
      </c>
      <c r="H38" s="2489"/>
      <c r="I38" s="1275" t="e">
        <f>V38</f>
        <v>#DIV/0!</v>
      </c>
      <c r="J38" s="2489"/>
      <c r="K38" s="2491">
        <f>F38+H38+J38</f>
        <v>0</v>
      </c>
      <c r="L38" s="2902"/>
      <c r="M38" s="2903"/>
      <c r="N38" s="2903"/>
      <c r="O38" s="2903"/>
      <c r="P38" s="3504" t="str">
        <f>A38</f>
        <v>比较价值（元/平方米）</v>
      </c>
      <c r="Q38" s="3504"/>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698"/>
      <c r="Y38" s="698"/>
      <c r="Z38" s="698"/>
      <c r="AA38" s="698"/>
      <c r="AB38" s="698"/>
      <c r="AC38" s="698"/>
    </row>
    <row r="39" spans="1:29" ht="15.75" thickBot="1">
      <c r="A39" s="448" t="s">
        <v>2299</v>
      </c>
      <c r="B39" s="449"/>
      <c r="C39" s="1277" t="e">
        <f>R39</f>
        <v>#DIV/0!</v>
      </c>
      <c r="D39" s="1277"/>
      <c r="E39" s="1277"/>
      <c r="F39" s="1277"/>
      <c r="G39" s="1277"/>
      <c r="H39" s="1277"/>
      <c r="I39" s="1277"/>
      <c r="J39" s="1277"/>
      <c r="K39" s="576"/>
      <c r="L39" s="2902"/>
      <c r="M39" s="2903"/>
      <c r="N39" s="2903"/>
      <c r="O39" s="2903"/>
      <c r="P39" s="3501" t="str">
        <f>A39</f>
        <v>估价对象XX用房的比较价值（楼面单价，元/平方米）</v>
      </c>
      <c r="Q39" s="3502"/>
      <c r="R39" s="3531" t="e">
        <f>IF(F1="售价",ROUND(IF(D38="简单平均",AVERAGE(R38:W38),R38*F38+T38*H38+V38*J38),0),ROUND(IF(D38="简单平均",AVERAGE(R38:V38),R38*F38+T38*H38+V38*J38),1))</f>
        <v>#DIV/0!</v>
      </c>
      <c r="S39" s="3531"/>
      <c r="T39" s="3531"/>
      <c r="U39" s="3531"/>
      <c r="V39" s="3531"/>
      <c r="W39" s="3531"/>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2300</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2301</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2302</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2303</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2304</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2161</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2126</v>
      </c>
      <c r="B51" s="466"/>
      <c r="C51" s="478" t="s">
        <v>2228</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2164</v>
      </c>
      <c r="B53" s="484" t="s">
        <v>2130</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2133</v>
      </c>
      <c r="C55" s="495" t="s">
        <v>2165</v>
      </c>
      <c r="D55" s="495" t="s">
        <v>2166</v>
      </c>
      <c r="E55" s="495" t="s">
        <v>2167</v>
      </c>
      <c r="F55" s="495" t="s">
        <v>2168</v>
      </c>
      <c r="G55" s="495" t="s">
        <v>2169</v>
      </c>
      <c r="H55" s="495" t="s">
        <v>2170</v>
      </c>
      <c r="I55" s="495" t="s">
        <v>2171</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2135</v>
      </c>
      <c r="B63" s="484" t="s">
        <v>2178</v>
      </c>
      <c r="C63" s="529" t="s">
        <v>2173</v>
      </c>
      <c r="D63" s="529" t="s">
        <v>2174</v>
      </c>
      <c r="E63" s="529" t="s">
        <v>2175</v>
      </c>
      <c r="F63" s="529" t="s">
        <v>2176</v>
      </c>
      <c r="G63" s="529" t="s">
        <v>2177</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2179</v>
      </c>
      <c r="C65" s="534" t="s">
        <v>2173</v>
      </c>
      <c r="D65" s="534" t="s">
        <v>2174</v>
      </c>
      <c r="E65" s="534" t="s">
        <v>2175</v>
      </c>
      <c r="F65" s="534" t="s">
        <v>2176</v>
      </c>
      <c r="G65" s="534" t="s">
        <v>2177</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2265</v>
      </c>
      <c r="C67" s="615" t="s">
        <v>2251</v>
      </c>
      <c r="D67" s="615" t="s">
        <v>2252</v>
      </c>
      <c r="E67" s="615" t="s">
        <v>2253</v>
      </c>
      <c r="F67" s="615" t="s">
        <v>2254</v>
      </c>
      <c r="G67" s="615" t="s">
        <v>2255</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2185</v>
      </c>
      <c r="C69" s="534" t="s">
        <v>2173</v>
      </c>
      <c r="D69" s="534" t="s">
        <v>2174</v>
      </c>
      <c r="E69" s="534" t="s">
        <v>2175</v>
      </c>
      <c r="F69" s="534" t="s">
        <v>2176</v>
      </c>
      <c r="G69" s="534" t="s">
        <v>2177</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2305</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2139</v>
      </c>
      <c r="B79" s="484" t="s">
        <v>2306</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2307</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2192</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2308</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2309</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2310</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2311</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2312</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2283</v>
      </c>
      <c r="B1" s="1343"/>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IF(C2="——",ROUND(C37*D3/10000,0),ROUND(C37*D3/10000,0)-D2)</f>
        <v>#DIV/0!</v>
      </c>
      <c r="C2" s="2017"/>
      <c r="D2" s="1018" t="e">
        <f ca="1">SUMIF(INDIRECT("'"&amp;F2&amp;"'"&amp;"!A:A"),"承租人权益价值",INDIRECT("'"&amp;F2&amp;"'"&amp;"!c:c"))</f>
        <v>#REF!</v>
      </c>
      <c r="E2" s="2018" t="s">
        <v>1907</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 ca="1">IF(C2="——",C37,ROUND(B2*10000/D3,0))</f>
        <v>#DIV/0!</v>
      </c>
      <c r="C3" s="359" t="s">
        <v>2220</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2221</v>
      </c>
      <c r="B4" s="361"/>
      <c r="C4" s="3487" t="s">
        <v>2222</v>
      </c>
      <c r="D4" s="3488"/>
      <c r="E4" s="3489" t="s">
        <v>2223</v>
      </c>
      <c r="F4" s="3490"/>
      <c r="G4" s="3487" t="s">
        <v>2224</v>
      </c>
      <c r="H4" s="3488"/>
      <c r="I4" s="3487" t="s">
        <v>2225</v>
      </c>
      <c r="J4" s="3488"/>
      <c r="K4" s="566" t="s">
        <v>2226</v>
      </c>
      <c r="L4" s="2893"/>
      <c r="M4" s="2894"/>
      <c r="N4" s="2894"/>
      <c r="O4" s="2894"/>
      <c r="P4" s="3491" t="s">
        <v>2227</v>
      </c>
      <c r="Q4" s="3492"/>
      <c r="R4" s="3474" t="s">
        <v>2223</v>
      </c>
      <c r="S4" s="3475"/>
      <c r="T4" s="3474" t="s">
        <v>2224</v>
      </c>
      <c r="U4" s="3475"/>
      <c r="V4" s="3499" t="s">
        <v>2225</v>
      </c>
      <c r="W4" s="3499"/>
      <c r="X4" s="1489"/>
      <c r="Y4" s="3474" t="s">
        <v>2227</v>
      </c>
      <c r="Z4" s="3475"/>
      <c r="AA4" s="3469" t="s">
        <v>2223</v>
      </c>
      <c r="AB4" s="3470" t="s">
        <v>2224</v>
      </c>
      <c r="AC4" s="3469" t="s">
        <v>2225</v>
      </c>
    </row>
    <row r="5" spans="1:29" ht="15">
      <c r="A5" s="363"/>
      <c r="B5" s="364"/>
      <c r="C5" s="3480" t="s">
        <v>2118</v>
      </c>
      <c r="D5" s="3481"/>
      <c r="E5" s="3478" t="s">
        <v>2119</v>
      </c>
      <c r="F5" s="3479"/>
      <c r="G5" s="3480" t="s">
        <v>2120</v>
      </c>
      <c r="H5" s="3481"/>
      <c r="I5" s="3480" t="s">
        <v>2121</v>
      </c>
      <c r="J5" s="3481"/>
      <c r="K5" s="566"/>
      <c r="L5" s="2893"/>
      <c r="M5" s="2894"/>
      <c r="N5" s="2894"/>
      <c r="O5" s="2894"/>
      <c r="P5" s="3493"/>
      <c r="Q5" s="3494"/>
      <c r="R5" s="3476"/>
      <c r="S5" s="3477"/>
      <c r="T5" s="3476"/>
      <c r="U5" s="3477"/>
      <c r="V5" s="3499"/>
      <c r="W5" s="3499"/>
      <c r="X5" s="1489"/>
      <c r="Y5" s="3476"/>
      <c r="Z5" s="3477"/>
      <c r="AA5" s="3470"/>
      <c r="AB5" s="3470"/>
      <c r="AC5" s="3470"/>
    </row>
    <row r="6" spans="1:29" ht="15.75" thickBot="1">
      <c r="A6" s="365"/>
      <c r="B6" s="366"/>
      <c r="C6" s="3482" t="s">
        <v>2122</v>
      </c>
      <c r="D6" s="3483"/>
      <c r="E6" s="3484" t="s">
        <v>2122</v>
      </c>
      <c r="F6" s="3485"/>
      <c r="G6" s="3482" t="s">
        <v>2122</v>
      </c>
      <c r="H6" s="3483"/>
      <c r="I6" s="3482" t="s">
        <v>2122</v>
      </c>
      <c r="J6" s="3483"/>
      <c r="K6" s="566" t="s">
        <v>2123</v>
      </c>
      <c r="L6" s="2893"/>
      <c r="M6" s="2894"/>
      <c r="N6" s="2894"/>
      <c r="O6" s="2894"/>
      <c r="P6" s="3495"/>
      <c r="Q6" s="3496"/>
      <c r="R6" s="3476"/>
      <c r="S6" s="3477"/>
      <c r="T6" s="3497"/>
      <c r="U6" s="3498"/>
      <c r="V6" s="3499"/>
      <c r="W6" s="3499"/>
      <c r="X6" s="1489"/>
      <c r="Y6" s="3497"/>
      <c r="Z6" s="3498"/>
      <c r="AA6" s="3471"/>
      <c r="AB6" s="3471"/>
      <c r="AC6" s="3471"/>
    </row>
    <row r="7" spans="1:29" s="112" customFormat="1" ht="15.75" thickBot="1">
      <c r="A7" s="367" t="s">
        <v>2124</v>
      </c>
      <c r="B7" s="368"/>
      <c r="C7" s="369">
        <f>'数据-取费表'!B2</f>
        <v>44692</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472" t="s">
        <v>2125</v>
      </c>
      <c r="Q7" s="3500"/>
      <c r="R7" s="709" t="s">
        <v>17</v>
      </c>
      <c r="S7" s="710">
        <f t="shared" ref="S7:S14" si="0">F7</f>
        <v>0</v>
      </c>
      <c r="T7" s="709" t="s">
        <v>17</v>
      </c>
      <c r="U7" s="710">
        <f t="shared" ref="U7:U14" si="1">H7</f>
        <v>0</v>
      </c>
      <c r="V7" s="709" t="s">
        <v>17</v>
      </c>
      <c r="W7" s="710">
        <f t="shared" ref="W7:W14" si="2">J7</f>
        <v>0</v>
      </c>
      <c r="X7" s="711"/>
      <c r="Y7" s="3472" t="s">
        <v>2125</v>
      </c>
      <c r="Z7" s="3473"/>
      <c r="AA7" s="712" t="e">
        <f>D7/F7</f>
        <v>#DIV/0!</v>
      </c>
      <c r="AB7" s="712" t="e">
        <f>D7/H7</f>
        <v>#DIV/0!</v>
      </c>
      <c r="AC7" s="712" t="e">
        <f>D7/J7</f>
        <v>#DIV/0!</v>
      </c>
    </row>
    <row r="8" spans="1:29" s="112" customFormat="1" ht="15.75" thickBot="1">
      <c r="A8" s="367" t="s">
        <v>2126</v>
      </c>
      <c r="B8" s="368"/>
      <c r="C8" s="373" t="s">
        <v>2228</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472" t="s">
        <v>2128</v>
      </c>
      <c r="Q8" s="3473"/>
      <c r="R8" s="709" t="s">
        <v>17</v>
      </c>
      <c r="S8" s="710">
        <f t="shared" si="0"/>
        <v>0</v>
      </c>
      <c r="T8" s="709" t="s">
        <v>17</v>
      </c>
      <c r="U8" s="710">
        <f t="shared" si="1"/>
        <v>0</v>
      </c>
      <c r="V8" s="709" t="s">
        <v>17</v>
      </c>
      <c r="W8" s="710">
        <f t="shared" si="2"/>
        <v>0</v>
      </c>
      <c r="X8" s="711"/>
      <c r="Y8" s="3472" t="s">
        <v>2128</v>
      </c>
      <c r="Z8" s="3473"/>
      <c r="AA8" s="712" t="e">
        <f t="shared" ref="AA8:AA34" si="3">D8/F8</f>
        <v>#DIV/0!</v>
      </c>
      <c r="AB8" s="712" t="e">
        <f t="shared" ref="AB8:AB34" si="4">D8/H8</f>
        <v>#DIV/0!</v>
      </c>
      <c r="AC8" s="712" t="e">
        <f t="shared" ref="AC8:AC34" si="5">D8/J8</f>
        <v>#DIV/0!</v>
      </c>
    </row>
    <row r="9" spans="1:29" s="112" customFormat="1">
      <c r="A9" s="374" t="s">
        <v>2129</v>
      </c>
      <c r="B9" s="67" t="s">
        <v>2130</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504" t="s">
        <v>2131</v>
      </c>
      <c r="Q9" s="1477" t="str">
        <f t="shared" ref="Q9:Q14" si="6">B9</f>
        <v>用途</v>
      </c>
      <c r="R9" s="709" t="s">
        <v>17</v>
      </c>
      <c r="S9" s="710">
        <f t="shared" si="0"/>
        <v>100</v>
      </c>
      <c r="T9" s="709" t="s">
        <v>17</v>
      </c>
      <c r="U9" s="710">
        <f t="shared" si="1"/>
        <v>100</v>
      </c>
      <c r="V9" s="709" t="s">
        <v>17</v>
      </c>
      <c r="W9" s="710">
        <f t="shared" si="2"/>
        <v>100</v>
      </c>
      <c r="X9" s="711"/>
      <c r="Y9" s="3416" t="s">
        <v>2132</v>
      </c>
      <c r="Z9" s="55" t="str">
        <f t="shared" ref="Z9:Z14" si="7">Q9</f>
        <v>用途</v>
      </c>
      <c r="AA9" s="712">
        <f t="shared" si="3"/>
        <v>1</v>
      </c>
      <c r="AB9" s="712">
        <f t="shared" si="4"/>
        <v>1</v>
      </c>
      <c r="AC9" s="712">
        <f t="shared" si="5"/>
        <v>1</v>
      </c>
    </row>
    <row r="10" spans="1:29" s="385" customFormat="1" ht="27">
      <c r="A10" s="379"/>
      <c r="B10" s="380" t="s">
        <v>2133</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504"/>
      <c r="Q10" s="1477" t="str">
        <f t="shared" si="6"/>
        <v>土地使用年限（年）</v>
      </c>
      <c r="R10" s="709" t="s">
        <v>17</v>
      </c>
      <c r="S10" s="710">
        <f t="shared" si="0"/>
        <v>100</v>
      </c>
      <c r="T10" s="709" t="s">
        <v>17</v>
      </c>
      <c r="U10" s="710">
        <f t="shared" si="1"/>
        <v>100</v>
      </c>
      <c r="V10" s="709" t="s">
        <v>17</v>
      </c>
      <c r="W10" s="710">
        <f t="shared" si="2"/>
        <v>100</v>
      </c>
      <c r="X10" s="711"/>
      <c r="Y10" s="3416"/>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504"/>
      <c r="Q11" s="1477">
        <f t="shared" si="6"/>
        <v>111</v>
      </c>
      <c r="R11" s="709" t="s">
        <v>17</v>
      </c>
      <c r="S11" s="710">
        <f t="shared" si="0"/>
        <v>100</v>
      </c>
      <c r="T11" s="709" t="s">
        <v>17</v>
      </c>
      <c r="U11" s="710">
        <f t="shared" si="1"/>
        <v>100</v>
      </c>
      <c r="V11" s="709" t="s">
        <v>17</v>
      </c>
      <c r="W11" s="710">
        <f t="shared" si="2"/>
        <v>100</v>
      </c>
      <c r="X11" s="711"/>
      <c r="Y11" s="3416"/>
      <c r="Z11" s="55">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504"/>
      <c r="Q12" s="1477">
        <f t="shared" si="6"/>
        <v>111</v>
      </c>
      <c r="R12" s="709" t="s">
        <v>17</v>
      </c>
      <c r="S12" s="710">
        <f t="shared" si="0"/>
        <v>100</v>
      </c>
      <c r="T12" s="709" t="s">
        <v>17</v>
      </c>
      <c r="U12" s="710">
        <f t="shared" si="1"/>
        <v>100</v>
      </c>
      <c r="V12" s="709" t="s">
        <v>17</v>
      </c>
      <c r="W12" s="710">
        <f t="shared" si="2"/>
        <v>100</v>
      </c>
      <c r="X12" s="711"/>
      <c r="Y12" s="3416"/>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504"/>
      <c r="Q13" s="1477">
        <f t="shared" si="6"/>
        <v>111</v>
      </c>
      <c r="R13" s="709" t="s">
        <v>17</v>
      </c>
      <c r="S13" s="710">
        <f t="shared" si="0"/>
        <v>100</v>
      </c>
      <c r="T13" s="709" t="s">
        <v>17</v>
      </c>
      <c r="U13" s="710">
        <f t="shared" si="1"/>
        <v>100</v>
      </c>
      <c r="V13" s="709" t="s">
        <v>17</v>
      </c>
      <c r="W13" s="710">
        <f t="shared" si="2"/>
        <v>100</v>
      </c>
      <c r="X13" s="711"/>
      <c r="Y13" s="3416"/>
      <c r="Z13" s="55">
        <f t="shared" si="7"/>
        <v>111</v>
      </c>
      <c r="AA13" s="712">
        <f t="shared" si="3"/>
        <v>1</v>
      </c>
      <c r="AB13" s="712">
        <f t="shared" si="4"/>
        <v>1</v>
      </c>
      <c r="AC13" s="712">
        <f t="shared" si="5"/>
        <v>1</v>
      </c>
    </row>
    <row r="14" spans="1:29" ht="85.5">
      <c r="A14" s="398" t="s">
        <v>2135</v>
      </c>
      <c r="B14" s="65" t="s">
        <v>2285</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506" t="s">
        <v>2136</v>
      </c>
      <c r="Q14" s="1486" t="str">
        <f t="shared" si="6"/>
        <v>交通便捷度</v>
      </c>
      <c r="R14" s="713" t="s">
        <v>17</v>
      </c>
      <c r="S14" s="714">
        <f t="shared" si="0"/>
        <v>100</v>
      </c>
      <c r="T14" s="713" t="s">
        <v>17</v>
      </c>
      <c r="U14" s="714">
        <f t="shared" si="1"/>
        <v>100</v>
      </c>
      <c r="V14" s="713" t="s">
        <v>17</v>
      </c>
      <c r="W14" s="714">
        <f t="shared" si="2"/>
        <v>100</v>
      </c>
      <c r="X14" s="1489"/>
      <c r="Y14" s="3506" t="s">
        <v>2136</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507"/>
      <c r="Q15" s="1486"/>
      <c r="R15" s="713"/>
      <c r="S15" s="714"/>
      <c r="T15" s="713"/>
      <c r="U15" s="714"/>
      <c r="V15" s="713"/>
      <c r="W15" s="714"/>
      <c r="X15" s="1489"/>
      <c r="Y15" s="3507"/>
      <c r="Z15" s="1490"/>
      <c r="AA15" s="1487">
        <v>1</v>
      </c>
      <c r="AB15" s="1487">
        <v>1</v>
      </c>
      <c r="AC15" s="1487">
        <v>1</v>
      </c>
    </row>
    <row r="16" spans="1:29" ht="42.75">
      <c r="A16" s="386"/>
      <c r="B16" s="409" t="s">
        <v>2264</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507"/>
      <c r="Q16" s="1486" t="str">
        <f>B16</f>
        <v>公共配套设施</v>
      </c>
      <c r="R16" s="713" t="s">
        <v>17</v>
      </c>
      <c r="S16" s="714">
        <f>F16</f>
        <v>100</v>
      </c>
      <c r="T16" s="713" t="s">
        <v>17</v>
      </c>
      <c r="U16" s="714">
        <f>H16</f>
        <v>100</v>
      </c>
      <c r="V16" s="713" t="s">
        <v>17</v>
      </c>
      <c r="W16" s="714">
        <f>J16</f>
        <v>100</v>
      </c>
      <c r="X16" s="1489"/>
      <c r="Y16" s="3507"/>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507"/>
      <c r="Q17" s="1486"/>
      <c r="R17" s="713"/>
      <c r="S17" s="714"/>
      <c r="T17" s="713"/>
      <c r="U17" s="714"/>
      <c r="V17" s="713"/>
      <c r="W17" s="714"/>
      <c r="X17" s="1489"/>
      <c r="Y17" s="3507"/>
      <c r="Z17" s="1490"/>
      <c r="AA17" s="1487">
        <v>1</v>
      </c>
      <c r="AB17" s="1487">
        <v>1</v>
      </c>
      <c r="AC17" s="1487">
        <v>1</v>
      </c>
    </row>
    <row r="18" spans="1:29" ht="28.5">
      <c r="A18" s="386"/>
      <c r="B18" s="1245" t="s">
        <v>2265</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507"/>
      <c r="Q18" s="1486" t="str">
        <f>B18</f>
        <v>基础设施水平</v>
      </c>
      <c r="R18" s="713" t="s">
        <v>17</v>
      </c>
      <c r="S18" s="714">
        <f>F18</f>
        <v>100</v>
      </c>
      <c r="T18" s="713" t="s">
        <v>17</v>
      </c>
      <c r="U18" s="714">
        <f>H18</f>
        <v>100</v>
      </c>
      <c r="V18" s="713" t="s">
        <v>17</v>
      </c>
      <c r="W18" s="714">
        <f>J18</f>
        <v>100</v>
      </c>
      <c r="X18" s="1489"/>
      <c r="Y18" s="3507"/>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507"/>
      <c r="Q19" s="1486"/>
      <c r="R19" s="713"/>
      <c r="S19" s="714"/>
      <c r="T19" s="713"/>
      <c r="U19" s="714"/>
      <c r="V19" s="713"/>
      <c r="W19" s="714"/>
      <c r="X19" s="1489"/>
      <c r="Y19" s="3507"/>
      <c r="Z19" s="1490"/>
      <c r="AA19" s="1487">
        <v>1</v>
      </c>
      <c r="AB19" s="1487">
        <v>1</v>
      </c>
      <c r="AC19" s="1487">
        <v>1</v>
      </c>
    </row>
    <row r="20" spans="1:29" ht="57">
      <c r="A20" s="386"/>
      <c r="B20" s="409" t="s">
        <v>2286</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507"/>
      <c r="Q20" s="1486" t="str">
        <f>B20</f>
        <v>自然及人文环境</v>
      </c>
      <c r="R20" s="713" t="s">
        <v>17</v>
      </c>
      <c r="S20" s="714">
        <f>F20</f>
        <v>100</v>
      </c>
      <c r="T20" s="713" t="s">
        <v>17</v>
      </c>
      <c r="U20" s="714">
        <f>H20</f>
        <v>100</v>
      </c>
      <c r="V20" s="713" t="s">
        <v>17</v>
      </c>
      <c r="W20" s="714">
        <f>J20</f>
        <v>100</v>
      </c>
      <c r="X20" s="1489"/>
      <c r="Y20" s="3507"/>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507"/>
      <c r="Q21" s="1486"/>
      <c r="R21" s="713"/>
      <c r="S21" s="714"/>
      <c r="T21" s="713"/>
      <c r="U21" s="714"/>
      <c r="V21" s="713"/>
      <c r="W21" s="714"/>
      <c r="X21" s="1489"/>
      <c r="Y21" s="3507"/>
      <c r="Z21" s="1490"/>
      <c r="AA21" s="1487">
        <v>1</v>
      </c>
      <c r="AB21" s="1487">
        <v>1</v>
      </c>
      <c r="AC21" s="1487">
        <v>1</v>
      </c>
    </row>
    <row r="22" spans="1:29" ht="15">
      <c r="A22" s="386"/>
      <c r="B22" s="409" t="s">
        <v>2287</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507"/>
      <c r="Q22" s="1486" t="str">
        <f>B22</f>
        <v>楼层</v>
      </c>
      <c r="R22" s="713" t="s">
        <v>17</v>
      </c>
      <c r="S22" s="714">
        <f>F22</f>
        <v>100</v>
      </c>
      <c r="T22" s="713" t="s">
        <v>17</v>
      </c>
      <c r="U22" s="714">
        <f>H22</f>
        <v>100</v>
      </c>
      <c r="V22" s="713" t="s">
        <v>17</v>
      </c>
      <c r="W22" s="714">
        <f>J22</f>
        <v>100</v>
      </c>
      <c r="X22" s="1489"/>
      <c r="Y22" s="3507"/>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507"/>
      <c r="Q23" s="1486">
        <f>B23</f>
        <v>111</v>
      </c>
      <c r="R23" s="713" t="s">
        <v>17</v>
      </c>
      <c r="S23" s="714">
        <f>F23</f>
        <v>100</v>
      </c>
      <c r="T23" s="713" t="s">
        <v>17</v>
      </c>
      <c r="U23" s="714">
        <f>H23</f>
        <v>100</v>
      </c>
      <c r="V23" s="713" t="s">
        <v>17</v>
      </c>
      <c r="W23" s="714">
        <f>J23</f>
        <v>100</v>
      </c>
      <c r="X23" s="1489"/>
      <c r="Y23" s="3507"/>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507"/>
      <c r="Q24" s="1486">
        <f t="shared" ref="Q24:Q34" si="11">B24</f>
        <v>111</v>
      </c>
      <c r="R24" s="713" t="s">
        <v>17</v>
      </c>
      <c r="S24" s="714">
        <f>F24</f>
        <v>100</v>
      </c>
      <c r="T24" s="713" t="s">
        <v>17</v>
      </c>
      <c r="U24" s="714">
        <f>H24</f>
        <v>100</v>
      </c>
      <c r="V24" s="713" t="s">
        <v>17</v>
      </c>
      <c r="W24" s="714">
        <f>J24</f>
        <v>100</v>
      </c>
      <c r="X24" s="1489"/>
      <c r="Y24" s="3507"/>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507"/>
      <c r="Q25" s="1477">
        <f t="shared" si="11"/>
        <v>111</v>
      </c>
      <c r="R25" s="709" t="s">
        <v>17</v>
      </c>
      <c r="S25" s="710">
        <f>F25</f>
        <v>100</v>
      </c>
      <c r="T25" s="709" t="s">
        <v>17</v>
      </c>
      <c r="U25" s="710">
        <f>H25</f>
        <v>100</v>
      </c>
      <c r="V25" s="709" t="s">
        <v>17</v>
      </c>
      <c r="W25" s="710">
        <f>J25</f>
        <v>100</v>
      </c>
      <c r="X25" s="711"/>
      <c r="Y25" s="3507"/>
      <c r="Z25" s="55">
        <f>Q25</f>
        <v>111</v>
      </c>
      <c r="AA25" s="1487">
        <f>D25/F25</f>
        <v>1</v>
      </c>
      <c r="AB25" s="1487">
        <f>D25/H25</f>
        <v>1</v>
      </c>
      <c r="AC25" s="1487">
        <f>D25/J25</f>
        <v>1</v>
      </c>
    </row>
    <row r="26" spans="1:29" ht="28.5">
      <c r="A26" s="424" t="s">
        <v>2139</v>
      </c>
      <c r="B26" s="67" t="s">
        <v>2290</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30" t="s">
        <v>2141</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11" t="s">
        <v>2141</v>
      </c>
      <c r="Z26" s="1490" t="str">
        <f t="shared" ref="Z26:Z34" si="15">Q26</f>
        <v>公共部分装修</v>
      </c>
      <c r="AA26" s="1487">
        <f t="shared" si="3"/>
        <v>1</v>
      </c>
      <c r="AB26" s="1487">
        <f t="shared" si="4"/>
        <v>1</v>
      </c>
      <c r="AC26" s="1487">
        <f t="shared" si="5"/>
        <v>1</v>
      </c>
    </row>
    <row r="27" spans="1:29" s="429" customFormat="1" ht="15">
      <c r="A27" s="426"/>
      <c r="B27" s="380" t="s">
        <v>2291</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511"/>
      <c r="Q27" s="715" t="str">
        <f t="shared" si="11"/>
        <v>成新率</v>
      </c>
      <c r="R27" s="716" t="s">
        <v>17</v>
      </c>
      <c r="S27" s="717" t="e">
        <f t="shared" si="12"/>
        <v>#N/A</v>
      </c>
      <c r="T27" s="716" t="s">
        <v>17</v>
      </c>
      <c r="U27" s="717" t="e">
        <f t="shared" si="13"/>
        <v>#N/A</v>
      </c>
      <c r="V27" s="716" t="s">
        <v>17</v>
      </c>
      <c r="W27" s="717" t="e">
        <f t="shared" si="14"/>
        <v>#N/A</v>
      </c>
      <c r="X27" s="718"/>
      <c r="Y27" s="3511"/>
      <c r="Z27" s="719" t="str">
        <f t="shared" si="15"/>
        <v>成新率</v>
      </c>
      <c r="AA27" s="1487" t="e">
        <f t="shared" si="3"/>
        <v>#N/A</v>
      </c>
      <c r="AB27" s="1487" t="e">
        <f t="shared" si="4"/>
        <v>#N/A</v>
      </c>
      <c r="AC27" s="1487" t="e">
        <f t="shared" si="5"/>
        <v>#N/A</v>
      </c>
    </row>
    <row r="28" spans="1:29" ht="15">
      <c r="A28" s="430"/>
      <c r="B28" s="380" t="s">
        <v>2292</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511"/>
      <c r="Q28" s="1486" t="str">
        <f t="shared" si="11"/>
        <v>物业等级</v>
      </c>
      <c r="R28" s="713" t="s">
        <v>17</v>
      </c>
      <c r="S28" s="714">
        <f t="shared" si="12"/>
        <v>100</v>
      </c>
      <c r="T28" s="713" t="s">
        <v>17</v>
      </c>
      <c r="U28" s="714">
        <f t="shared" si="13"/>
        <v>100</v>
      </c>
      <c r="V28" s="713" t="s">
        <v>17</v>
      </c>
      <c r="W28" s="714">
        <f t="shared" si="14"/>
        <v>100</v>
      </c>
      <c r="X28" s="1489"/>
      <c r="Y28" s="3511"/>
      <c r="Z28" s="1490" t="str">
        <f t="shared" si="15"/>
        <v>物业等级</v>
      </c>
      <c r="AA28" s="1487">
        <f t="shared" si="3"/>
        <v>1</v>
      </c>
      <c r="AB28" s="1487">
        <f t="shared" si="4"/>
        <v>1</v>
      </c>
      <c r="AC28" s="1487">
        <f t="shared" si="5"/>
        <v>1</v>
      </c>
    </row>
    <row r="29" spans="1:29" ht="15">
      <c r="A29" s="430"/>
      <c r="B29" s="380" t="s">
        <v>2313</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511"/>
      <c r="Q29" s="1486" t="str">
        <f t="shared" si="11"/>
        <v>有无电梯</v>
      </c>
      <c r="R29" s="713" t="s">
        <v>17</v>
      </c>
      <c r="S29" s="714">
        <f t="shared" si="12"/>
        <v>100</v>
      </c>
      <c r="T29" s="713" t="s">
        <v>17</v>
      </c>
      <c r="U29" s="714">
        <f t="shared" si="13"/>
        <v>100</v>
      </c>
      <c r="V29" s="713" t="s">
        <v>17</v>
      </c>
      <c r="W29" s="714">
        <f t="shared" si="14"/>
        <v>100</v>
      </c>
      <c r="X29" s="1489"/>
      <c r="Y29" s="3511"/>
      <c r="Z29" s="1490" t="str">
        <f t="shared" si="15"/>
        <v>有无电梯</v>
      </c>
      <c r="AA29" s="1487">
        <f t="shared" si="3"/>
        <v>1</v>
      </c>
      <c r="AB29" s="1487">
        <f t="shared" si="4"/>
        <v>1</v>
      </c>
      <c r="AC29" s="1487">
        <f t="shared" si="5"/>
        <v>1</v>
      </c>
    </row>
    <row r="30" spans="1:29" ht="15">
      <c r="A30" s="430"/>
      <c r="B30" s="380" t="s">
        <v>2314</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511"/>
      <c r="Q30" s="1486" t="str">
        <f t="shared" si="11"/>
        <v>建筑面积</v>
      </c>
      <c r="R30" s="713" t="s">
        <v>17</v>
      </c>
      <c r="S30" s="714" t="e">
        <f t="shared" si="12"/>
        <v>#N/A</v>
      </c>
      <c r="T30" s="713" t="s">
        <v>17</v>
      </c>
      <c r="U30" s="714" t="e">
        <f t="shared" si="13"/>
        <v>#N/A</v>
      </c>
      <c r="V30" s="713" t="s">
        <v>17</v>
      </c>
      <c r="W30" s="714" t="e">
        <f t="shared" si="14"/>
        <v>#N/A</v>
      </c>
      <c r="X30" s="1489"/>
      <c r="Y30" s="3511"/>
      <c r="Z30" s="1490" t="str">
        <f t="shared" si="15"/>
        <v>建筑面积</v>
      </c>
      <c r="AA30" s="1487" t="e">
        <f t="shared" si="3"/>
        <v>#N/A</v>
      </c>
      <c r="AB30" s="1487" t="e">
        <f t="shared" si="4"/>
        <v>#N/A</v>
      </c>
      <c r="AC30" s="1487" t="e">
        <f t="shared" si="5"/>
        <v>#N/A</v>
      </c>
    </row>
    <row r="31" spans="1:29" s="112" customFormat="1" ht="15">
      <c r="A31" s="431"/>
      <c r="B31" s="380" t="s">
        <v>2315</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511"/>
      <c r="Q31" s="1477" t="str">
        <f t="shared" si="11"/>
        <v>是否封闭</v>
      </c>
      <c r="R31" s="709" t="s">
        <v>17</v>
      </c>
      <c r="S31" s="710">
        <f t="shared" si="12"/>
        <v>100</v>
      </c>
      <c r="T31" s="709" t="s">
        <v>17</v>
      </c>
      <c r="U31" s="710">
        <f t="shared" si="13"/>
        <v>100</v>
      </c>
      <c r="V31" s="709" t="s">
        <v>17</v>
      </c>
      <c r="W31" s="710">
        <f t="shared" si="14"/>
        <v>100</v>
      </c>
      <c r="X31" s="711"/>
      <c r="Y31" s="3511"/>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511" t="s">
        <v>2141</v>
      </c>
      <c r="Q32" s="1486">
        <f t="shared" si="11"/>
        <v>111</v>
      </c>
      <c r="R32" s="713" t="s">
        <v>17</v>
      </c>
      <c r="S32" s="714">
        <f t="shared" si="12"/>
        <v>100</v>
      </c>
      <c r="T32" s="713" t="s">
        <v>17</v>
      </c>
      <c r="U32" s="714">
        <f t="shared" si="13"/>
        <v>100</v>
      </c>
      <c r="V32" s="713" t="s">
        <v>17</v>
      </c>
      <c r="W32" s="714">
        <f t="shared" si="14"/>
        <v>100</v>
      </c>
      <c r="X32" s="1489"/>
      <c r="Y32" s="3511" t="s">
        <v>2141</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511"/>
      <c r="Q33" s="1486">
        <f t="shared" si="11"/>
        <v>111</v>
      </c>
      <c r="R33" s="713" t="s">
        <v>17</v>
      </c>
      <c r="S33" s="714">
        <f t="shared" si="12"/>
        <v>100</v>
      </c>
      <c r="T33" s="713" t="s">
        <v>17</v>
      </c>
      <c r="U33" s="714">
        <f t="shared" si="13"/>
        <v>100</v>
      </c>
      <c r="V33" s="713" t="s">
        <v>17</v>
      </c>
      <c r="W33" s="714">
        <f t="shared" si="14"/>
        <v>100</v>
      </c>
      <c r="X33" s="1489"/>
      <c r="Y33" s="3511"/>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511"/>
      <c r="Q34" s="1486">
        <f t="shared" si="11"/>
        <v>111</v>
      </c>
      <c r="R34" s="713" t="s">
        <v>17</v>
      </c>
      <c r="S34" s="714">
        <f t="shared" si="12"/>
        <v>100</v>
      </c>
      <c r="T34" s="713" t="s">
        <v>17</v>
      </c>
      <c r="U34" s="714">
        <f t="shared" si="13"/>
        <v>100</v>
      </c>
      <c r="V34" s="713" t="s">
        <v>17</v>
      </c>
      <c r="W34" s="714">
        <f t="shared" si="14"/>
        <v>100</v>
      </c>
      <c r="X34" s="1489"/>
      <c r="Y34" s="3511"/>
      <c r="Z34" s="1490">
        <f t="shared" si="15"/>
        <v>111</v>
      </c>
      <c r="AA34" s="1487">
        <f t="shared" si="3"/>
        <v>1</v>
      </c>
      <c r="AB34" s="1487">
        <f t="shared" si="4"/>
        <v>1</v>
      </c>
      <c r="AC34" s="1487">
        <f t="shared" si="5"/>
        <v>1</v>
      </c>
    </row>
    <row r="35" spans="1:30" ht="15">
      <c r="A35" s="437" t="s">
        <v>2153</v>
      </c>
      <c r="B35" s="438"/>
      <c r="C35" s="1268" t="s">
        <v>1</v>
      </c>
      <c r="D35" s="1269"/>
      <c r="E35" s="1270"/>
      <c r="F35" s="1271"/>
      <c r="G35" s="1272"/>
      <c r="H35" s="1273"/>
      <c r="I35" s="1270"/>
      <c r="J35" s="1273"/>
      <c r="K35" s="722"/>
      <c r="L35" s="2902"/>
      <c r="M35" s="2903"/>
      <c r="N35" s="2894"/>
      <c r="O35" s="2903"/>
      <c r="P35" s="3504" t="str">
        <f>A35</f>
        <v>成交单价（元/平方米）</v>
      </c>
      <c r="Q35" s="3504"/>
      <c r="R35" s="3505">
        <f>E35</f>
        <v>0</v>
      </c>
      <c r="S35" s="3505"/>
      <c r="T35" s="3505">
        <f>G35</f>
        <v>0</v>
      </c>
      <c r="U35" s="3505"/>
      <c r="V35" s="3505">
        <f>I35</f>
        <v>0</v>
      </c>
      <c r="W35" s="3505"/>
      <c r="X35" s="698"/>
      <c r="Y35" s="720"/>
      <c r="Z35" s="698"/>
      <c r="AA35" s="698"/>
      <c r="AB35" s="698"/>
      <c r="AC35" s="698"/>
    </row>
    <row r="36" spans="1:30" ht="15.75" thickBot="1">
      <c r="A36" s="444" t="s">
        <v>2245</v>
      </c>
      <c r="B36" s="445"/>
      <c r="C36" s="1274" t="e">
        <f>R37</f>
        <v>#DIV/0!</v>
      </c>
      <c r="D36" s="2488" t="s">
        <v>2635</v>
      </c>
      <c r="E36" s="1275" t="e">
        <f>R36</f>
        <v>#DIV/0!</v>
      </c>
      <c r="F36" s="2489"/>
      <c r="G36" s="1274" t="e">
        <f>T36</f>
        <v>#DIV/0!</v>
      </c>
      <c r="H36" s="2489"/>
      <c r="I36" s="1275" t="e">
        <f>V36</f>
        <v>#DIV/0!</v>
      </c>
      <c r="J36" s="2489"/>
      <c r="K36" s="2491">
        <f>F36+H36+J36</f>
        <v>0</v>
      </c>
      <c r="L36" s="2902"/>
      <c r="M36" s="2903"/>
      <c r="N36" s="2894"/>
      <c r="O36" s="2903"/>
      <c r="P36" s="3504" t="str">
        <f>A36</f>
        <v>比较价值（元/平方米）</v>
      </c>
      <c r="Q36" s="3504"/>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698"/>
      <c r="Y36" s="698"/>
      <c r="Z36" s="698"/>
      <c r="AA36" s="698"/>
      <c r="AB36" s="698"/>
      <c r="AC36" s="698"/>
    </row>
    <row r="37" spans="1:30" ht="15.75" thickBot="1">
      <c r="A37" s="448" t="s">
        <v>2246</v>
      </c>
      <c r="B37" s="449"/>
      <c r="C37" s="1277" t="e">
        <f>R37</f>
        <v>#DIV/0!</v>
      </c>
      <c r="D37" s="1277"/>
      <c r="E37" s="1277"/>
      <c r="F37" s="1277"/>
      <c r="G37" s="1277"/>
      <c r="H37" s="1277"/>
      <c r="I37" s="1277"/>
      <c r="J37" s="1277"/>
      <c r="K37" s="723"/>
      <c r="L37" s="2902"/>
      <c r="M37" s="2903"/>
      <c r="N37" s="2903"/>
      <c r="O37" s="2903"/>
      <c r="P37" s="3501" t="str">
        <f>A37</f>
        <v>估价对象XX用房的比较价值（楼面单价，元/平方米）</v>
      </c>
      <c r="Q37" s="3502"/>
      <c r="R37" s="3531" t="e">
        <f>IF(F1="售价",ROUND(IF(D36="简单平均",AVERAGE(R36:W36),R36*F36+T36*H36+V36*J36),0),ROUND(IF(D36="简单平均",AVERAGE(R36:V36),R36*F36+T36*H36+V36*J36),1))</f>
        <v>#DIV/0!</v>
      </c>
      <c r="S37" s="3531"/>
      <c r="T37" s="3531"/>
      <c r="U37" s="3531"/>
      <c r="V37" s="3531"/>
      <c r="W37" s="3531"/>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2247</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2248</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2249</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2250</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2124</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2161</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2126</v>
      </c>
      <c r="B49" s="466"/>
      <c r="C49" s="478" t="s">
        <v>2228</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2164</v>
      </c>
      <c r="B51" s="484" t="s">
        <v>2130</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2133</v>
      </c>
      <c r="C53" s="495" t="s">
        <v>2165</v>
      </c>
      <c r="D53" s="495" t="s">
        <v>2166</v>
      </c>
      <c r="E53" s="495" t="s">
        <v>2167</v>
      </c>
      <c r="F53" s="495" t="s">
        <v>2168</v>
      </c>
      <c r="G53" s="495" t="s">
        <v>2169</v>
      </c>
      <c r="H53" s="495" t="s">
        <v>2170</v>
      </c>
      <c r="I53" s="495" t="s">
        <v>2171</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2135</v>
      </c>
      <c r="B61" s="484" t="s">
        <v>2178</v>
      </c>
      <c r="C61" s="529" t="s">
        <v>2173</v>
      </c>
      <c r="D61" s="529" t="s">
        <v>2174</v>
      </c>
      <c r="E61" s="529" t="s">
        <v>2175</v>
      </c>
      <c r="F61" s="529" t="s">
        <v>2176</v>
      </c>
      <c r="G61" s="529" t="s">
        <v>2177</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2316</v>
      </c>
      <c r="C63" s="534" t="s">
        <v>2173</v>
      </c>
      <c r="D63" s="534" t="s">
        <v>2174</v>
      </c>
      <c r="E63" s="534" t="s">
        <v>2175</v>
      </c>
      <c r="F63" s="534" t="s">
        <v>2176</v>
      </c>
      <c r="G63" s="534" t="s">
        <v>2177</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2265</v>
      </c>
      <c r="C65" s="615" t="s">
        <v>2251</v>
      </c>
      <c r="D65" s="615" t="s">
        <v>2252</v>
      </c>
      <c r="E65" s="615" t="s">
        <v>2253</v>
      </c>
      <c r="F65" s="615" t="s">
        <v>2254</v>
      </c>
      <c r="G65" s="615" t="s">
        <v>2255</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2185</v>
      </c>
      <c r="C67" s="534" t="s">
        <v>2173</v>
      </c>
      <c r="D67" s="534" t="s">
        <v>2174</v>
      </c>
      <c r="E67" s="534" t="s">
        <v>2175</v>
      </c>
      <c r="F67" s="534" t="s">
        <v>2176</v>
      </c>
      <c r="G67" s="534" t="s">
        <v>2177</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2305</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2139</v>
      </c>
      <c r="B77" s="484" t="s">
        <v>2192</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2308</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2309</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2317</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2318</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2319</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2320</v>
      </c>
      <c r="B1" s="354"/>
      <c r="C1" s="355" t="s">
        <v>2321</v>
      </c>
      <c r="D1" s="694"/>
      <c r="E1" s="694"/>
      <c r="F1" s="693" t="s">
        <v>2219</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1906</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1908</v>
      </c>
      <c r="B3" s="565" t="e">
        <f>ROUND(IF(D3="",B2*10000/'数据-汇总表'!E3,B2*10000/D3),0)</f>
        <v>#DIV/0!</v>
      </c>
      <c r="C3" s="208" t="s">
        <v>2322</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2221</v>
      </c>
      <c r="B4" s="361"/>
      <c r="C4" s="3487" t="s">
        <v>2222</v>
      </c>
      <c r="D4" s="3488"/>
      <c r="E4" s="3489" t="s">
        <v>2223</v>
      </c>
      <c r="F4" s="3490"/>
      <c r="G4" s="3487" t="s">
        <v>2224</v>
      </c>
      <c r="H4" s="3488"/>
      <c r="I4" s="3487" t="s">
        <v>2225</v>
      </c>
      <c r="J4" s="3488"/>
      <c r="K4" s="566" t="s">
        <v>2226</v>
      </c>
      <c r="L4" s="2893"/>
      <c r="M4" s="2894"/>
      <c r="N4" s="2894"/>
      <c r="O4" s="2894"/>
      <c r="P4" s="3491" t="s">
        <v>2227</v>
      </c>
      <c r="Q4" s="3492"/>
      <c r="R4" s="3474" t="s">
        <v>2223</v>
      </c>
      <c r="S4" s="3475"/>
      <c r="T4" s="3474" t="s">
        <v>2224</v>
      </c>
      <c r="U4" s="3475"/>
      <c r="V4" s="3499" t="s">
        <v>2225</v>
      </c>
      <c r="W4" s="3499"/>
      <c r="X4" s="1489"/>
      <c r="Y4" s="3474" t="s">
        <v>2227</v>
      </c>
      <c r="Z4" s="3475"/>
      <c r="AA4" s="3469" t="s">
        <v>2223</v>
      </c>
      <c r="AB4" s="3470" t="s">
        <v>2224</v>
      </c>
      <c r="AC4" s="3469" t="s">
        <v>2225</v>
      </c>
    </row>
    <row r="5" spans="1:30" ht="15">
      <c r="A5" s="363"/>
      <c r="B5" s="364"/>
      <c r="C5" s="3480" t="s">
        <v>2118</v>
      </c>
      <c r="D5" s="3481"/>
      <c r="E5" s="3478" t="s">
        <v>2119</v>
      </c>
      <c r="F5" s="3479"/>
      <c r="G5" s="3480" t="s">
        <v>2120</v>
      </c>
      <c r="H5" s="3481"/>
      <c r="I5" s="3480" t="s">
        <v>2121</v>
      </c>
      <c r="J5" s="3481"/>
      <c r="K5" s="566"/>
      <c r="L5" s="2893"/>
      <c r="M5" s="2894"/>
      <c r="N5" s="2894"/>
      <c r="O5" s="2894"/>
      <c r="P5" s="3493"/>
      <c r="Q5" s="3494"/>
      <c r="R5" s="3476"/>
      <c r="S5" s="3477"/>
      <c r="T5" s="3476"/>
      <c r="U5" s="3477"/>
      <c r="V5" s="3499"/>
      <c r="W5" s="3499"/>
      <c r="X5" s="1489"/>
      <c r="Y5" s="3476"/>
      <c r="Z5" s="3477"/>
      <c r="AA5" s="3470"/>
      <c r="AB5" s="3470"/>
      <c r="AC5" s="3470"/>
    </row>
    <row r="6" spans="1:30" ht="15.75" thickBot="1">
      <c r="A6" s="365"/>
      <c r="B6" s="366"/>
      <c r="C6" s="3482" t="s">
        <v>2122</v>
      </c>
      <c r="D6" s="3483"/>
      <c r="E6" s="3484" t="s">
        <v>2122</v>
      </c>
      <c r="F6" s="3485"/>
      <c r="G6" s="3482" t="s">
        <v>2122</v>
      </c>
      <c r="H6" s="3483"/>
      <c r="I6" s="3482" t="s">
        <v>2122</v>
      </c>
      <c r="J6" s="3483"/>
      <c r="K6" s="566" t="s">
        <v>2123</v>
      </c>
      <c r="L6" s="2893"/>
      <c r="M6" s="2894"/>
      <c r="N6" s="2894"/>
      <c r="O6" s="2894"/>
      <c r="P6" s="3495"/>
      <c r="Q6" s="3496"/>
      <c r="R6" s="3476"/>
      <c r="S6" s="3477"/>
      <c r="T6" s="3497"/>
      <c r="U6" s="3498"/>
      <c r="V6" s="3499"/>
      <c r="W6" s="3499"/>
      <c r="X6" s="1489"/>
      <c r="Y6" s="3497"/>
      <c r="Z6" s="3498"/>
      <c r="AA6" s="3471"/>
      <c r="AB6" s="3471"/>
      <c r="AC6" s="3471"/>
    </row>
    <row r="7" spans="1:30" s="112" customFormat="1" ht="15.75" thickBot="1">
      <c r="A7" s="367" t="s">
        <v>2124</v>
      </c>
      <c r="B7" s="368"/>
      <c r="C7" s="369">
        <f>'数据-取费表'!B2</f>
        <v>44692</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472" t="s">
        <v>2125</v>
      </c>
      <c r="Q7" s="3500"/>
      <c r="R7" s="709" t="s">
        <v>17</v>
      </c>
      <c r="S7" s="710">
        <f t="shared" ref="S7:S15" si="0">F7</f>
        <v>0</v>
      </c>
      <c r="T7" s="709" t="s">
        <v>17</v>
      </c>
      <c r="U7" s="710">
        <f t="shared" ref="U7:U15" si="1">H7</f>
        <v>0</v>
      </c>
      <c r="V7" s="709" t="s">
        <v>17</v>
      </c>
      <c r="W7" s="710">
        <f t="shared" ref="W7:W15" si="2">J7</f>
        <v>0</v>
      </c>
      <c r="X7" s="711"/>
      <c r="Y7" s="3472" t="s">
        <v>2125</v>
      </c>
      <c r="Z7" s="3473"/>
      <c r="AA7" s="712" t="e">
        <f>D7/F7</f>
        <v>#DIV/0!</v>
      </c>
      <c r="AB7" s="712" t="e">
        <f>D7/H7</f>
        <v>#DIV/0!</v>
      </c>
      <c r="AC7" s="712" t="e">
        <f>D7/J7</f>
        <v>#DIV/0!</v>
      </c>
    </row>
    <row r="8" spans="1:30" s="112" customFormat="1" ht="15.75" thickBot="1">
      <c r="A8" s="367" t="s">
        <v>2126</v>
      </c>
      <c r="B8" s="368"/>
      <c r="C8" s="373" t="s">
        <v>2127</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472" t="s">
        <v>2128</v>
      </c>
      <c r="Q8" s="3473"/>
      <c r="R8" s="709" t="s">
        <v>17</v>
      </c>
      <c r="S8" s="710">
        <f t="shared" si="0"/>
        <v>0</v>
      </c>
      <c r="T8" s="709" t="s">
        <v>17</v>
      </c>
      <c r="U8" s="710">
        <f t="shared" si="1"/>
        <v>0</v>
      </c>
      <c r="V8" s="709" t="s">
        <v>17</v>
      </c>
      <c r="W8" s="710">
        <f t="shared" si="2"/>
        <v>0</v>
      </c>
      <c r="X8" s="711"/>
      <c r="Y8" s="3472" t="s">
        <v>2128</v>
      </c>
      <c r="Z8" s="3473"/>
      <c r="AA8" s="712" t="e">
        <f t="shared" ref="AA8:AA45" si="3">D8/F8</f>
        <v>#DIV/0!</v>
      </c>
      <c r="AB8" s="712" t="e">
        <f t="shared" ref="AB8:AB45" si="4">D8/H8</f>
        <v>#DIV/0!</v>
      </c>
      <c r="AC8" s="712" t="e">
        <f t="shared" ref="AC8:AC45" si="5">D8/J8</f>
        <v>#DIV/0!</v>
      </c>
    </row>
    <row r="9" spans="1:30" s="112" customFormat="1">
      <c r="A9" s="374" t="s">
        <v>2129</v>
      </c>
      <c r="B9" s="67" t="s">
        <v>2130</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504" t="s">
        <v>2131</v>
      </c>
      <c r="Q9" s="1477" t="str">
        <f t="shared" ref="Q9:Q15" si="6">B9</f>
        <v>用途</v>
      </c>
      <c r="R9" s="709" t="s">
        <v>17</v>
      </c>
      <c r="S9" s="710">
        <f t="shared" si="0"/>
        <v>100</v>
      </c>
      <c r="T9" s="709" t="s">
        <v>17</v>
      </c>
      <c r="U9" s="710">
        <f t="shared" si="1"/>
        <v>100</v>
      </c>
      <c r="V9" s="709" t="s">
        <v>17</v>
      </c>
      <c r="W9" s="710">
        <f t="shared" si="2"/>
        <v>100</v>
      </c>
      <c r="X9" s="711"/>
      <c r="Y9" s="3416" t="s">
        <v>2132</v>
      </c>
      <c r="Z9" s="55" t="str">
        <f t="shared" ref="Z9:Z15" si="7">Q9</f>
        <v>用途</v>
      </c>
      <c r="AA9" s="712">
        <f t="shared" si="3"/>
        <v>1</v>
      </c>
      <c r="AB9" s="712">
        <f t="shared" si="4"/>
        <v>1</v>
      </c>
      <c r="AC9" s="712">
        <f t="shared" si="5"/>
        <v>1</v>
      </c>
    </row>
    <row r="10" spans="1:30" s="385" customFormat="1" ht="27">
      <c r="A10" s="379"/>
      <c r="B10" s="380" t="s">
        <v>2133</v>
      </c>
      <c r="C10" s="390"/>
      <c r="D10" s="131">
        <v>100</v>
      </c>
      <c r="E10" s="423"/>
      <c r="F10" s="131">
        <f>ROUND(100/'数据-取费表'!G16,0)</f>
        <v>110</v>
      </c>
      <c r="G10" s="421"/>
      <c r="H10" s="131">
        <f>ROUND(100/'数据-取费表'!G16,0)</f>
        <v>110</v>
      </c>
      <c r="I10" s="421"/>
      <c r="J10" s="131">
        <f>ROUND(100/'数据-取费表'!G16,0)</f>
        <v>110</v>
      </c>
      <c r="K10" s="627"/>
      <c r="L10" s="2897"/>
      <c r="M10" s="2898"/>
      <c r="N10" s="2898"/>
      <c r="O10" s="2951"/>
      <c r="P10" s="3504"/>
      <c r="Q10" s="1477" t="str">
        <f t="shared" si="6"/>
        <v>土地使用年限（年）</v>
      </c>
      <c r="R10" s="709" t="s">
        <v>17</v>
      </c>
      <c r="S10" s="710">
        <f t="shared" si="0"/>
        <v>110</v>
      </c>
      <c r="T10" s="709" t="s">
        <v>17</v>
      </c>
      <c r="U10" s="710">
        <f t="shared" si="1"/>
        <v>110</v>
      </c>
      <c r="V10" s="709" t="s">
        <v>17</v>
      </c>
      <c r="W10" s="710">
        <f t="shared" si="2"/>
        <v>110</v>
      </c>
      <c r="X10" s="711"/>
      <c r="Y10" s="3416"/>
      <c r="Z10" s="55" t="str">
        <f t="shared" si="7"/>
        <v>土地使用年限（年）</v>
      </c>
      <c r="AA10" s="712">
        <f t="shared" si="3"/>
        <v>0.90909090909090906</v>
      </c>
      <c r="AB10" s="712">
        <f t="shared" si="4"/>
        <v>0.90909090909090906</v>
      </c>
      <c r="AC10" s="712">
        <f t="shared" si="5"/>
        <v>0.90909090909090906</v>
      </c>
    </row>
    <row r="11" spans="1:30" ht="15">
      <c r="A11" s="386"/>
      <c r="B11" s="380" t="s">
        <v>2134</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504"/>
      <c r="Q11" s="1477" t="str">
        <f t="shared" si="6"/>
        <v>容积率</v>
      </c>
      <c r="R11" s="709" t="s">
        <v>17</v>
      </c>
      <c r="S11" s="710" t="e">
        <f t="shared" si="0"/>
        <v>#N/A</v>
      </c>
      <c r="T11" s="709" t="s">
        <v>17</v>
      </c>
      <c r="U11" s="710" t="e">
        <f t="shared" si="1"/>
        <v>#N/A</v>
      </c>
      <c r="V11" s="709" t="s">
        <v>17</v>
      </c>
      <c r="W11" s="710" t="e">
        <f t="shared" si="2"/>
        <v>#N/A</v>
      </c>
      <c r="X11" s="711"/>
      <c r="Y11" s="3416"/>
      <c r="Z11" s="55" t="str">
        <f t="shared" si="7"/>
        <v>容积率</v>
      </c>
      <c r="AA11" s="712" t="e">
        <f t="shared" si="3"/>
        <v>#N/A</v>
      </c>
      <c r="AB11" s="712" t="e">
        <f t="shared" si="4"/>
        <v>#N/A</v>
      </c>
      <c r="AC11" s="712" t="e">
        <f t="shared" si="5"/>
        <v>#N/A</v>
      </c>
    </row>
    <row r="12" spans="1:30" s="112" customFormat="1" ht="15">
      <c r="A12" s="389"/>
      <c r="B12" s="2029" t="s">
        <v>2323</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504"/>
      <c r="Q12" s="1477" t="str">
        <f t="shared" si="6"/>
        <v>配建</v>
      </c>
      <c r="R12" s="709" t="s">
        <v>17</v>
      </c>
      <c r="S12" s="710">
        <f t="shared" si="0"/>
        <v>100</v>
      </c>
      <c r="T12" s="709" t="s">
        <v>17</v>
      </c>
      <c r="U12" s="710">
        <f t="shared" si="1"/>
        <v>100</v>
      </c>
      <c r="V12" s="709" t="s">
        <v>17</v>
      </c>
      <c r="W12" s="710">
        <f t="shared" si="2"/>
        <v>100</v>
      </c>
      <c r="X12" s="711"/>
      <c r="Y12" s="3416"/>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504"/>
      <c r="Q13" s="1477">
        <f t="shared" si="6"/>
        <v>111</v>
      </c>
      <c r="R13" s="709" t="s">
        <v>17</v>
      </c>
      <c r="S13" s="710">
        <f t="shared" si="0"/>
        <v>100</v>
      </c>
      <c r="T13" s="709" t="s">
        <v>17</v>
      </c>
      <c r="U13" s="710">
        <f t="shared" si="1"/>
        <v>100</v>
      </c>
      <c r="V13" s="709" t="s">
        <v>17</v>
      </c>
      <c r="W13" s="710">
        <f t="shared" si="2"/>
        <v>100</v>
      </c>
      <c r="X13" s="711"/>
      <c r="Y13" s="3416"/>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504"/>
      <c r="Q14" s="1477">
        <f t="shared" si="6"/>
        <v>111</v>
      </c>
      <c r="R14" s="709" t="s">
        <v>17</v>
      </c>
      <c r="S14" s="710">
        <f t="shared" si="0"/>
        <v>100</v>
      </c>
      <c r="T14" s="709" t="s">
        <v>17</v>
      </c>
      <c r="U14" s="710">
        <f t="shared" si="1"/>
        <v>100</v>
      </c>
      <c r="V14" s="709" t="s">
        <v>17</v>
      </c>
      <c r="W14" s="710">
        <f t="shared" si="2"/>
        <v>100</v>
      </c>
      <c r="X14" s="711"/>
      <c r="Y14" s="3416"/>
      <c r="Z14" s="55">
        <f t="shared" si="7"/>
        <v>111</v>
      </c>
      <c r="AA14" s="712">
        <f>D14/F14</f>
        <v>1</v>
      </c>
      <c r="AB14" s="712">
        <f>D14/H14</f>
        <v>1</v>
      </c>
      <c r="AC14" s="712">
        <f>D14/J14</f>
        <v>1</v>
      </c>
    </row>
    <row r="15" spans="1:30" ht="99.75">
      <c r="A15" s="398" t="s">
        <v>2135</v>
      </c>
      <c r="B15" s="65" t="s">
        <v>1701</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506" t="s">
        <v>2136</v>
      </c>
      <c r="Q15" s="1486" t="str">
        <f t="shared" si="6"/>
        <v>居住社区成熟度</v>
      </c>
      <c r="R15" s="713" t="s">
        <v>17</v>
      </c>
      <c r="S15" s="714">
        <f t="shared" si="0"/>
        <v>100</v>
      </c>
      <c r="T15" s="713" t="s">
        <v>17</v>
      </c>
      <c r="U15" s="714">
        <f t="shared" si="1"/>
        <v>100</v>
      </c>
      <c r="V15" s="713" t="s">
        <v>17</v>
      </c>
      <c r="W15" s="714">
        <f t="shared" si="2"/>
        <v>100</v>
      </c>
      <c r="X15" s="1489"/>
      <c r="Y15" s="3506" t="s">
        <v>2136</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507"/>
      <c r="Q16" s="1486"/>
      <c r="R16" s="713"/>
      <c r="S16" s="714"/>
      <c r="T16" s="713"/>
      <c r="U16" s="714"/>
      <c r="V16" s="713"/>
      <c r="W16" s="714"/>
      <c r="X16" s="1489"/>
      <c r="Y16" s="3507"/>
      <c r="Z16" s="1490"/>
      <c r="AA16" s="1487">
        <v>1</v>
      </c>
      <c r="AB16" s="1487">
        <v>1</v>
      </c>
      <c r="AC16" s="1487">
        <v>1</v>
      </c>
    </row>
    <row r="17" spans="1:29" ht="71.25">
      <c r="A17" s="386"/>
      <c r="B17" s="409" t="s">
        <v>2229</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507"/>
      <c r="Q17" s="1486" t="str">
        <f>B17</f>
        <v>商业繁华度</v>
      </c>
      <c r="R17" s="713" t="s">
        <v>17</v>
      </c>
      <c r="S17" s="714">
        <f>F17</f>
        <v>100</v>
      </c>
      <c r="T17" s="713" t="s">
        <v>17</v>
      </c>
      <c r="U17" s="714">
        <f>H17</f>
        <v>100</v>
      </c>
      <c r="V17" s="713" t="s">
        <v>17</v>
      </c>
      <c r="W17" s="714">
        <f>J17</f>
        <v>100</v>
      </c>
      <c r="X17" s="1489"/>
      <c r="Y17" s="3507"/>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507"/>
      <c r="Q18" s="1486"/>
      <c r="R18" s="713"/>
      <c r="S18" s="714"/>
      <c r="T18" s="713"/>
      <c r="U18" s="714"/>
      <c r="V18" s="713"/>
      <c r="W18" s="714"/>
      <c r="X18" s="1489"/>
      <c r="Y18" s="3507"/>
      <c r="Z18" s="1490"/>
      <c r="AA18" s="1487">
        <v>1</v>
      </c>
      <c r="AB18" s="1487">
        <v>1</v>
      </c>
      <c r="AC18" s="1487">
        <v>1</v>
      </c>
    </row>
    <row r="19" spans="1:29" ht="71.25">
      <c r="A19" s="386"/>
      <c r="B19" s="409" t="s">
        <v>2263</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507"/>
      <c r="Q19" s="1486" t="str">
        <f>B19</f>
        <v>办公集聚程度</v>
      </c>
      <c r="R19" s="713" t="s">
        <v>17</v>
      </c>
      <c r="S19" s="714">
        <f>F19</f>
        <v>100</v>
      </c>
      <c r="T19" s="713" t="s">
        <v>17</v>
      </c>
      <c r="U19" s="714">
        <f>H19</f>
        <v>100</v>
      </c>
      <c r="V19" s="713" t="s">
        <v>17</v>
      </c>
      <c r="W19" s="714">
        <f>J19</f>
        <v>100</v>
      </c>
      <c r="X19" s="1489"/>
      <c r="Y19" s="3507"/>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507"/>
      <c r="Q20" s="1486"/>
      <c r="R20" s="713"/>
      <c r="S20" s="714"/>
      <c r="T20" s="713"/>
      <c r="U20" s="714"/>
      <c r="V20" s="713"/>
      <c r="W20" s="714"/>
      <c r="X20" s="1489"/>
      <c r="Y20" s="3507"/>
      <c r="Z20" s="1490"/>
      <c r="AA20" s="1487">
        <v>1</v>
      </c>
      <c r="AB20" s="1487">
        <v>1</v>
      </c>
      <c r="AC20" s="1487">
        <v>1</v>
      </c>
    </row>
    <row r="21" spans="1:29" ht="85.5">
      <c r="A21" s="386"/>
      <c r="B21" s="409" t="s">
        <v>2285</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507"/>
      <c r="Q21" s="1486" t="str">
        <f>B21</f>
        <v>交通便捷度</v>
      </c>
      <c r="R21" s="713" t="s">
        <v>17</v>
      </c>
      <c r="S21" s="714">
        <f>F21</f>
        <v>100</v>
      </c>
      <c r="T21" s="713" t="s">
        <v>17</v>
      </c>
      <c r="U21" s="714">
        <f>H21</f>
        <v>100</v>
      </c>
      <c r="V21" s="713" t="s">
        <v>17</v>
      </c>
      <c r="W21" s="714">
        <f>J21</f>
        <v>100</v>
      </c>
      <c r="X21" s="1489"/>
      <c r="Y21" s="3507"/>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507"/>
      <c r="Q22" s="1486"/>
      <c r="R22" s="713"/>
      <c r="S22" s="714"/>
      <c r="T22" s="713"/>
      <c r="U22" s="714"/>
      <c r="V22" s="713"/>
      <c r="W22" s="714"/>
      <c r="X22" s="1489"/>
      <c r="Y22" s="3507"/>
      <c r="Z22" s="1490"/>
      <c r="AA22" s="1487">
        <v>1</v>
      </c>
      <c r="AB22" s="1487">
        <v>1</v>
      </c>
      <c r="AC22" s="1487">
        <v>1</v>
      </c>
    </row>
    <row r="23" spans="1:29" ht="15">
      <c r="A23" s="363"/>
      <c r="B23" s="409" t="s">
        <v>2324</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507"/>
      <c r="Q23" s="1486" t="str">
        <f t="shared" ref="Q23:Q37" si="8">B23</f>
        <v>区域土地利用方向</v>
      </c>
      <c r="R23" s="713" t="s">
        <v>17</v>
      </c>
      <c r="S23" s="714">
        <f>F23</f>
        <v>100</v>
      </c>
      <c r="T23" s="713" t="s">
        <v>17</v>
      </c>
      <c r="U23" s="714">
        <f>H23</f>
        <v>100</v>
      </c>
      <c r="V23" s="713" t="s">
        <v>17</v>
      </c>
      <c r="W23" s="714">
        <f>J23</f>
        <v>100</v>
      </c>
      <c r="X23" s="1489"/>
      <c r="Y23" s="3507"/>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507"/>
      <c r="Q24" s="1486"/>
      <c r="R24" s="713"/>
      <c r="S24" s="714"/>
      <c r="T24" s="713"/>
      <c r="U24" s="714"/>
      <c r="V24" s="713"/>
      <c r="W24" s="714"/>
      <c r="X24" s="1489"/>
      <c r="Y24" s="3507"/>
      <c r="Z24" s="1490"/>
      <c r="AA24" s="1487"/>
      <c r="AB24" s="1487"/>
      <c r="AC24" s="1487"/>
    </row>
    <row r="25" spans="1:29" ht="57">
      <c r="A25" s="363"/>
      <c r="B25" s="1245" t="s">
        <v>2325</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507"/>
      <c r="Q25" s="1486" t="str">
        <f t="shared" si="8"/>
        <v>自然及人文环境状况</v>
      </c>
      <c r="R25" s="713" t="s">
        <v>17</v>
      </c>
      <c r="S25" s="714">
        <f>F25</f>
        <v>100</v>
      </c>
      <c r="T25" s="713" t="s">
        <v>17</v>
      </c>
      <c r="U25" s="714">
        <f>H25</f>
        <v>100</v>
      </c>
      <c r="V25" s="713" t="s">
        <v>17</v>
      </c>
      <c r="W25" s="714">
        <f>J25</f>
        <v>100</v>
      </c>
      <c r="X25" s="1489"/>
      <c r="Y25" s="3507"/>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507"/>
      <c r="Q26" s="1486"/>
      <c r="R26" s="713"/>
      <c r="S26" s="714"/>
      <c r="T26" s="713"/>
      <c r="U26" s="714"/>
      <c r="V26" s="713"/>
      <c r="W26" s="714"/>
      <c r="X26" s="1489"/>
      <c r="Y26" s="3507"/>
      <c r="Z26" s="1490"/>
      <c r="AA26" s="1487">
        <v>1</v>
      </c>
      <c r="AB26" s="1487">
        <v>1</v>
      </c>
      <c r="AC26" s="1487">
        <v>1</v>
      </c>
    </row>
    <row r="27" spans="1:29" s="112" customFormat="1" ht="42.75">
      <c r="A27" s="604"/>
      <c r="B27" s="1245" t="s">
        <v>2230</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507"/>
      <c r="Q27" s="1477" t="str">
        <f t="shared" si="8"/>
        <v>公共配套设施</v>
      </c>
      <c r="R27" s="709" t="s">
        <v>17</v>
      </c>
      <c r="S27" s="710">
        <f>F27</f>
        <v>100</v>
      </c>
      <c r="T27" s="709" t="s">
        <v>17</v>
      </c>
      <c r="U27" s="710">
        <f>H27</f>
        <v>100</v>
      </c>
      <c r="V27" s="709" t="s">
        <v>17</v>
      </c>
      <c r="W27" s="710">
        <f>J27</f>
        <v>100</v>
      </c>
      <c r="X27" s="711"/>
      <c r="Y27" s="3507"/>
      <c r="Z27" s="55"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507"/>
      <c r="Q28" s="1477"/>
      <c r="R28" s="709"/>
      <c r="S28" s="710"/>
      <c r="T28" s="709"/>
      <c r="U28" s="710"/>
      <c r="V28" s="709"/>
      <c r="W28" s="710"/>
      <c r="X28" s="711"/>
      <c r="Y28" s="3507"/>
      <c r="Z28" s="55"/>
      <c r="AA28" s="1487">
        <v>1</v>
      </c>
      <c r="AB28" s="1487">
        <v>1</v>
      </c>
      <c r="AC28" s="1487">
        <v>1</v>
      </c>
    </row>
    <row r="29" spans="1:29" s="112" customFormat="1" ht="28.5">
      <c r="A29" s="604"/>
      <c r="B29" s="1245" t="s">
        <v>2231</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507"/>
      <c r="Q29" s="1477" t="str">
        <f t="shared" ref="Q29" si="9">B29</f>
        <v>基础设施水平</v>
      </c>
      <c r="R29" s="709" t="s">
        <v>17</v>
      </c>
      <c r="S29" s="710">
        <f>F29</f>
        <v>100</v>
      </c>
      <c r="T29" s="709" t="s">
        <v>17</v>
      </c>
      <c r="U29" s="710">
        <f>H29</f>
        <v>100</v>
      </c>
      <c r="V29" s="709" t="s">
        <v>17</v>
      </c>
      <c r="W29" s="710">
        <f>J29</f>
        <v>100</v>
      </c>
      <c r="X29" s="711"/>
      <c r="Y29" s="3507"/>
      <c r="Z29" s="55"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507"/>
      <c r="Q30" s="1477"/>
      <c r="R30" s="709"/>
      <c r="S30" s="710"/>
      <c r="T30" s="709"/>
      <c r="U30" s="710"/>
      <c r="V30" s="709"/>
      <c r="W30" s="710"/>
      <c r="X30" s="711"/>
      <c r="Y30" s="3507"/>
      <c r="Z30" s="55"/>
      <c r="AA30" s="1487">
        <v>1</v>
      </c>
      <c r="AB30" s="1487">
        <v>1</v>
      </c>
      <c r="AC30" s="1487">
        <v>1</v>
      </c>
    </row>
    <row r="31" spans="1:29" ht="15">
      <c r="A31" s="386"/>
      <c r="B31" s="414" t="s">
        <v>2232</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507"/>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07"/>
      <c r="Z31" s="1490" t="str">
        <f t="shared" ref="Z31:Z45" si="13">Q31</f>
        <v>临街状况</v>
      </c>
      <c r="AA31" s="1487">
        <f t="shared" si="3"/>
        <v>1</v>
      </c>
      <c r="AB31" s="1487">
        <f t="shared" si="4"/>
        <v>1</v>
      </c>
      <c r="AC31" s="1487">
        <f t="shared" si="5"/>
        <v>1</v>
      </c>
    </row>
    <row r="32" spans="1:29" ht="27">
      <c r="A32" s="386"/>
      <c r="B32" s="1245" t="s">
        <v>2267</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507"/>
      <c r="Q32" s="1486" t="str">
        <f t="shared" si="8"/>
        <v>毗邻道路的类型与等级</v>
      </c>
      <c r="R32" s="713" t="s">
        <v>17</v>
      </c>
      <c r="S32" s="714">
        <f t="shared" si="10"/>
        <v>100</v>
      </c>
      <c r="T32" s="713" t="s">
        <v>17</v>
      </c>
      <c r="U32" s="714">
        <f t="shared" si="11"/>
        <v>100</v>
      </c>
      <c r="V32" s="713" t="s">
        <v>17</v>
      </c>
      <c r="W32" s="714">
        <f t="shared" si="12"/>
        <v>100</v>
      </c>
      <c r="X32" s="1489"/>
      <c r="Y32" s="3507"/>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507"/>
      <c r="Q33" s="1486"/>
      <c r="R33" s="713"/>
      <c r="S33" s="714"/>
      <c r="T33" s="713"/>
      <c r="U33" s="714"/>
      <c r="V33" s="713"/>
      <c r="W33" s="714"/>
      <c r="X33" s="1489"/>
      <c r="Y33" s="3507"/>
      <c r="Z33" s="1490"/>
      <c r="AA33" s="1487">
        <v>1</v>
      </c>
      <c r="AB33" s="1487">
        <v>1</v>
      </c>
      <c r="AC33" s="1487">
        <v>1</v>
      </c>
    </row>
    <row r="34" spans="1:29" ht="15">
      <c r="A34" s="386"/>
      <c r="B34" s="380" t="s">
        <v>2326</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507"/>
      <c r="Q34" s="1486" t="str">
        <f t="shared" si="8"/>
        <v>土地级别</v>
      </c>
      <c r="R34" s="713" t="s">
        <v>17</v>
      </c>
      <c r="S34" s="714">
        <f t="shared" si="10"/>
        <v>100</v>
      </c>
      <c r="T34" s="713" t="s">
        <v>17</v>
      </c>
      <c r="U34" s="714">
        <f t="shared" si="11"/>
        <v>100</v>
      </c>
      <c r="V34" s="713" t="s">
        <v>17</v>
      </c>
      <c r="W34" s="714">
        <f t="shared" si="12"/>
        <v>100</v>
      </c>
      <c r="X34" s="1489"/>
      <c r="Y34" s="3507"/>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507"/>
      <c r="Q35" s="1486">
        <f t="shared" si="8"/>
        <v>111</v>
      </c>
      <c r="R35" s="713" t="s">
        <v>17</v>
      </c>
      <c r="S35" s="714">
        <f t="shared" si="10"/>
        <v>100</v>
      </c>
      <c r="T35" s="713" t="s">
        <v>17</v>
      </c>
      <c r="U35" s="714">
        <f t="shared" si="11"/>
        <v>100</v>
      </c>
      <c r="V35" s="713" t="s">
        <v>17</v>
      </c>
      <c r="W35" s="714">
        <f t="shared" si="12"/>
        <v>100</v>
      </c>
      <c r="X35" s="1489"/>
      <c r="Y35" s="3507"/>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30" t="s">
        <v>2141</v>
      </c>
      <c r="Q36" s="1486">
        <f t="shared" si="8"/>
        <v>111</v>
      </c>
      <c r="R36" s="713" t="s">
        <v>17</v>
      </c>
      <c r="S36" s="714">
        <f t="shared" si="10"/>
        <v>100</v>
      </c>
      <c r="T36" s="713" t="s">
        <v>17</v>
      </c>
      <c r="U36" s="714">
        <f t="shared" si="11"/>
        <v>100</v>
      </c>
      <c r="V36" s="713" t="s">
        <v>17</v>
      </c>
      <c r="W36" s="714">
        <f t="shared" si="12"/>
        <v>100</v>
      </c>
      <c r="X36" s="1489"/>
      <c r="Y36" s="3511" t="s">
        <v>2141</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511"/>
      <c r="Q37" s="1486">
        <f t="shared" si="8"/>
        <v>111</v>
      </c>
      <c r="R37" s="716" t="s">
        <v>17</v>
      </c>
      <c r="S37" s="717">
        <f t="shared" si="10"/>
        <v>100</v>
      </c>
      <c r="T37" s="716" t="s">
        <v>17</v>
      </c>
      <c r="U37" s="717">
        <f t="shared" si="11"/>
        <v>100</v>
      </c>
      <c r="V37" s="716" t="s">
        <v>17</v>
      </c>
      <c r="W37" s="717">
        <f t="shared" si="12"/>
        <v>100</v>
      </c>
      <c r="X37" s="718"/>
      <c r="Y37" s="3511"/>
      <c r="Z37" s="719">
        <f t="shared" si="13"/>
        <v>111</v>
      </c>
      <c r="AA37" s="1487">
        <f t="shared" si="3"/>
        <v>1</v>
      </c>
      <c r="AB37" s="1487">
        <f t="shared" si="4"/>
        <v>1</v>
      </c>
      <c r="AC37" s="1487">
        <f t="shared" si="5"/>
        <v>1</v>
      </c>
    </row>
    <row r="38" spans="1:29" ht="15">
      <c r="A38" s="430" t="s">
        <v>2139</v>
      </c>
      <c r="B38" s="414" t="s">
        <v>2327</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511"/>
      <c r="Q38" s="1486" t="str">
        <f>B38</f>
        <v>宗地面积</v>
      </c>
      <c r="R38" s="713" t="s">
        <v>17</v>
      </c>
      <c r="S38" s="714" t="e">
        <f t="shared" si="10"/>
        <v>#N/A</v>
      </c>
      <c r="T38" s="713" t="s">
        <v>17</v>
      </c>
      <c r="U38" s="714" t="e">
        <f t="shared" si="11"/>
        <v>#N/A</v>
      </c>
      <c r="V38" s="713" t="s">
        <v>17</v>
      </c>
      <c r="W38" s="714" t="e">
        <f t="shared" si="12"/>
        <v>#N/A</v>
      </c>
      <c r="X38" s="1489"/>
      <c r="Y38" s="3511"/>
      <c r="Z38" s="1490" t="str">
        <f t="shared" si="13"/>
        <v>宗地面积</v>
      </c>
      <c r="AA38" s="1487" t="e">
        <f t="shared" si="3"/>
        <v>#N/A</v>
      </c>
      <c r="AB38" s="1487" t="e">
        <f t="shared" si="4"/>
        <v>#N/A</v>
      </c>
      <c r="AC38" s="1487" t="e">
        <f t="shared" si="5"/>
        <v>#N/A</v>
      </c>
    </row>
    <row r="39" spans="1:29" ht="15">
      <c r="A39" s="430"/>
      <c r="B39" s="380" t="s">
        <v>2328</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511"/>
      <c r="Q39" s="1486" t="str">
        <f t="shared" ref="Q39:Q45" si="14">B39</f>
        <v>宗地形状</v>
      </c>
      <c r="R39" s="713" t="s">
        <v>17</v>
      </c>
      <c r="S39" s="714">
        <f t="shared" si="10"/>
        <v>100</v>
      </c>
      <c r="T39" s="713" t="s">
        <v>17</v>
      </c>
      <c r="U39" s="714">
        <f t="shared" si="11"/>
        <v>100</v>
      </c>
      <c r="V39" s="713" t="s">
        <v>17</v>
      </c>
      <c r="W39" s="714">
        <f t="shared" si="12"/>
        <v>100</v>
      </c>
      <c r="X39" s="1489"/>
      <c r="Y39" s="3511"/>
      <c r="Z39" s="1490" t="str">
        <f t="shared" si="13"/>
        <v>宗地形状</v>
      </c>
      <c r="AA39" s="1487">
        <f t="shared" si="3"/>
        <v>1</v>
      </c>
      <c r="AB39" s="1487">
        <f t="shared" si="4"/>
        <v>1</v>
      </c>
      <c r="AC39" s="1487">
        <f t="shared" si="5"/>
        <v>1</v>
      </c>
    </row>
    <row r="40" spans="1:29" ht="15">
      <c r="A40" s="430"/>
      <c r="B40" s="380" t="s">
        <v>2329</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511"/>
      <c r="Q40" s="1486" t="str">
        <f t="shared" si="14"/>
        <v>临街宽度及深度</v>
      </c>
      <c r="R40" s="713" t="s">
        <v>17</v>
      </c>
      <c r="S40" s="714">
        <f t="shared" si="10"/>
        <v>100</v>
      </c>
      <c r="T40" s="713" t="s">
        <v>17</v>
      </c>
      <c r="U40" s="714">
        <f t="shared" si="11"/>
        <v>100</v>
      </c>
      <c r="V40" s="713" t="s">
        <v>17</v>
      </c>
      <c r="W40" s="714">
        <f t="shared" si="12"/>
        <v>100</v>
      </c>
      <c r="X40" s="1489"/>
      <c r="Y40" s="3511"/>
      <c r="Z40" s="1490" t="str">
        <f t="shared" si="13"/>
        <v>临街宽度及深度</v>
      </c>
      <c r="AA40" s="1487">
        <f t="shared" si="3"/>
        <v>1</v>
      </c>
      <c r="AB40" s="1487">
        <f t="shared" si="4"/>
        <v>1</v>
      </c>
      <c r="AC40" s="1487">
        <f t="shared" si="5"/>
        <v>1</v>
      </c>
    </row>
    <row r="41" spans="1:29" s="112" customFormat="1" ht="15">
      <c r="A41" s="431"/>
      <c r="B41" s="380" t="s">
        <v>2330</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511"/>
      <c r="Q41" s="1486" t="str">
        <f t="shared" si="14"/>
        <v>宗地开发程度</v>
      </c>
      <c r="R41" s="709" t="s">
        <v>17</v>
      </c>
      <c r="S41" s="710">
        <f t="shared" si="10"/>
        <v>100</v>
      </c>
      <c r="T41" s="709" t="s">
        <v>17</v>
      </c>
      <c r="U41" s="710">
        <f t="shared" si="11"/>
        <v>100</v>
      </c>
      <c r="V41" s="709" t="s">
        <v>17</v>
      </c>
      <c r="W41" s="710">
        <f t="shared" si="12"/>
        <v>100</v>
      </c>
      <c r="X41" s="711"/>
      <c r="Y41" s="3511"/>
      <c r="Z41" s="55" t="str">
        <f t="shared" si="13"/>
        <v>宗地开发程度</v>
      </c>
      <c r="AA41" s="712">
        <f t="shared" si="3"/>
        <v>1</v>
      </c>
      <c r="AB41" s="712">
        <f t="shared" si="4"/>
        <v>1</v>
      </c>
      <c r="AC41" s="712">
        <f t="shared" si="5"/>
        <v>1</v>
      </c>
    </row>
    <row r="42" spans="1:29" ht="15">
      <c r="A42" s="430"/>
      <c r="B42" s="380" t="s">
        <v>2331</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511" t="s">
        <v>2141</v>
      </c>
      <c r="Q42" s="1486" t="str">
        <f t="shared" si="14"/>
        <v>工程地质条件</v>
      </c>
      <c r="R42" s="713" t="s">
        <v>17</v>
      </c>
      <c r="S42" s="714">
        <f t="shared" si="10"/>
        <v>100</v>
      </c>
      <c r="T42" s="713" t="s">
        <v>17</v>
      </c>
      <c r="U42" s="714">
        <f t="shared" si="11"/>
        <v>100</v>
      </c>
      <c r="V42" s="713" t="s">
        <v>17</v>
      </c>
      <c r="W42" s="714">
        <f t="shared" si="12"/>
        <v>100</v>
      </c>
      <c r="X42" s="1489"/>
      <c r="Y42" s="3511" t="s">
        <v>2141</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511"/>
      <c r="Q43" s="1486">
        <f t="shared" si="14"/>
        <v>111</v>
      </c>
      <c r="R43" s="713" t="s">
        <v>17</v>
      </c>
      <c r="S43" s="714">
        <f t="shared" si="10"/>
        <v>100</v>
      </c>
      <c r="T43" s="713" t="s">
        <v>17</v>
      </c>
      <c r="U43" s="714">
        <f t="shared" si="11"/>
        <v>100</v>
      </c>
      <c r="V43" s="713" t="s">
        <v>17</v>
      </c>
      <c r="W43" s="714">
        <f t="shared" si="12"/>
        <v>100</v>
      </c>
      <c r="X43" s="1489"/>
      <c r="Y43" s="3511"/>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511"/>
      <c r="Q44" s="1486">
        <f t="shared" si="14"/>
        <v>111</v>
      </c>
      <c r="R44" s="713" t="s">
        <v>17</v>
      </c>
      <c r="S44" s="714">
        <f t="shared" si="10"/>
        <v>100</v>
      </c>
      <c r="T44" s="713" t="s">
        <v>17</v>
      </c>
      <c r="U44" s="714">
        <f t="shared" si="11"/>
        <v>100</v>
      </c>
      <c r="V44" s="713" t="s">
        <v>17</v>
      </c>
      <c r="W44" s="714">
        <f t="shared" si="12"/>
        <v>100</v>
      </c>
      <c r="X44" s="1489"/>
      <c r="Y44" s="3511"/>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511"/>
      <c r="Q45" s="1486">
        <f t="shared" si="14"/>
        <v>111</v>
      </c>
      <c r="R45" s="716" t="s">
        <v>17</v>
      </c>
      <c r="S45" s="717">
        <f t="shared" si="10"/>
        <v>100</v>
      </c>
      <c r="T45" s="716" t="s">
        <v>17</v>
      </c>
      <c r="U45" s="717">
        <f t="shared" si="11"/>
        <v>100</v>
      </c>
      <c r="V45" s="716" t="s">
        <v>17</v>
      </c>
      <c r="W45" s="717">
        <f t="shared" si="12"/>
        <v>100</v>
      </c>
      <c r="X45" s="718"/>
      <c r="Y45" s="3511"/>
      <c r="Z45" s="719">
        <f t="shared" si="13"/>
        <v>111</v>
      </c>
      <c r="AA45" s="1487">
        <f t="shared" si="3"/>
        <v>1</v>
      </c>
      <c r="AB45" s="1487">
        <f t="shared" si="4"/>
        <v>1</v>
      </c>
      <c r="AC45" s="1487">
        <f t="shared" si="5"/>
        <v>1</v>
      </c>
    </row>
    <row r="46" spans="1:29" ht="15">
      <c r="A46" s="437" t="s">
        <v>2296</v>
      </c>
      <c r="B46" s="2118" t="s">
        <v>2332</v>
      </c>
      <c r="C46" s="637" t="s">
        <v>1</v>
      </c>
      <c r="D46" s="439"/>
      <c r="E46" s="440"/>
      <c r="F46" s="441"/>
      <c r="G46" s="442"/>
      <c r="H46" s="443"/>
      <c r="I46" s="440"/>
      <c r="J46" s="443"/>
      <c r="K46" s="722"/>
      <c r="L46" s="2902"/>
      <c r="M46" s="2903"/>
      <c r="N46" s="2894"/>
      <c r="O46" s="2903"/>
      <c r="P46" s="3504" t="str">
        <f>A46</f>
        <v>成交单价</v>
      </c>
      <c r="Q46" s="3504"/>
      <c r="R46" s="3499">
        <f>E46</f>
        <v>0</v>
      </c>
      <c r="S46" s="3499"/>
      <c r="T46" s="3499">
        <f>G46</f>
        <v>0</v>
      </c>
      <c r="U46" s="3499"/>
      <c r="V46" s="3499">
        <f>I46</f>
        <v>0</v>
      </c>
      <c r="W46" s="3499"/>
      <c r="X46" s="698"/>
      <c r="Y46" s="720"/>
      <c r="Z46" s="698"/>
      <c r="AA46" s="698"/>
      <c r="AB46" s="698"/>
      <c r="AC46" s="698"/>
    </row>
    <row r="47" spans="1:29" ht="15.75" thickBot="1">
      <c r="A47" s="444" t="s">
        <v>2245</v>
      </c>
      <c r="B47" s="638"/>
      <c r="C47" s="447" t="e">
        <f>R48</f>
        <v>#DIV/0!</v>
      </c>
      <c r="D47" s="2488" t="s">
        <v>2635</v>
      </c>
      <c r="E47" s="447" t="e">
        <f>R47</f>
        <v>#DIV/0!</v>
      </c>
      <c r="F47" s="2489"/>
      <c r="G47" s="446" t="e">
        <f>T47</f>
        <v>#DIV/0!</v>
      </c>
      <c r="H47" s="2489"/>
      <c r="I47" s="447" t="e">
        <f>V47</f>
        <v>#DIV/0!</v>
      </c>
      <c r="J47" s="2489"/>
      <c r="K47" s="2491">
        <f>F47+H47+J47</f>
        <v>0</v>
      </c>
      <c r="L47" s="2902"/>
      <c r="M47" s="2903"/>
      <c r="N47" s="2903"/>
      <c r="O47" s="2903"/>
      <c r="P47" s="3504" t="str">
        <f>A47</f>
        <v>比较价值（元/平方米）</v>
      </c>
      <c r="Q47" s="3504"/>
      <c r="R47" s="3532" t="e">
        <f>ROUND(PRODUCT(R46,AA7:AA45),0)</f>
        <v>#DIV/0!</v>
      </c>
      <c r="S47" s="3532"/>
      <c r="T47" s="3532" t="e">
        <f>ROUND(PRODUCT(T46,AB7:AB45),0)</f>
        <v>#DIV/0!</v>
      </c>
      <c r="U47" s="3532"/>
      <c r="V47" s="3532" t="e">
        <f>ROUND(PRODUCT(V46,AC7:AC45),0)</f>
        <v>#DIV/0!</v>
      </c>
      <c r="W47" s="3532"/>
      <c r="X47" s="698"/>
      <c r="Y47" s="698"/>
      <c r="Z47" s="698"/>
      <c r="AA47" s="698"/>
      <c r="AB47" s="698"/>
      <c r="AC47" s="698"/>
    </row>
    <row r="48" spans="1:29" ht="15.75" thickBot="1">
      <c r="A48" s="448" t="s">
        <v>2333</v>
      </c>
      <c r="B48" s="449"/>
      <c r="C48" s="450" t="e">
        <f>R48</f>
        <v>#DIV/0!</v>
      </c>
      <c r="D48" s="450"/>
      <c r="E48" s="450"/>
      <c r="F48" s="450"/>
      <c r="G48" s="450"/>
      <c r="H48" s="450"/>
      <c r="I48" s="450"/>
      <c r="J48" s="450"/>
      <c r="K48" s="723"/>
      <c r="L48" s="2902"/>
      <c r="M48" s="2903"/>
      <c r="N48" s="2903"/>
      <c r="O48" s="2903"/>
      <c r="P48" s="3501" t="str">
        <f>A48</f>
        <v>估价对象XX用房的比较价值（楼面单价，元/平方米）</v>
      </c>
      <c r="Q48" s="3502"/>
      <c r="R48" s="3533" t="e">
        <f>ROUND(IF(D47="简单平均",AVERAGE(R47:W47),R47*F47+T47*H47+V47*J47),0)</f>
        <v>#DIV/0!</v>
      </c>
      <c r="S48" s="3533"/>
      <c r="T48" s="3533"/>
      <c r="U48" s="3533"/>
      <c r="V48" s="3533"/>
      <c r="W48" s="3533"/>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2247</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2248</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2249</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2334</v>
      </c>
      <c r="B55" s="640" t="s">
        <v>2335</v>
      </c>
      <c r="C55" s="2119" t="s">
        <v>2336</v>
      </c>
      <c r="D55" s="2120" t="s">
        <v>2337</v>
      </c>
      <c r="E55" s="641" t="s">
        <v>2338</v>
      </c>
      <c r="F55" s="1001" t="s">
        <v>2339</v>
      </c>
      <c r="G55" s="3487" t="s">
        <v>2340</v>
      </c>
      <c r="H55" s="3534"/>
      <c r="I55" s="139" t="s">
        <v>2341</v>
      </c>
      <c r="J55" s="2121">
        <f>项目基本情况!F35</f>
        <v>0</v>
      </c>
      <c r="K55" s="2122" t="s">
        <v>2342</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2343</v>
      </c>
      <c r="B56" s="644" t="e">
        <f>C48</f>
        <v>#DIV/0!</v>
      </c>
      <c r="C56" s="645">
        <v>1</v>
      </c>
      <c r="D56" s="1055">
        <v>1</v>
      </c>
      <c r="E56" s="645">
        <f>'数据-汇总表'!E8+'数据-汇总表'!E9</f>
        <v>36484</v>
      </c>
      <c r="F56" s="997" t="e">
        <f t="shared" ref="F56:F64" si="15">ROUND(B56*E56/10000,0)</f>
        <v>#DIV/0!</v>
      </c>
      <c r="G56" s="3486"/>
      <c r="H56" s="3504"/>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2344</v>
      </c>
      <c r="B57" s="223" t="e">
        <f>ROUND($C$48*C57*D57,0)</f>
        <v>#DIV/0!</v>
      </c>
      <c r="C57" s="175">
        <f t="shared" ref="C57:C64" si="16">IF($C$55="北京市系数",I57,J57)</f>
        <v>0</v>
      </c>
      <c r="D57" s="1056">
        <v>0.25</v>
      </c>
      <c r="E57" s="649"/>
      <c r="F57" s="997" t="e">
        <f t="shared" si="15"/>
        <v>#DIV/0!</v>
      </c>
      <c r="G57" s="3238" t="s">
        <v>2345</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2346</v>
      </c>
      <c r="B58" s="223" t="e">
        <f t="shared" ref="B58:B64" si="17">ROUND($C$48*C58*D58,0)</f>
        <v>#DIV/0!</v>
      </c>
      <c r="C58" s="175">
        <f t="shared" si="16"/>
        <v>0</v>
      </c>
      <c r="D58" s="1056">
        <v>0.25</v>
      </c>
      <c r="E58" s="649"/>
      <c r="F58" s="997" t="e">
        <f t="shared" si="15"/>
        <v>#DIV/0!</v>
      </c>
      <c r="G58" s="3239"/>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2347</v>
      </c>
      <c r="B59" s="223" t="e">
        <f t="shared" si="17"/>
        <v>#DIV/0!</v>
      </c>
      <c r="C59" s="175">
        <f t="shared" si="16"/>
        <v>0</v>
      </c>
      <c r="D59" s="1056">
        <v>0.25</v>
      </c>
      <c r="E59" s="649"/>
      <c r="F59" s="997" t="e">
        <f t="shared" si="15"/>
        <v>#DIV/0!</v>
      </c>
      <c r="G59" s="3239"/>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2348</v>
      </c>
      <c r="B60" s="223" t="e">
        <f t="shared" si="17"/>
        <v>#DIV/0!</v>
      </c>
      <c r="C60" s="175">
        <f t="shared" si="16"/>
        <v>0</v>
      </c>
      <c r="D60" s="1056">
        <v>0.25</v>
      </c>
      <c r="E60" s="222">
        <f>'数据-汇总表'!E11</f>
        <v>0</v>
      </c>
      <c r="F60" s="997" t="e">
        <f t="shared" si="15"/>
        <v>#DIV/0!</v>
      </c>
      <c r="G60" s="2123" t="s">
        <v>2349</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2350</v>
      </c>
      <c r="B61" s="223" t="e">
        <f t="shared" si="17"/>
        <v>#DIV/0!</v>
      </c>
      <c r="C61" s="175">
        <f t="shared" si="16"/>
        <v>0</v>
      </c>
      <c r="D61" s="1056">
        <v>0.25</v>
      </c>
      <c r="E61" s="222">
        <f>'数据-汇总表'!E12</f>
        <v>0</v>
      </c>
      <c r="F61" s="997" t="e">
        <f t="shared" si="15"/>
        <v>#DIV/0!</v>
      </c>
      <c r="G61" s="1003" t="s">
        <v>2351</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2352</v>
      </c>
      <c r="B62" s="223" t="e">
        <f t="shared" si="17"/>
        <v>#DIV/0!</v>
      </c>
      <c r="C62" s="175">
        <f t="shared" si="16"/>
        <v>0</v>
      </c>
      <c r="D62" s="1056">
        <v>0.25</v>
      </c>
      <c r="E62" s="222">
        <f>'数据-汇总表'!E13</f>
        <v>7905</v>
      </c>
      <c r="F62" s="997" t="e">
        <f t="shared" si="15"/>
        <v>#DIV/0!</v>
      </c>
      <c r="G62" s="1003" t="s">
        <v>2353</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2354</v>
      </c>
      <c r="B63" s="223" t="e">
        <f t="shared" si="17"/>
        <v>#DIV/0!</v>
      </c>
      <c r="C63" s="175">
        <f t="shared" si="16"/>
        <v>0</v>
      </c>
      <c r="D63" s="1056">
        <v>0.25</v>
      </c>
      <c r="E63" s="222">
        <f>'数据-汇总表'!E14</f>
        <v>0</v>
      </c>
      <c r="F63" s="997" t="e">
        <f t="shared" si="15"/>
        <v>#DIV/0!</v>
      </c>
      <c r="G63" s="2123" t="s">
        <v>2345</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2355</v>
      </c>
      <c r="B64" s="223" t="e">
        <f t="shared" si="17"/>
        <v>#DIV/0!</v>
      </c>
      <c r="C64" s="175">
        <f t="shared" si="16"/>
        <v>0</v>
      </c>
      <c r="D64" s="1056">
        <v>0.25</v>
      </c>
      <c r="E64" s="222">
        <f>'数据-汇总表'!E15</f>
        <v>0</v>
      </c>
      <c r="F64" s="997" t="e">
        <f t="shared" si="15"/>
        <v>#DIV/0!</v>
      </c>
      <c r="G64" s="2124" t="s">
        <v>2349</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2356</v>
      </c>
      <c r="B65" s="651" t="s">
        <v>28</v>
      </c>
      <c r="C65" s="651" t="s">
        <v>29</v>
      </c>
      <c r="D65" s="651" t="s">
        <v>816</v>
      </c>
      <c r="E65" s="651">
        <f>IF(B46="楼面地价",SUM(E56:E64),'数据-汇总表'!D3)</f>
        <v>44389</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903"/>
      <c r="Q67" s="2903"/>
      <c r="R67" s="2903"/>
      <c r="S67" s="2903"/>
      <c r="T67" s="2903"/>
      <c r="U67" s="2903"/>
      <c r="V67" s="2903"/>
      <c r="W67" s="2903"/>
      <c r="X67" s="2903"/>
      <c r="Y67" s="2903"/>
      <c r="Z67" s="2903"/>
      <c r="AA67" s="2903"/>
      <c r="AB67" s="2903"/>
      <c r="AC67" s="2903"/>
    </row>
    <row r="68" spans="1:29" ht="21.75" thickBot="1">
      <c r="A68" s="702" t="s">
        <v>2250</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2357</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2" customFormat="1" ht="30" customHeight="1">
      <c r="A70" s="2126" t="s">
        <v>2358</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2161</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2126</v>
      </c>
      <c r="B72" s="466"/>
      <c r="C72" s="478" t="s">
        <v>2228</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2164</v>
      </c>
      <c r="B74" s="484" t="s">
        <v>2130</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2133</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2134</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2135</v>
      </c>
      <c r="B87" s="484" t="s">
        <v>2172</v>
      </c>
      <c r="C87" s="529" t="s">
        <v>2173</v>
      </c>
      <c r="D87" s="529" t="s">
        <v>2174</v>
      </c>
      <c r="E87" s="529" t="s">
        <v>2175</v>
      </c>
      <c r="F87" s="529" t="s">
        <v>2176</v>
      </c>
      <c r="G87" s="529" t="s">
        <v>2177</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2359</v>
      </c>
      <c r="C89" s="534" t="s">
        <v>2173</v>
      </c>
      <c r="D89" s="534" t="s">
        <v>2174</v>
      </c>
      <c r="E89" s="534" t="s">
        <v>2175</v>
      </c>
      <c r="F89" s="534" t="s">
        <v>2176</v>
      </c>
      <c r="G89" s="534" t="s">
        <v>2177</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2273</v>
      </c>
      <c r="C91" s="534" t="s">
        <v>2173</v>
      </c>
      <c r="D91" s="534" t="s">
        <v>2174</v>
      </c>
      <c r="E91" s="534" t="s">
        <v>2175</v>
      </c>
      <c r="F91" s="534" t="s">
        <v>2176</v>
      </c>
      <c r="G91" s="534" t="s">
        <v>2177</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2178</v>
      </c>
      <c r="C93" s="534" t="s">
        <v>2173</v>
      </c>
      <c r="D93" s="534" t="s">
        <v>2174</v>
      </c>
      <c r="E93" s="534" t="s">
        <v>2175</v>
      </c>
      <c r="F93" s="534" t="s">
        <v>2176</v>
      </c>
      <c r="G93" s="534" t="s">
        <v>2177</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2360</v>
      </c>
      <c r="C95" s="534" t="s">
        <v>2173</v>
      </c>
      <c r="D95" s="534" t="s">
        <v>2174</v>
      </c>
      <c r="E95" s="534" t="s">
        <v>2175</v>
      </c>
      <c r="F95" s="534" t="s">
        <v>2176</v>
      </c>
      <c r="G95" s="534" t="s">
        <v>2177</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2361</v>
      </c>
      <c r="C97" s="529" t="s">
        <v>2173</v>
      </c>
      <c r="D97" s="529" t="s">
        <v>2174</v>
      </c>
      <c r="E97" s="529" t="s">
        <v>2175</v>
      </c>
      <c r="F97" s="529" t="s">
        <v>2176</v>
      </c>
      <c r="G97" s="529" t="s">
        <v>2177</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2230</v>
      </c>
      <c r="C99" s="529" t="s">
        <v>2173</v>
      </c>
      <c r="D99" s="529" t="s">
        <v>2174</v>
      </c>
      <c r="E99" s="529" t="s">
        <v>2175</v>
      </c>
      <c r="F99" s="529" t="s">
        <v>2176</v>
      </c>
      <c r="G99" s="529" t="s">
        <v>2177</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2231</v>
      </c>
      <c r="C101" s="615" t="s">
        <v>2251</v>
      </c>
      <c r="D101" s="615" t="s">
        <v>2252</v>
      </c>
      <c r="E101" s="615" t="s">
        <v>2253</v>
      </c>
      <c r="F101" s="615" t="s">
        <v>2254</v>
      </c>
      <c r="G101" s="615" t="s">
        <v>2255</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2362</v>
      </c>
      <c r="D103" s="495" t="s">
        <v>2363</v>
      </c>
      <c r="E103" s="495" t="s">
        <v>2364</v>
      </c>
      <c r="F103" s="495" t="s">
        <v>2365</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2267</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2326</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2139</v>
      </c>
      <c r="B115" s="484" t="s">
        <v>2366</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2367</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2368</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2369</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2370</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2320</v>
      </c>
      <c r="B1" s="354"/>
      <c r="C1" s="355" t="s">
        <v>2371</v>
      </c>
      <c r="D1" s="694"/>
      <c r="E1" s="694"/>
      <c r="F1" s="693" t="s">
        <v>2219</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1906</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ROUND(IF(D3="",B2*10000/'数据-汇总表'!E3,B2*10000/D3),0)</f>
        <v>#DIV/0!</v>
      </c>
      <c r="C3" s="208" t="s">
        <v>2322</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2221</v>
      </c>
      <c r="B4" s="361"/>
      <c r="C4" s="3487" t="s">
        <v>2222</v>
      </c>
      <c r="D4" s="3488"/>
      <c r="E4" s="3489" t="s">
        <v>2223</v>
      </c>
      <c r="F4" s="3490"/>
      <c r="G4" s="3487" t="s">
        <v>2224</v>
      </c>
      <c r="H4" s="3488"/>
      <c r="I4" s="3487" t="s">
        <v>2225</v>
      </c>
      <c r="J4" s="3488"/>
      <c r="K4" s="566" t="s">
        <v>2226</v>
      </c>
      <c r="L4" s="2893"/>
      <c r="M4" s="2894"/>
      <c r="N4" s="2894"/>
      <c r="O4" s="2894"/>
      <c r="P4" s="3491" t="s">
        <v>2227</v>
      </c>
      <c r="Q4" s="3492"/>
      <c r="R4" s="3474" t="s">
        <v>2223</v>
      </c>
      <c r="S4" s="3475"/>
      <c r="T4" s="3474" t="s">
        <v>2224</v>
      </c>
      <c r="U4" s="3475"/>
      <c r="V4" s="3499" t="s">
        <v>2225</v>
      </c>
      <c r="W4" s="3499"/>
      <c r="X4" s="1489"/>
      <c r="Y4" s="3474" t="s">
        <v>2227</v>
      </c>
      <c r="Z4" s="3475"/>
      <c r="AA4" s="3469" t="s">
        <v>2223</v>
      </c>
      <c r="AB4" s="3470" t="s">
        <v>2224</v>
      </c>
      <c r="AC4" s="3469" t="s">
        <v>2225</v>
      </c>
    </row>
    <row r="5" spans="1:29" ht="15">
      <c r="A5" s="363"/>
      <c r="B5" s="364"/>
      <c r="C5" s="3480" t="s">
        <v>2118</v>
      </c>
      <c r="D5" s="3481"/>
      <c r="E5" s="3478" t="s">
        <v>2119</v>
      </c>
      <c r="F5" s="3479"/>
      <c r="G5" s="3480" t="s">
        <v>2120</v>
      </c>
      <c r="H5" s="3481"/>
      <c r="I5" s="3480" t="s">
        <v>2121</v>
      </c>
      <c r="J5" s="3481"/>
      <c r="K5" s="566"/>
      <c r="L5" s="2893"/>
      <c r="M5" s="2894"/>
      <c r="N5" s="2894"/>
      <c r="O5" s="2894"/>
      <c r="P5" s="3493"/>
      <c r="Q5" s="3494"/>
      <c r="R5" s="3476"/>
      <c r="S5" s="3477"/>
      <c r="T5" s="3476"/>
      <c r="U5" s="3477"/>
      <c r="V5" s="3499"/>
      <c r="W5" s="3499"/>
      <c r="X5" s="1489"/>
      <c r="Y5" s="3476"/>
      <c r="Z5" s="3477"/>
      <c r="AA5" s="3470"/>
      <c r="AB5" s="3470"/>
      <c r="AC5" s="3470"/>
    </row>
    <row r="6" spans="1:29" ht="15.75" thickBot="1">
      <c r="A6" s="365"/>
      <c r="B6" s="366"/>
      <c r="C6" s="3535" t="s">
        <v>2372</v>
      </c>
      <c r="D6" s="3536"/>
      <c r="E6" s="3537" t="s">
        <v>2372</v>
      </c>
      <c r="F6" s="3538"/>
      <c r="G6" s="3535" t="s">
        <v>2372</v>
      </c>
      <c r="H6" s="3536"/>
      <c r="I6" s="3535" t="s">
        <v>2372</v>
      </c>
      <c r="J6" s="3536"/>
      <c r="K6" s="566" t="s">
        <v>2123</v>
      </c>
      <c r="L6" s="2893"/>
      <c r="M6" s="2894"/>
      <c r="N6" s="2894"/>
      <c r="O6" s="2894"/>
      <c r="P6" s="3495"/>
      <c r="Q6" s="3496"/>
      <c r="R6" s="3476"/>
      <c r="S6" s="3477"/>
      <c r="T6" s="3497"/>
      <c r="U6" s="3498"/>
      <c r="V6" s="3499"/>
      <c r="W6" s="3499"/>
      <c r="X6" s="1489"/>
      <c r="Y6" s="3497"/>
      <c r="Z6" s="3498"/>
      <c r="AA6" s="3471"/>
      <c r="AB6" s="3471"/>
      <c r="AC6" s="3471"/>
    </row>
    <row r="7" spans="1:29" s="112" customFormat="1" ht="15.75" thickBot="1">
      <c r="A7" s="367" t="s">
        <v>2124</v>
      </c>
      <c r="B7" s="368"/>
      <c r="C7" s="369">
        <f>'数据-取费表'!B2</f>
        <v>44692</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472" t="s">
        <v>2125</v>
      </c>
      <c r="Q7" s="3500"/>
      <c r="R7" s="709" t="s">
        <v>17</v>
      </c>
      <c r="S7" s="710">
        <f t="shared" ref="S7:S15" si="0">F7</f>
        <v>0</v>
      </c>
      <c r="T7" s="709" t="s">
        <v>17</v>
      </c>
      <c r="U7" s="710">
        <f t="shared" ref="U7:U15" si="1">H7</f>
        <v>0</v>
      </c>
      <c r="V7" s="709" t="s">
        <v>17</v>
      </c>
      <c r="W7" s="710">
        <f t="shared" ref="W7:W15" si="2">J7</f>
        <v>0</v>
      </c>
      <c r="X7" s="711"/>
      <c r="Y7" s="3472" t="s">
        <v>2125</v>
      </c>
      <c r="Z7" s="3473"/>
      <c r="AA7" s="712" t="e">
        <f>D7/F7</f>
        <v>#DIV/0!</v>
      </c>
      <c r="AB7" s="712" t="e">
        <f>D7/H7</f>
        <v>#DIV/0!</v>
      </c>
      <c r="AC7" s="712" t="e">
        <f>D7/J7</f>
        <v>#DIV/0!</v>
      </c>
    </row>
    <row r="8" spans="1:29" s="112" customFormat="1" ht="15.75" thickBot="1">
      <c r="A8" s="367" t="s">
        <v>2126</v>
      </c>
      <c r="B8" s="368"/>
      <c r="C8" s="373" t="s">
        <v>2127</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472" t="s">
        <v>2128</v>
      </c>
      <c r="Q8" s="3473"/>
      <c r="R8" s="709" t="s">
        <v>17</v>
      </c>
      <c r="S8" s="710">
        <f t="shared" si="0"/>
        <v>0</v>
      </c>
      <c r="T8" s="709" t="s">
        <v>17</v>
      </c>
      <c r="U8" s="710">
        <f t="shared" si="1"/>
        <v>0</v>
      </c>
      <c r="V8" s="709" t="s">
        <v>17</v>
      </c>
      <c r="W8" s="710">
        <f t="shared" si="2"/>
        <v>0</v>
      </c>
      <c r="X8" s="711"/>
      <c r="Y8" s="3472" t="s">
        <v>2128</v>
      </c>
      <c r="Z8" s="3473"/>
      <c r="AA8" s="712" t="e">
        <f t="shared" ref="AA8:AA40" si="3">D8/F8</f>
        <v>#DIV/0!</v>
      </c>
      <c r="AB8" s="712" t="e">
        <f t="shared" ref="AB8:AB40" si="4">D8/H8</f>
        <v>#DIV/0!</v>
      </c>
      <c r="AC8" s="712" t="e">
        <f t="shared" ref="AC8:AC40" si="5">D8/J8</f>
        <v>#DIV/0!</v>
      </c>
    </row>
    <row r="9" spans="1:29" s="112" customFormat="1">
      <c r="A9" s="374" t="s">
        <v>2129</v>
      </c>
      <c r="B9" s="67" t="s">
        <v>2130</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504" t="s">
        <v>2131</v>
      </c>
      <c r="Q9" s="1477" t="str">
        <f t="shared" ref="Q9:Q15" si="6">B9</f>
        <v>用途</v>
      </c>
      <c r="R9" s="709" t="s">
        <v>17</v>
      </c>
      <c r="S9" s="710">
        <f t="shared" si="0"/>
        <v>100</v>
      </c>
      <c r="T9" s="709" t="s">
        <v>17</v>
      </c>
      <c r="U9" s="710">
        <f t="shared" si="1"/>
        <v>100</v>
      </c>
      <c r="V9" s="709" t="s">
        <v>17</v>
      </c>
      <c r="W9" s="710">
        <f t="shared" si="2"/>
        <v>100</v>
      </c>
      <c r="X9" s="711"/>
      <c r="Y9" s="3416" t="s">
        <v>2132</v>
      </c>
      <c r="Z9" s="55" t="str">
        <f t="shared" ref="Z9:Z15" si="7">Q9</f>
        <v>用途</v>
      </c>
      <c r="AA9" s="712">
        <f t="shared" si="3"/>
        <v>1</v>
      </c>
      <c r="AB9" s="712">
        <f t="shared" si="4"/>
        <v>1</v>
      </c>
      <c r="AC9" s="712">
        <f t="shared" si="5"/>
        <v>1</v>
      </c>
    </row>
    <row r="10" spans="1:29" s="385" customFormat="1" ht="27">
      <c r="A10" s="379"/>
      <c r="B10" s="380" t="s">
        <v>2133</v>
      </c>
      <c r="C10" s="390"/>
      <c r="D10" s="131">
        <v>100</v>
      </c>
      <c r="E10" s="390"/>
      <c r="F10" s="131">
        <f>ROUND(100/'数据-取费表'!G16,0)</f>
        <v>110</v>
      </c>
      <c r="G10" s="390"/>
      <c r="H10" s="131">
        <f>ROUND(100/'数据-取费表'!G16,0)</f>
        <v>110</v>
      </c>
      <c r="I10" s="390"/>
      <c r="J10" s="131">
        <f>ROUND(100/'数据-取费表'!G16,0)</f>
        <v>110</v>
      </c>
      <c r="K10" s="627"/>
      <c r="L10" s="2897"/>
      <c r="M10" s="2898"/>
      <c r="N10" s="2898"/>
      <c r="O10" s="2951"/>
      <c r="P10" s="3504"/>
      <c r="Q10" s="1477" t="str">
        <f t="shared" si="6"/>
        <v>土地使用年限（年）</v>
      </c>
      <c r="R10" s="709" t="s">
        <v>17</v>
      </c>
      <c r="S10" s="710">
        <f t="shared" si="0"/>
        <v>110</v>
      </c>
      <c r="T10" s="709" t="s">
        <v>17</v>
      </c>
      <c r="U10" s="710">
        <f t="shared" si="1"/>
        <v>110</v>
      </c>
      <c r="V10" s="709" t="s">
        <v>17</v>
      </c>
      <c r="W10" s="710">
        <f t="shared" si="2"/>
        <v>110</v>
      </c>
      <c r="X10" s="711"/>
      <c r="Y10" s="3416"/>
      <c r="Z10" s="55" t="str">
        <f t="shared" si="7"/>
        <v>土地使用年限（年）</v>
      </c>
      <c r="AA10" s="712">
        <f t="shared" si="3"/>
        <v>0.90909090909090906</v>
      </c>
      <c r="AB10" s="712">
        <f t="shared" si="4"/>
        <v>0.90909090909090906</v>
      </c>
      <c r="AC10" s="712">
        <f t="shared" si="5"/>
        <v>0.90909090909090906</v>
      </c>
    </row>
    <row r="11" spans="1:29" ht="15">
      <c r="A11" s="386"/>
      <c r="B11" s="380" t="s">
        <v>2134</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504"/>
      <c r="Q11" s="1477" t="str">
        <f t="shared" si="6"/>
        <v>容积率</v>
      </c>
      <c r="R11" s="709" t="s">
        <v>17</v>
      </c>
      <c r="S11" s="710" t="e">
        <f t="shared" si="0"/>
        <v>#N/A</v>
      </c>
      <c r="T11" s="709" t="s">
        <v>17</v>
      </c>
      <c r="U11" s="710" t="e">
        <f t="shared" si="1"/>
        <v>#N/A</v>
      </c>
      <c r="V11" s="709" t="s">
        <v>17</v>
      </c>
      <c r="W11" s="710" t="e">
        <f t="shared" si="2"/>
        <v>#N/A</v>
      </c>
      <c r="X11" s="711"/>
      <c r="Y11" s="3416"/>
      <c r="Z11" s="55"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504"/>
      <c r="Q12" s="1477">
        <f t="shared" si="6"/>
        <v>111</v>
      </c>
      <c r="R12" s="709" t="s">
        <v>17</v>
      </c>
      <c r="S12" s="710">
        <f t="shared" si="0"/>
        <v>100</v>
      </c>
      <c r="T12" s="709" t="s">
        <v>17</v>
      </c>
      <c r="U12" s="710">
        <f t="shared" si="1"/>
        <v>100</v>
      </c>
      <c r="V12" s="709" t="s">
        <v>17</v>
      </c>
      <c r="W12" s="710">
        <f t="shared" si="2"/>
        <v>100</v>
      </c>
      <c r="X12" s="711"/>
      <c r="Y12" s="3416"/>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504"/>
      <c r="Q13" s="1477">
        <f t="shared" si="6"/>
        <v>111</v>
      </c>
      <c r="R13" s="709" t="s">
        <v>17</v>
      </c>
      <c r="S13" s="710">
        <f t="shared" si="0"/>
        <v>100</v>
      </c>
      <c r="T13" s="709" t="s">
        <v>17</v>
      </c>
      <c r="U13" s="710">
        <f t="shared" si="1"/>
        <v>100</v>
      </c>
      <c r="V13" s="709" t="s">
        <v>17</v>
      </c>
      <c r="W13" s="710">
        <f t="shared" si="2"/>
        <v>100</v>
      </c>
      <c r="X13" s="711"/>
      <c r="Y13" s="3416"/>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504"/>
      <c r="Q14" s="1477">
        <f t="shared" si="6"/>
        <v>111</v>
      </c>
      <c r="R14" s="709" t="s">
        <v>17</v>
      </c>
      <c r="S14" s="710">
        <f t="shared" si="0"/>
        <v>100</v>
      </c>
      <c r="T14" s="709" t="s">
        <v>17</v>
      </c>
      <c r="U14" s="710">
        <f t="shared" si="1"/>
        <v>100</v>
      </c>
      <c r="V14" s="709" t="s">
        <v>17</v>
      </c>
      <c r="W14" s="710">
        <f t="shared" si="2"/>
        <v>100</v>
      </c>
      <c r="X14" s="711"/>
      <c r="Y14" s="3416"/>
      <c r="Z14" s="55">
        <f t="shared" si="7"/>
        <v>111</v>
      </c>
      <c r="AA14" s="712">
        <f t="shared" si="3"/>
        <v>1</v>
      </c>
      <c r="AB14" s="712">
        <f t="shared" si="4"/>
        <v>1</v>
      </c>
      <c r="AC14" s="712">
        <f t="shared" si="5"/>
        <v>1</v>
      </c>
    </row>
    <row r="15" spans="1:29" ht="57">
      <c r="A15" s="398" t="s">
        <v>2135</v>
      </c>
      <c r="B15" s="584" t="s">
        <v>2373</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506" t="s">
        <v>2136</v>
      </c>
      <c r="Q15" s="1486" t="str">
        <f t="shared" si="6"/>
        <v>产业集聚程度</v>
      </c>
      <c r="R15" s="713" t="s">
        <v>17</v>
      </c>
      <c r="S15" s="714">
        <f t="shared" si="0"/>
        <v>100</v>
      </c>
      <c r="T15" s="713" t="s">
        <v>17</v>
      </c>
      <c r="U15" s="714">
        <f t="shared" si="1"/>
        <v>100</v>
      </c>
      <c r="V15" s="713" t="s">
        <v>17</v>
      </c>
      <c r="W15" s="714">
        <f t="shared" si="2"/>
        <v>100</v>
      </c>
      <c r="X15" s="1489"/>
      <c r="Y15" s="3506" t="s">
        <v>2136</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507"/>
      <c r="Q16" s="1486"/>
      <c r="R16" s="713"/>
      <c r="S16" s="714"/>
      <c r="T16" s="713"/>
      <c r="U16" s="714"/>
      <c r="V16" s="713"/>
      <c r="W16" s="714"/>
      <c r="X16" s="1489"/>
      <c r="Y16" s="3507"/>
      <c r="Z16" s="1490"/>
      <c r="AA16" s="1487">
        <v>1</v>
      </c>
      <c r="AB16" s="1487">
        <v>1</v>
      </c>
      <c r="AC16" s="1487">
        <v>1</v>
      </c>
    </row>
    <row r="17" spans="1:29" ht="85.5">
      <c r="A17" s="386"/>
      <c r="B17" s="586" t="s">
        <v>2285</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507"/>
      <c r="Q17" s="1486" t="str">
        <f>B17</f>
        <v>交通便捷度</v>
      </c>
      <c r="R17" s="713" t="s">
        <v>17</v>
      </c>
      <c r="S17" s="714">
        <f>F17</f>
        <v>100</v>
      </c>
      <c r="T17" s="713" t="s">
        <v>17</v>
      </c>
      <c r="U17" s="714">
        <f>H17</f>
        <v>100</v>
      </c>
      <c r="V17" s="713" t="s">
        <v>17</v>
      </c>
      <c r="W17" s="714">
        <f>J17</f>
        <v>100</v>
      </c>
      <c r="X17" s="1489"/>
      <c r="Y17" s="3507"/>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507"/>
      <c r="Q18" s="1486"/>
      <c r="R18" s="713"/>
      <c r="S18" s="714"/>
      <c r="T18" s="713"/>
      <c r="U18" s="714"/>
      <c r="V18" s="713"/>
      <c r="W18" s="714"/>
      <c r="X18" s="1489"/>
      <c r="Y18" s="3507"/>
      <c r="Z18" s="1490"/>
      <c r="AA18" s="1487">
        <v>1</v>
      </c>
      <c r="AB18" s="1487">
        <v>1</v>
      </c>
      <c r="AC18" s="1487">
        <v>1</v>
      </c>
    </row>
    <row r="19" spans="1:29" ht="15">
      <c r="A19" s="386"/>
      <c r="B19" s="586" t="s">
        <v>2324</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507"/>
      <c r="Q19" s="1486" t="str">
        <f t="shared" ref="Q19:Q33" si="8">B19</f>
        <v>区域土地利用方向</v>
      </c>
      <c r="R19" s="713" t="s">
        <v>17</v>
      </c>
      <c r="S19" s="714">
        <f>F19</f>
        <v>100</v>
      </c>
      <c r="T19" s="713" t="s">
        <v>17</v>
      </c>
      <c r="U19" s="714">
        <f>H19</f>
        <v>100</v>
      </c>
      <c r="V19" s="713" t="s">
        <v>17</v>
      </c>
      <c r="W19" s="714">
        <f>J19</f>
        <v>100</v>
      </c>
      <c r="X19" s="1489"/>
      <c r="Y19" s="3507"/>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507"/>
      <c r="Q20" s="1486"/>
      <c r="R20" s="713"/>
      <c r="S20" s="714"/>
      <c r="T20" s="713"/>
      <c r="U20" s="714"/>
      <c r="V20" s="713"/>
      <c r="W20" s="714"/>
      <c r="X20" s="1489"/>
      <c r="Y20" s="3507"/>
      <c r="Z20" s="1490"/>
      <c r="AA20" s="1487"/>
      <c r="AB20" s="1487"/>
      <c r="AC20" s="1487"/>
    </row>
    <row r="21" spans="1:29" ht="71.25">
      <c r="A21" s="363"/>
      <c r="B21" s="586" t="s">
        <v>2374</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507"/>
      <c r="Q21" s="1486" t="str">
        <f t="shared" si="8"/>
        <v>环境状况</v>
      </c>
      <c r="R21" s="713" t="s">
        <v>17</v>
      </c>
      <c r="S21" s="714">
        <f>F21</f>
        <v>100</v>
      </c>
      <c r="T21" s="713" t="s">
        <v>17</v>
      </c>
      <c r="U21" s="714">
        <f>H21</f>
        <v>100</v>
      </c>
      <c r="V21" s="713" t="s">
        <v>17</v>
      </c>
      <c r="W21" s="714">
        <f>J21</f>
        <v>100</v>
      </c>
      <c r="X21" s="1489"/>
      <c r="Y21" s="3507"/>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507"/>
      <c r="Q22" s="1486"/>
      <c r="R22" s="713"/>
      <c r="S22" s="714"/>
      <c r="T22" s="713"/>
      <c r="U22" s="714"/>
      <c r="V22" s="713"/>
      <c r="W22" s="714"/>
      <c r="X22" s="1489"/>
      <c r="Y22" s="3507"/>
      <c r="Z22" s="1490"/>
      <c r="AA22" s="1487">
        <v>1</v>
      </c>
      <c r="AB22" s="1487">
        <v>1</v>
      </c>
      <c r="AC22" s="1487">
        <v>1</v>
      </c>
    </row>
    <row r="23" spans="1:29" s="112" customFormat="1" ht="42.75">
      <c r="A23" s="604"/>
      <c r="B23" s="588" t="s">
        <v>2230</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507"/>
      <c r="Q23" s="1477" t="str">
        <f t="shared" si="8"/>
        <v>公共配套设施</v>
      </c>
      <c r="R23" s="709" t="s">
        <v>17</v>
      </c>
      <c r="S23" s="710">
        <f>F23</f>
        <v>100</v>
      </c>
      <c r="T23" s="709" t="s">
        <v>17</v>
      </c>
      <c r="U23" s="710">
        <f>H23</f>
        <v>100</v>
      </c>
      <c r="V23" s="709" t="s">
        <v>17</v>
      </c>
      <c r="W23" s="710">
        <f>J23</f>
        <v>100</v>
      </c>
      <c r="X23" s="711"/>
      <c r="Y23" s="3507"/>
      <c r="Z23" s="55"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507"/>
      <c r="Q24" s="1477"/>
      <c r="R24" s="709"/>
      <c r="S24" s="710"/>
      <c r="T24" s="709"/>
      <c r="U24" s="710"/>
      <c r="V24" s="709"/>
      <c r="W24" s="710"/>
      <c r="X24" s="711"/>
      <c r="Y24" s="3507"/>
      <c r="Z24" s="55"/>
      <c r="AA24" s="712">
        <v>1</v>
      </c>
      <c r="AB24" s="712">
        <v>1</v>
      </c>
      <c r="AC24" s="712">
        <v>1</v>
      </c>
    </row>
    <row r="25" spans="1:29" s="112" customFormat="1" ht="28.5">
      <c r="A25" s="604"/>
      <c r="B25" s="588" t="s">
        <v>2231</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507"/>
      <c r="Q25" s="1477" t="str">
        <f t="shared" ref="Q25" si="9">B25</f>
        <v>基础设施水平</v>
      </c>
      <c r="R25" s="709" t="s">
        <v>17</v>
      </c>
      <c r="S25" s="710">
        <f>F25</f>
        <v>100</v>
      </c>
      <c r="T25" s="709" t="s">
        <v>17</v>
      </c>
      <c r="U25" s="710">
        <f>H25</f>
        <v>100</v>
      </c>
      <c r="V25" s="709" t="s">
        <v>17</v>
      </c>
      <c r="W25" s="710">
        <f>J25</f>
        <v>100</v>
      </c>
      <c r="X25" s="711"/>
      <c r="Y25" s="3507"/>
      <c r="Z25" s="55"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507"/>
      <c r="Q26" s="1477"/>
      <c r="R26" s="709"/>
      <c r="S26" s="710"/>
      <c r="T26" s="709"/>
      <c r="U26" s="710"/>
      <c r="V26" s="709"/>
      <c r="W26" s="710"/>
      <c r="X26" s="711"/>
      <c r="Y26" s="3507"/>
      <c r="Z26" s="55"/>
      <c r="AA26" s="712">
        <v>1</v>
      </c>
      <c r="AB26" s="712">
        <v>1</v>
      </c>
      <c r="AC26" s="712">
        <v>1</v>
      </c>
    </row>
    <row r="27" spans="1:29" ht="15">
      <c r="A27" s="386"/>
      <c r="B27" s="587" t="s">
        <v>2232</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507"/>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07"/>
      <c r="Z27" s="1490" t="str">
        <f t="shared" ref="Z27:Z40" si="13">Q27</f>
        <v>临街状况</v>
      </c>
      <c r="AA27" s="1487">
        <f t="shared" si="3"/>
        <v>1</v>
      </c>
      <c r="AB27" s="1487">
        <f t="shared" si="4"/>
        <v>1</v>
      </c>
      <c r="AC27" s="1487">
        <f t="shared" si="5"/>
        <v>1</v>
      </c>
    </row>
    <row r="28" spans="1:29" ht="27">
      <c r="A28" s="386"/>
      <c r="B28" s="588" t="s">
        <v>2267</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507"/>
      <c r="Q28" s="1486" t="str">
        <f t="shared" si="8"/>
        <v>毗邻道路的类型与等级</v>
      </c>
      <c r="R28" s="713" t="s">
        <v>17</v>
      </c>
      <c r="S28" s="714">
        <f t="shared" si="10"/>
        <v>100</v>
      </c>
      <c r="T28" s="713" t="s">
        <v>17</v>
      </c>
      <c r="U28" s="714">
        <f t="shared" si="11"/>
        <v>100</v>
      </c>
      <c r="V28" s="713" t="s">
        <v>17</v>
      </c>
      <c r="W28" s="714">
        <f t="shared" si="12"/>
        <v>100</v>
      </c>
      <c r="X28" s="1489"/>
      <c r="Y28" s="3507"/>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507"/>
      <c r="Q29" s="1486"/>
      <c r="R29" s="713"/>
      <c r="S29" s="714"/>
      <c r="T29" s="713"/>
      <c r="U29" s="714"/>
      <c r="V29" s="713"/>
      <c r="W29" s="714"/>
      <c r="X29" s="1489"/>
      <c r="Y29" s="3507"/>
      <c r="Z29" s="1490"/>
      <c r="AA29" s="1487">
        <v>1</v>
      </c>
      <c r="AB29" s="1487">
        <v>1</v>
      </c>
      <c r="AC29" s="1487">
        <v>1</v>
      </c>
    </row>
    <row r="30" spans="1:29" ht="15">
      <c r="A30" s="386"/>
      <c r="B30" s="609" t="s">
        <v>2326</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507"/>
      <c r="Q30" s="1486" t="str">
        <f t="shared" si="8"/>
        <v>土地级别</v>
      </c>
      <c r="R30" s="713" t="s">
        <v>17</v>
      </c>
      <c r="S30" s="714">
        <f t="shared" si="10"/>
        <v>100</v>
      </c>
      <c r="T30" s="713" t="s">
        <v>17</v>
      </c>
      <c r="U30" s="714">
        <f t="shared" si="11"/>
        <v>100</v>
      </c>
      <c r="V30" s="713" t="s">
        <v>17</v>
      </c>
      <c r="W30" s="714">
        <f t="shared" si="12"/>
        <v>100</v>
      </c>
      <c r="X30" s="1489"/>
      <c r="Y30" s="3507"/>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507"/>
      <c r="Q31" s="1486">
        <f t="shared" si="8"/>
        <v>111</v>
      </c>
      <c r="R31" s="713" t="s">
        <v>17</v>
      </c>
      <c r="S31" s="714">
        <f t="shared" si="10"/>
        <v>100</v>
      </c>
      <c r="T31" s="713" t="s">
        <v>17</v>
      </c>
      <c r="U31" s="714">
        <f t="shared" si="11"/>
        <v>100</v>
      </c>
      <c r="V31" s="713" t="s">
        <v>17</v>
      </c>
      <c r="W31" s="714">
        <f t="shared" si="12"/>
        <v>100</v>
      </c>
      <c r="X31" s="1489"/>
      <c r="Y31" s="3507"/>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30" t="s">
        <v>2141</v>
      </c>
      <c r="Q32" s="1486">
        <f t="shared" si="8"/>
        <v>111</v>
      </c>
      <c r="R32" s="713" t="s">
        <v>17</v>
      </c>
      <c r="S32" s="714">
        <f t="shared" si="10"/>
        <v>100</v>
      </c>
      <c r="T32" s="713" t="s">
        <v>17</v>
      </c>
      <c r="U32" s="714">
        <f t="shared" si="11"/>
        <v>100</v>
      </c>
      <c r="V32" s="713" t="s">
        <v>17</v>
      </c>
      <c r="W32" s="714">
        <f t="shared" si="12"/>
        <v>100</v>
      </c>
      <c r="X32" s="1489"/>
      <c r="Y32" s="3511" t="s">
        <v>2141</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511"/>
      <c r="Q33" s="1486">
        <f t="shared" si="8"/>
        <v>111</v>
      </c>
      <c r="R33" s="716" t="s">
        <v>17</v>
      </c>
      <c r="S33" s="717">
        <f t="shared" si="10"/>
        <v>100</v>
      </c>
      <c r="T33" s="716" t="s">
        <v>17</v>
      </c>
      <c r="U33" s="717">
        <f t="shared" si="11"/>
        <v>100</v>
      </c>
      <c r="V33" s="716" t="s">
        <v>17</v>
      </c>
      <c r="W33" s="717">
        <f t="shared" si="12"/>
        <v>100</v>
      </c>
      <c r="X33" s="718"/>
      <c r="Y33" s="3511"/>
      <c r="Z33" s="719">
        <f t="shared" si="13"/>
        <v>111</v>
      </c>
      <c r="AA33" s="1487">
        <f t="shared" si="3"/>
        <v>1</v>
      </c>
      <c r="AB33" s="1487">
        <f t="shared" si="4"/>
        <v>1</v>
      </c>
      <c r="AC33" s="1487">
        <f t="shared" si="5"/>
        <v>1</v>
      </c>
    </row>
    <row r="34" spans="1:31" ht="15">
      <c r="A34" s="398" t="s">
        <v>2139</v>
      </c>
      <c r="B34" s="414" t="s">
        <v>2327</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511"/>
      <c r="Q34" s="1486" t="str">
        <f>B34</f>
        <v>宗地面积</v>
      </c>
      <c r="R34" s="713" t="s">
        <v>17</v>
      </c>
      <c r="S34" s="714" t="e">
        <f t="shared" si="10"/>
        <v>#N/A</v>
      </c>
      <c r="T34" s="713" t="s">
        <v>17</v>
      </c>
      <c r="U34" s="714" t="e">
        <f t="shared" si="11"/>
        <v>#N/A</v>
      </c>
      <c r="V34" s="713" t="s">
        <v>17</v>
      </c>
      <c r="W34" s="714" t="e">
        <f t="shared" si="12"/>
        <v>#N/A</v>
      </c>
      <c r="X34" s="1489"/>
      <c r="Y34" s="3511"/>
      <c r="Z34" s="1490" t="str">
        <f t="shared" si="13"/>
        <v>宗地面积</v>
      </c>
      <c r="AA34" s="1487" t="e">
        <f t="shared" si="3"/>
        <v>#N/A</v>
      </c>
      <c r="AB34" s="1487" t="e">
        <f t="shared" si="4"/>
        <v>#N/A</v>
      </c>
      <c r="AC34" s="1487" t="e">
        <f t="shared" si="5"/>
        <v>#N/A</v>
      </c>
    </row>
    <row r="35" spans="1:31" ht="15">
      <c r="A35" s="430"/>
      <c r="B35" s="380" t="s">
        <v>2328</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511"/>
      <c r="Q35" s="1486" t="str">
        <f t="shared" ref="Q35:Q40" si="14">B35</f>
        <v>宗地形状</v>
      </c>
      <c r="R35" s="713" t="s">
        <v>17</v>
      </c>
      <c r="S35" s="714">
        <f t="shared" si="10"/>
        <v>100</v>
      </c>
      <c r="T35" s="713" t="s">
        <v>17</v>
      </c>
      <c r="U35" s="714">
        <f t="shared" si="11"/>
        <v>100</v>
      </c>
      <c r="V35" s="713" t="s">
        <v>17</v>
      </c>
      <c r="W35" s="714">
        <f t="shared" si="12"/>
        <v>100</v>
      </c>
      <c r="X35" s="1489"/>
      <c r="Y35" s="3511"/>
      <c r="Z35" s="1490" t="str">
        <f t="shared" si="13"/>
        <v>宗地形状</v>
      </c>
      <c r="AA35" s="1487">
        <f t="shared" si="3"/>
        <v>1</v>
      </c>
      <c r="AB35" s="1487">
        <f t="shared" si="4"/>
        <v>1</v>
      </c>
      <c r="AC35" s="1487">
        <f t="shared" si="5"/>
        <v>1</v>
      </c>
    </row>
    <row r="36" spans="1:31" s="112" customFormat="1" ht="15">
      <c r="A36" s="431"/>
      <c r="B36" s="380" t="s">
        <v>2330</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511"/>
      <c r="Q36" s="1486" t="str">
        <f t="shared" si="14"/>
        <v>宗地开发程度</v>
      </c>
      <c r="R36" s="709" t="s">
        <v>17</v>
      </c>
      <c r="S36" s="710">
        <f t="shared" si="10"/>
        <v>100</v>
      </c>
      <c r="T36" s="709" t="s">
        <v>17</v>
      </c>
      <c r="U36" s="710">
        <f t="shared" si="11"/>
        <v>100</v>
      </c>
      <c r="V36" s="709" t="s">
        <v>17</v>
      </c>
      <c r="W36" s="710">
        <f t="shared" si="12"/>
        <v>100</v>
      </c>
      <c r="X36" s="711"/>
      <c r="Y36" s="3511"/>
      <c r="Z36" s="55" t="str">
        <f t="shared" si="13"/>
        <v>宗地开发程度</v>
      </c>
      <c r="AA36" s="712">
        <f t="shared" si="3"/>
        <v>1</v>
      </c>
      <c r="AB36" s="712">
        <f t="shared" si="4"/>
        <v>1</v>
      </c>
      <c r="AC36" s="712">
        <f t="shared" si="5"/>
        <v>1</v>
      </c>
    </row>
    <row r="37" spans="1:31" ht="15">
      <c r="A37" s="430"/>
      <c r="B37" s="380" t="s">
        <v>2331</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511" t="s">
        <v>2141</v>
      </c>
      <c r="Q37" s="1486" t="str">
        <f t="shared" si="14"/>
        <v>工程地质条件</v>
      </c>
      <c r="R37" s="713" t="s">
        <v>17</v>
      </c>
      <c r="S37" s="714">
        <f t="shared" si="10"/>
        <v>100</v>
      </c>
      <c r="T37" s="713" t="s">
        <v>17</v>
      </c>
      <c r="U37" s="714">
        <f t="shared" si="11"/>
        <v>100</v>
      </c>
      <c r="V37" s="713" t="s">
        <v>17</v>
      </c>
      <c r="W37" s="714">
        <f t="shared" si="12"/>
        <v>100</v>
      </c>
      <c r="X37" s="1489"/>
      <c r="Y37" s="3511" t="s">
        <v>2141</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511"/>
      <c r="Q38" s="1486">
        <f t="shared" si="14"/>
        <v>111</v>
      </c>
      <c r="R38" s="713" t="s">
        <v>17</v>
      </c>
      <c r="S38" s="714">
        <f t="shared" si="10"/>
        <v>100</v>
      </c>
      <c r="T38" s="713" t="s">
        <v>17</v>
      </c>
      <c r="U38" s="714">
        <f t="shared" si="11"/>
        <v>100</v>
      </c>
      <c r="V38" s="713" t="s">
        <v>17</v>
      </c>
      <c r="W38" s="714">
        <f t="shared" si="12"/>
        <v>100</v>
      </c>
      <c r="X38" s="1489"/>
      <c r="Y38" s="3511"/>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511"/>
      <c r="Q39" s="1486">
        <f t="shared" si="14"/>
        <v>111</v>
      </c>
      <c r="R39" s="713" t="s">
        <v>17</v>
      </c>
      <c r="S39" s="714">
        <f t="shared" si="10"/>
        <v>100</v>
      </c>
      <c r="T39" s="713" t="s">
        <v>17</v>
      </c>
      <c r="U39" s="714">
        <f t="shared" si="11"/>
        <v>100</v>
      </c>
      <c r="V39" s="713" t="s">
        <v>17</v>
      </c>
      <c r="W39" s="714">
        <f t="shared" si="12"/>
        <v>100</v>
      </c>
      <c r="X39" s="1489"/>
      <c r="Y39" s="3511"/>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511"/>
      <c r="Q40" s="1486">
        <f t="shared" si="14"/>
        <v>111</v>
      </c>
      <c r="R40" s="716" t="s">
        <v>17</v>
      </c>
      <c r="S40" s="717">
        <f t="shared" si="10"/>
        <v>100</v>
      </c>
      <c r="T40" s="716" t="s">
        <v>17</v>
      </c>
      <c r="U40" s="717">
        <f t="shared" si="11"/>
        <v>100</v>
      </c>
      <c r="V40" s="716" t="s">
        <v>17</v>
      </c>
      <c r="W40" s="717">
        <f t="shared" si="12"/>
        <v>100</v>
      </c>
      <c r="X40" s="718"/>
      <c r="Y40" s="3511"/>
      <c r="Z40" s="719">
        <f t="shared" si="13"/>
        <v>111</v>
      </c>
      <c r="AA40" s="1487">
        <f t="shared" si="3"/>
        <v>1</v>
      </c>
      <c r="AB40" s="1487">
        <f t="shared" si="4"/>
        <v>1</v>
      </c>
      <c r="AC40" s="1487">
        <f t="shared" si="5"/>
        <v>1</v>
      </c>
    </row>
    <row r="41" spans="1:31" ht="15">
      <c r="A41" s="437" t="s">
        <v>2296</v>
      </c>
      <c r="B41" s="2118" t="s">
        <v>2375</v>
      </c>
      <c r="C41" s="637" t="s">
        <v>1</v>
      </c>
      <c r="D41" s="439"/>
      <c r="E41" s="440"/>
      <c r="F41" s="441"/>
      <c r="G41" s="442"/>
      <c r="H41" s="443"/>
      <c r="I41" s="440"/>
      <c r="J41" s="443"/>
      <c r="K41" s="722"/>
      <c r="L41" s="2902"/>
      <c r="M41" s="2894"/>
      <c r="N41" s="2894"/>
      <c r="O41" s="2903"/>
      <c r="P41" s="3504" t="str">
        <f>A41</f>
        <v>成交单价</v>
      </c>
      <c r="Q41" s="3504"/>
      <c r="R41" s="3499">
        <f>E41</f>
        <v>0</v>
      </c>
      <c r="S41" s="3499"/>
      <c r="T41" s="3499">
        <f>G41</f>
        <v>0</v>
      </c>
      <c r="U41" s="3499"/>
      <c r="V41" s="3499">
        <f>I41</f>
        <v>0</v>
      </c>
      <c r="W41" s="3499"/>
      <c r="X41" s="698"/>
      <c r="Y41" s="720"/>
      <c r="Z41" s="698"/>
      <c r="AA41" s="698"/>
      <c r="AB41" s="698"/>
      <c r="AC41" s="698"/>
    </row>
    <row r="42" spans="1:31" ht="15.75" thickBot="1">
      <c r="A42" s="444" t="s">
        <v>2245</v>
      </c>
      <c r="B42" s="638"/>
      <c r="C42" s="447" t="e">
        <f>R43</f>
        <v>#DIV/0!</v>
      </c>
      <c r="D42" s="2488" t="s">
        <v>2635</v>
      </c>
      <c r="E42" s="447" t="e">
        <f>R42</f>
        <v>#DIV/0!</v>
      </c>
      <c r="F42" s="2489"/>
      <c r="G42" s="446" t="e">
        <f>T42</f>
        <v>#DIV/0!</v>
      </c>
      <c r="H42" s="2489"/>
      <c r="I42" s="447" t="e">
        <f>V42</f>
        <v>#DIV/0!</v>
      </c>
      <c r="J42" s="2489"/>
      <c r="K42" s="2491">
        <f>F42+H42+J42</f>
        <v>0</v>
      </c>
      <c r="L42" s="2902"/>
      <c r="M42" s="2894"/>
      <c r="N42" s="2894"/>
      <c r="O42" s="2903"/>
      <c r="P42" s="3504" t="str">
        <f>A42</f>
        <v>比较价值（元/平方米）</v>
      </c>
      <c r="Q42" s="3504"/>
      <c r="R42" s="3532" t="e">
        <f>ROUND(PRODUCT(R41,AA7:AA40),0)</f>
        <v>#DIV/0!</v>
      </c>
      <c r="S42" s="3532"/>
      <c r="T42" s="3532" t="e">
        <f>ROUND(PRODUCT(T41,AB7:AB40),0)</f>
        <v>#DIV/0!</v>
      </c>
      <c r="U42" s="3532"/>
      <c r="V42" s="3532" t="e">
        <f>ROUND(PRODUCT(V41,AC7:AC40),0)</f>
        <v>#DIV/0!</v>
      </c>
      <c r="W42" s="3532"/>
      <c r="X42" s="698"/>
      <c r="Y42" s="698"/>
      <c r="Z42" s="698"/>
      <c r="AA42" s="698"/>
      <c r="AB42" s="698"/>
      <c r="AC42" s="698"/>
    </row>
    <row r="43" spans="1:31" ht="15.75" thickBot="1">
      <c r="A43" s="448" t="s">
        <v>2246</v>
      </c>
      <c r="B43" s="449"/>
      <c r="C43" s="450" t="e">
        <f>R43</f>
        <v>#DIV/0!</v>
      </c>
      <c r="D43" s="450"/>
      <c r="E43" s="450"/>
      <c r="F43" s="450"/>
      <c r="G43" s="450"/>
      <c r="H43" s="450"/>
      <c r="I43" s="450"/>
      <c r="J43" s="450"/>
      <c r="K43" s="723"/>
      <c r="L43" s="2902"/>
      <c r="M43" s="2894"/>
      <c r="N43" s="2894"/>
      <c r="O43" s="2903"/>
      <c r="P43" s="3501" t="str">
        <f>A43</f>
        <v>估价对象XX用房的比较价值（楼面单价，元/平方米）</v>
      </c>
      <c r="Q43" s="3502"/>
      <c r="R43" s="3533" t="e">
        <f>ROUND(IF(D42="简单平均",AVERAGE(R42:W42),R42*F42+T42*H42+V42*J42),0)</f>
        <v>#DIV/0!</v>
      </c>
      <c r="S43" s="3533"/>
      <c r="T43" s="3533"/>
      <c r="U43" s="3533"/>
      <c r="V43" s="3533"/>
      <c r="W43" s="3533"/>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2247</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2248</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2249</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2334</v>
      </c>
      <c r="B50" s="640" t="s">
        <v>2335</v>
      </c>
      <c r="C50" s="2119" t="s">
        <v>2336</v>
      </c>
      <c r="D50" s="2120" t="s">
        <v>2337</v>
      </c>
      <c r="E50" s="641" t="s">
        <v>2338</v>
      </c>
      <c r="F50" s="642" t="s">
        <v>2339</v>
      </c>
      <c r="G50" s="3487" t="s">
        <v>2340</v>
      </c>
      <c r="H50" s="3534"/>
      <c r="I50" s="1490" t="s">
        <v>2376</v>
      </c>
      <c r="J50" s="1490">
        <f>项目基本情况!F35</f>
        <v>0</v>
      </c>
      <c r="K50" s="2122" t="s">
        <v>2342</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2343</v>
      </c>
      <c r="B51" s="644" t="e">
        <f>C43</f>
        <v>#DIV/0!</v>
      </c>
      <c r="C51" s="645">
        <v>1</v>
      </c>
      <c r="D51" s="1055">
        <v>1</v>
      </c>
      <c r="E51" s="645">
        <f>'数据-汇总表'!E8+'数据-汇总表'!E9</f>
        <v>36484</v>
      </c>
      <c r="F51" s="646" t="e">
        <f t="shared" ref="F51:F60" si="15">ROUND(B51*E51/10000,0)</f>
        <v>#DIV/0!</v>
      </c>
      <c r="G51" s="3486"/>
      <c r="H51" s="3504"/>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2344</v>
      </c>
      <c r="B52" s="223" t="e">
        <f>ROUND($C$43*C52*D52,0)</f>
        <v>#DIV/0!</v>
      </c>
      <c r="C52" s="175">
        <f t="shared" ref="C52:C60" si="16">IF($C$50="北京市系数",I52,J52)</f>
        <v>0</v>
      </c>
      <c r="D52" s="1056">
        <v>0.25</v>
      </c>
      <c r="E52" s="649"/>
      <c r="F52" s="646" t="e">
        <f t="shared" si="15"/>
        <v>#DIV/0!</v>
      </c>
      <c r="G52" s="3238" t="s">
        <v>2345</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2346</v>
      </c>
      <c r="B53" s="223" t="e">
        <f t="shared" ref="B53:B60" si="17">ROUND($C$43*C53*D53,0)</f>
        <v>#DIV/0!</v>
      </c>
      <c r="C53" s="175">
        <f t="shared" si="16"/>
        <v>0</v>
      </c>
      <c r="D53" s="1056">
        <v>0.25</v>
      </c>
      <c r="E53" s="649"/>
      <c r="F53" s="646" t="e">
        <f t="shared" si="15"/>
        <v>#DIV/0!</v>
      </c>
      <c r="G53" s="3239"/>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2347</v>
      </c>
      <c r="B54" s="223" t="e">
        <f t="shared" si="17"/>
        <v>#DIV/0!</v>
      </c>
      <c r="C54" s="175">
        <f t="shared" si="16"/>
        <v>0</v>
      </c>
      <c r="D54" s="1056">
        <v>0.25</v>
      </c>
      <c r="E54" s="649"/>
      <c r="F54" s="646" t="e">
        <f t="shared" si="15"/>
        <v>#DIV/0!</v>
      </c>
      <c r="G54" s="3239"/>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40"/>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2348</v>
      </c>
      <c r="B56" s="223" t="e">
        <f t="shared" si="17"/>
        <v>#DIV/0!</v>
      </c>
      <c r="C56" s="175">
        <f t="shared" si="16"/>
        <v>0</v>
      </c>
      <c r="D56" s="1056">
        <v>0.25</v>
      </c>
      <c r="E56" s="222">
        <f>'数据-汇总表'!E11</f>
        <v>0</v>
      </c>
      <c r="F56" s="646" t="e">
        <f t="shared" si="15"/>
        <v>#DIV/0!</v>
      </c>
      <c r="G56" s="2123" t="s">
        <v>2349</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2350</v>
      </c>
      <c r="B57" s="223" t="e">
        <f t="shared" si="17"/>
        <v>#DIV/0!</v>
      </c>
      <c r="C57" s="175">
        <f t="shared" si="16"/>
        <v>0</v>
      </c>
      <c r="D57" s="1056">
        <v>0.25</v>
      </c>
      <c r="E57" s="222">
        <f>'数据-汇总表'!E12</f>
        <v>0</v>
      </c>
      <c r="F57" s="646" t="e">
        <f t="shared" si="15"/>
        <v>#DIV/0!</v>
      </c>
      <c r="G57" s="1003" t="s">
        <v>2351</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2352</v>
      </c>
      <c r="B58" s="223" t="e">
        <f t="shared" si="17"/>
        <v>#DIV/0!</v>
      </c>
      <c r="C58" s="175">
        <f t="shared" si="16"/>
        <v>0</v>
      </c>
      <c r="D58" s="1056">
        <v>0.25</v>
      </c>
      <c r="E58" s="222">
        <f>'数据-汇总表'!E13</f>
        <v>7905</v>
      </c>
      <c r="F58" s="646" t="e">
        <f t="shared" si="15"/>
        <v>#DIV/0!</v>
      </c>
      <c r="G58" s="1003" t="s">
        <v>2353</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2354</v>
      </c>
      <c r="B59" s="223" t="e">
        <f t="shared" si="17"/>
        <v>#DIV/0!</v>
      </c>
      <c r="C59" s="175">
        <f t="shared" si="16"/>
        <v>0</v>
      </c>
      <c r="D59" s="1056">
        <v>0.25</v>
      </c>
      <c r="E59" s="222">
        <f>'数据-汇总表'!E14</f>
        <v>0</v>
      </c>
      <c r="F59" s="646" t="e">
        <f t="shared" si="15"/>
        <v>#DIV/0!</v>
      </c>
      <c r="G59" s="2123" t="s">
        <v>2345</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2355</v>
      </c>
      <c r="B60" s="223" t="e">
        <f t="shared" si="17"/>
        <v>#DIV/0!</v>
      </c>
      <c r="C60" s="175">
        <f t="shared" si="16"/>
        <v>0</v>
      </c>
      <c r="D60" s="1056">
        <v>0.25</v>
      </c>
      <c r="E60" s="222">
        <f>'数据-汇总表'!E15</f>
        <v>0</v>
      </c>
      <c r="F60" s="646" t="e">
        <f t="shared" si="15"/>
        <v>#DIV/0!</v>
      </c>
      <c r="G60" s="2124" t="s">
        <v>2349</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2356</v>
      </c>
      <c r="B61" s="651" t="s">
        <v>28</v>
      </c>
      <c r="C61" s="651" t="s">
        <v>29</v>
      </c>
      <c r="D61" s="651" t="s">
        <v>816</v>
      </c>
      <c r="E61" s="651">
        <f>IF(B41="楼面地价",SUM(E51:E60),'数据-汇总表'!D3)</f>
        <v>9950.6</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2" t="s">
        <v>2250</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2357</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2377</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2161</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2126</v>
      </c>
      <c r="B68" s="466"/>
      <c r="C68" s="478" t="s">
        <v>2228</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2164</v>
      </c>
      <c r="B70" s="484" t="s">
        <v>2130</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2133</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2134</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2135</v>
      </c>
      <c r="B83" s="484" t="s">
        <v>2281</v>
      </c>
      <c r="C83" s="529" t="s">
        <v>2173</v>
      </c>
      <c r="D83" s="529" t="s">
        <v>2174</v>
      </c>
      <c r="E83" s="529" t="s">
        <v>2175</v>
      </c>
      <c r="F83" s="529" t="s">
        <v>2176</v>
      </c>
      <c r="G83" s="529" t="s">
        <v>2177</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2178</v>
      </c>
      <c r="C85" s="534" t="s">
        <v>2173</v>
      </c>
      <c r="D85" s="534" t="s">
        <v>2174</v>
      </c>
      <c r="E85" s="534" t="s">
        <v>2175</v>
      </c>
      <c r="F85" s="534" t="s">
        <v>2176</v>
      </c>
      <c r="G85" s="534" t="s">
        <v>2177</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2360</v>
      </c>
      <c r="C87" s="529" t="s">
        <v>2173</v>
      </c>
      <c r="D87" s="529" t="s">
        <v>2174</v>
      </c>
      <c r="E87" s="529" t="s">
        <v>2175</v>
      </c>
      <c r="F87" s="529" t="s">
        <v>2176</v>
      </c>
      <c r="G87" s="529" t="s">
        <v>2177</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2361</v>
      </c>
      <c r="C89" s="529" t="s">
        <v>2173</v>
      </c>
      <c r="D89" s="529" t="s">
        <v>2174</v>
      </c>
      <c r="E89" s="529" t="s">
        <v>2175</v>
      </c>
      <c r="F89" s="529" t="s">
        <v>2176</v>
      </c>
      <c r="G89" s="529" t="s">
        <v>2177</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2230</v>
      </c>
      <c r="C91" s="529" t="s">
        <v>2173</v>
      </c>
      <c r="D91" s="529" t="s">
        <v>2174</v>
      </c>
      <c r="E91" s="529" t="s">
        <v>2175</v>
      </c>
      <c r="F91" s="529" t="s">
        <v>2176</v>
      </c>
      <c r="G91" s="529" t="s">
        <v>2177</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2378</v>
      </c>
      <c r="C93" s="615" t="s">
        <v>2251</v>
      </c>
      <c r="D93" s="615" t="s">
        <v>2252</v>
      </c>
      <c r="E93" s="615" t="s">
        <v>2253</v>
      </c>
      <c r="F93" s="615" t="s">
        <v>2254</v>
      </c>
      <c r="G93" s="615" t="s">
        <v>2255</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2362</v>
      </c>
      <c r="D95" s="495" t="s">
        <v>2363</v>
      </c>
      <c r="E95" s="495" t="s">
        <v>2364</v>
      </c>
      <c r="F95" s="495" t="s">
        <v>2365</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2267</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2326</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2139</v>
      </c>
      <c r="B107" s="484" t="s">
        <v>2366</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2367</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2369</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2370</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2379</v>
      </c>
      <c r="B1" s="202"/>
      <c r="C1" s="206" t="s">
        <v>2380</v>
      </c>
      <c r="D1" s="347">
        <f>SUM(D29:D30,D33:D39)</f>
        <v>0</v>
      </c>
      <c r="E1" s="2131"/>
      <c r="F1" s="2131"/>
      <c r="G1" s="2131"/>
      <c r="H1" s="2131"/>
      <c r="I1" s="2131"/>
      <c r="J1" s="2131"/>
      <c r="K1" s="1232"/>
      <c r="L1" s="2132" t="s">
        <v>2381</v>
      </c>
      <c r="M1" s="974">
        <f>SUMPRODUCT((区片价!B5:B9=I2)*(区片价!C3:F3=E2)*(区片价!C5:F9))</f>
        <v>0</v>
      </c>
      <c r="N1" s="977">
        <f>SUMPRODUCT((因素修正幅度!B5:B9=I2)*(因素修正幅度!C3:F3=E2)*(因素修正幅度!C5:F9))</f>
        <v>0</v>
      </c>
      <c r="O1" s="2133"/>
      <c r="P1" s="2133"/>
      <c r="Q1" s="1232"/>
      <c r="R1" s="1326" t="s">
        <v>2382</v>
      </c>
      <c r="S1" s="1326" t="s">
        <v>2383</v>
      </c>
      <c r="T1" s="1326" t="s">
        <v>2384</v>
      </c>
      <c r="U1" s="1326" t="s">
        <v>2385</v>
      </c>
      <c r="V1" s="1326" t="s">
        <v>2386</v>
      </c>
      <c r="W1" s="1330"/>
      <c r="X1" s="1330"/>
      <c r="Y1" s="1330"/>
      <c r="Z1" s="1330"/>
      <c r="AA1" s="1330"/>
      <c r="AB1" s="1330"/>
      <c r="AC1" s="1331"/>
      <c r="AD1" s="1332"/>
      <c r="AE1" s="1332"/>
      <c r="AF1" s="1332"/>
      <c r="AG1" s="1332"/>
      <c r="AH1" s="1332"/>
      <c r="AI1" s="1332"/>
      <c r="AJ1" s="1333"/>
    </row>
    <row r="2" spans="1:36" ht="15.75">
      <c r="A2" s="206" t="s">
        <v>2387</v>
      </c>
      <c r="B2" s="209" t="e">
        <f>C26</f>
        <v>#DIV/0!</v>
      </c>
      <c r="C2" s="2135" t="s">
        <v>2388</v>
      </c>
      <c r="D2" s="2136" t="s">
        <v>2389</v>
      </c>
      <c r="E2" s="2137"/>
      <c r="F2" s="2136" t="s">
        <v>2390</v>
      </c>
      <c r="G2" s="2138" t="str">
        <f>IF(E2="商业",项目基本情况!B37,IF(E2="办公",项目基本情况!C37,IF(E2="住宅",项目基本情况!D37,项目基本情况!E37)))</f>
        <v>五级</v>
      </c>
      <c r="H2" s="2136" t="s">
        <v>2391</v>
      </c>
      <c r="I2" s="2138" t="str">
        <f>IF(E2="商业",项目基本情况!B38,IF(E2="办公",项目基本情况!C38,IF(E2="住宅",项目基本情况!D38,项目基本情况!E38)))</f>
        <v>Ⅴ-17</v>
      </c>
      <c r="J2" s="2139"/>
      <c r="K2" s="1232"/>
      <c r="L2" s="2140" t="s">
        <v>2392</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2393</v>
      </c>
      <c r="B3" s="209" t="e">
        <f>ROUND(B2*10000/D1,0)</f>
        <v>#DIV/0!</v>
      </c>
      <c r="C3" s="2135" t="s">
        <v>2394</v>
      </c>
      <c r="D3" s="2136" t="s">
        <v>2395</v>
      </c>
      <c r="E3" s="2141"/>
      <c r="F3" s="2142" t="s">
        <v>2396</v>
      </c>
      <c r="G3" s="836">
        <f>IF(F3="宗地容积率",'数据-汇总表'!I4,IF(F3="估价对象容积率",'数据-汇总表'!I6,'数据-汇总表'!I7))</f>
        <v>3.42</v>
      </c>
      <c r="H3" s="174" t="s">
        <v>2397</v>
      </c>
      <c r="I3" s="861"/>
      <c r="J3" s="2139" t="s">
        <v>2398</v>
      </c>
      <c r="K3" s="1232"/>
      <c r="L3" s="2140" t="s">
        <v>2399</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8"/>
      <c r="B4" s="3559"/>
      <c r="C4" s="3559"/>
      <c r="D4" s="3560"/>
      <c r="E4" s="3560"/>
      <c r="F4" s="3560"/>
      <c r="G4" s="3560"/>
      <c r="H4" s="3560"/>
      <c r="I4" s="3560"/>
      <c r="J4" s="3561"/>
      <c r="K4" s="1232"/>
      <c r="L4" s="2140" t="s">
        <v>2400</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2401</v>
      </c>
      <c r="C5" s="837" t="e">
        <f>ROUND(IF(E2="商业",C6*C7+C16,(IF(E2="住宅",C6*C12+C16,C6+C16))),0)</f>
        <v>#DIV/0!</v>
      </c>
      <c r="D5" s="1473" t="e">
        <f>ROUND(C6+C16,0)</f>
        <v>#DIV/0!</v>
      </c>
      <c r="E5" s="1473"/>
      <c r="F5" s="2145"/>
      <c r="G5" s="2146"/>
      <c r="H5" s="2146"/>
      <c r="I5" s="2146"/>
      <c r="J5" s="2147"/>
      <c r="K5" s="2148"/>
      <c r="L5" s="2140" t="s">
        <v>2402</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2403</v>
      </c>
      <c r="B6" s="2154" t="s">
        <v>2404</v>
      </c>
      <c r="C6" s="838">
        <f>SUMIF(L1:L12,G2,M1:M12)</f>
        <v>0</v>
      </c>
      <c r="D6" s="2155" t="s">
        <v>2405</v>
      </c>
      <c r="E6" s="2156"/>
      <c r="F6" s="2156"/>
      <c r="G6" s="2157"/>
      <c r="H6" s="2157"/>
      <c r="I6" s="2157"/>
      <c r="J6" s="2158"/>
      <c r="K6" s="1518"/>
      <c r="L6" s="2140" t="s">
        <v>2406</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9" t="str">
        <f>IF(E2="商业",IF(C8="不临58条商业街","",2),"")</f>
        <v/>
      </c>
      <c r="B7" s="2159" t="s">
        <v>2407</v>
      </c>
      <c r="C7" s="839" t="e">
        <f>IF(C8="不临58条商业街",1,ROUND(1+(1.6*E8+1.2*E9+0.8*E10+0.4*E11)*C9,4))</f>
        <v>#DIV/0!</v>
      </c>
      <c r="D7" s="2160" t="s">
        <v>2408</v>
      </c>
      <c r="E7" s="862"/>
      <c r="F7" s="2161"/>
      <c r="G7" s="2162"/>
      <c r="H7" s="2162"/>
      <c r="I7" s="2162"/>
      <c r="J7" s="2163"/>
      <c r="K7" s="1518"/>
      <c r="L7" s="2140" t="s">
        <v>2409</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2410</v>
      </c>
      <c r="X7" s="1328" t="str">
        <f>G2</f>
        <v>五级</v>
      </c>
      <c r="Y7" s="1328" t="s">
        <v>2411</v>
      </c>
      <c r="Z7" s="1329">
        <f>G3</f>
        <v>3.42</v>
      </c>
      <c r="AA7" s="1330"/>
      <c r="AB7" s="1330"/>
      <c r="AC7" s="1331"/>
      <c r="AD7" s="1332"/>
      <c r="AE7" s="1332"/>
      <c r="AF7" s="1332"/>
      <c r="AG7" s="1332"/>
      <c r="AH7" s="1332"/>
      <c r="AI7" s="1332"/>
      <c r="AJ7" s="1333"/>
    </row>
    <row r="8" spans="1:36" ht="15">
      <c r="A8" s="3562"/>
      <c r="B8" s="174" t="s">
        <v>2412</v>
      </c>
      <c r="C8" s="2164"/>
      <c r="D8" s="840" t="s">
        <v>139</v>
      </c>
      <c r="E8" s="841" t="e">
        <f>ROUND(C11/E7,4)</f>
        <v>#DIV/0!</v>
      </c>
      <c r="F8" s="2165" t="s">
        <v>2413</v>
      </c>
      <c r="G8" s="2166"/>
      <c r="H8" s="2166"/>
      <c r="I8" s="2166"/>
      <c r="J8" s="2167"/>
      <c r="K8" s="1232"/>
      <c r="L8" s="2140" t="s">
        <v>2414</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55" t="s">
        <v>2415</v>
      </c>
      <c r="X8" s="3556"/>
      <c r="Y8" s="1334" t="s">
        <v>2416</v>
      </c>
      <c r="Z8" s="1334" t="s">
        <v>2417</v>
      </c>
      <c r="AA8" s="1334" t="s">
        <v>2418</v>
      </c>
      <c r="AB8" s="1334" t="s">
        <v>2419</v>
      </c>
      <c r="AC8" s="1334" t="s">
        <v>2420</v>
      </c>
      <c r="AD8" s="1334" t="s">
        <v>2421</v>
      </c>
      <c r="AE8" s="1334" t="s">
        <v>2422</v>
      </c>
      <c r="AF8" s="1334" t="s">
        <v>2423</v>
      </c>
      <c r="AG8" s="1334" t="s">
        <v>2424</v>
      </c>
      <c r="AH8" s="1334" t="s">
        <v>2425</v>
      </c>
      <c r="AI8" s="1334" t="s">
        <v>2426</v>
      </c>
      <c r="AJ8" s="1334" t="s">
        <v>2427</v>
      </c>
    </row>
    <row r="9" spans="1:36" ht="15">
      <c r="A9" s="3562"/>
      <c r="B9" s="174" t="s">
        <v>2428</v>
      </c>
      <c r="C9" s="842">
        <f>SUMIF(修正!C71:C138,C8,修正!E71:E138)</f>
        <v>0</v>
      </c>
      <c r="D9" s="175" t="s">
        <v>140</v>
      </c>
      <c r="E9" s="175" t="e">
        <f>ROUND(C11/E7,4)</f>
        <v>#DIV/0!</v>
      </c>
      <c r="F9" s="2165" t="s">
        <v>2429</v>
      </c>
      <c r="G9" s="2166"/>
      <c r="H9" s="2166"/>
      <c r="I9" s="2166"/>
      <c r="J9" s="2167"/>
      <c r="K9" s="1232"/>
      <c r="L9" s="2140" t="s">
        <v>2430</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7" t="s">
        <v>2431</v>
      </c>
      <c r="X9" s="1335" t="s">
        <v>2432</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2"/>
      <c r="B10" s="174" t="s">
        <v>2433</v>
      </c>
      <c r="C10" s="175">
        <f>SUMIF(修正!C71:C138,C8,修正!F71:F138)</f>
        <v>0</v>
      </c>
      <c r="D10" s="175" t="s">
        <v>141</v>
      </c>
      <c r="E10" s="175" t="e">
        <f>ROUND(C11/E7,4)</f>
        <v>#DIV/0!</v>
      </c>
      <c r="F10" s="2165" t="s">
        <v>2434</v>
      </c>
      <c r="G10" s="2166"/>
      <c r="H10" s="2166"/>
      <c r="I10" s="2166"/>
      <c r="J10" s="2167"/>
      <c r="K10" s="1232"/>
      <c r="L10" s="2140" t="s">
        <v>2435</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7"/>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2"/>
      <c r="B11" s="2168" t="s">
        <v>2436</v>
      </c>
      <c r="C11" s="843">
        <f>C10/4</f>
        <v>0</v>
      </c>
      <c r="D11" s="843" t="s">
        <v>142</v>
      </c>
      <c r="E11" s="843" t="e">
        <f>ROUND(C11/E7,4)</f>
        <v>#DIV/0!</v>
      </c>
      <c r="F11" s="2169" t="s">
        <v>2437</v>
      </c>
      <c r="G11" s="2170"/>
      <c r="H11" s="2170"/>
      <c r="I11" s="2170"/>
      <c r="J11" s="2171"/>
      <c r="K11" s="1232"/>
      <c r="L11" s="2140" t="s">
        <v>2438</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7" t="s">
        <v>2439</v>
      </c>
      <c r="X11" s="1338" t="s">
        <v>2440</v>
      </c>
      <c r="Y11" s="1339">
        <f>$G$3</f>
        <v>3.42</v>
      </c>
      <c r="Z11" s="1339">
        <f t="shared" ref="Z11:AJ11" si="3">$G$3</f>
        <v>3.42</v>
      </c>
      <c r="AA11" s="1339">
        <f t="shared" si="3"/>
        <v>3.42</v>
      </c>
      <c r="AB11" s="1339">
        <f t="shared" si="3"/>
        <v>3.42</v>
      </c>
      <c r="AC11" s="1339">
        <f t="shared" si="3"/>
        <v>3.42</v>
      </c>
      <c r="AD11" s="1339">
        <f t="shared" si="3"/>
        <v>3.42</v>
      </c>
      <c r="AE11" s="1339">
        <f t="shared" si="3"/>
        <v>3.42</v>
      </c>
      <c r="AF11" s="1339">
        <f t="shared" si="3"/>
        <v>3.42</v>
      </c>
      <c r="AG11" s="1339">
        <f t="shared" si="3"/>
        <v>3.42</v>
      </c>
      <c r="AH11" s="1339">
        <f t="shared" si="3"/>
        <v>3.42</v>
      </c>
      <c r="AI11" s="1339">
        <f t="shared" si="3"/>
        <v>3.42</v>
      </c>
      <c r="AJ11" s="1339">
        <f t="shared" si="3"/>
        <v>3.42</v>
      </c>
    </row>
    <row r="12" spans="1:36" ht="25.5" thickBot="1">
      <c r="A12" s="3539" t="s">
        <v>2441</v>
      </c>
      <c r="B12" s="2172" t="s">
        <v>2442</v>
      </c>
      <c r="C12" s="839">
        <f>ROUND(C15*D15*E15*F15*G15*H15*I15*J15,4)</f>
        <v>1</v>
      </c>
      <c r="D12" s="2173" t="s">
        <v>2443</v>
      </c>
      <c r="E12" s="2174"/>
      <c r="F12" s="2174"/>
      <c r="G12" s="2175"/>
      <c r="H12" s="2175"/>
      <c r="I12" s="2175"/>
      <c r="J12" s="2176"/>
      <c r="K12" s="1232"/>
      <c r="L12" s="2177" t="s">
        <v>2444</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7"/>
      <c r="X12" s="1340" t="s">
        <v>2445</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3"/>
      <c r="B13" s="2178" t="s">
        <v>2446</v>
      </c>
      <c r="C13" s="2179" t="s">
        <v>2447</v>
      </c>
      <c r="D13" s="1484" t="s">
        <v>2448</v>
      </c>
      <c r="E13" s="1484" t="s">
        <v>2449</v>
      </c>
      <c r="F13" s="30" t="s">
        <v>2450</v>
      </c>
      <c r="G13" s="2180" t="s">
        <v>2451</v>
      </c>
      <c r="H13" s="2180" t="s">
        <v>2451</v>
      </c>
      <c r="I13" s="2180" t="s">
        <v>2451</v>
      </c>
      <c r="J13" s="2181" t="s">
        <v>2451</v>
      </c>
      <c r="K13" s="1232"/>
      <c r="L13" s="1232"/>
      <c r="M13" s="1232"/>
      <c r="N13" s="1232"/>
      <c r="O13" s="1232"/>
      <c r="P13" s="1232"/>
      <c r="Q13" s="1232"/>
      <c r="R13" s="1326">
        <v>12</v>
      </c>
      <c r="S13" s="1327"/>
      <c r="T13" s="1326" t="e">
        <f t="shared" si="0"/>
        <v>#DIV/0!</v>
      </c>
      <c r="U13" s="1327"/>
      <c r="V13" s="1326" t="e">
        <f t="shared" si="1"/>
        <v>#DIV/0!</v>
      </c>
      <c r="W13" s="3557"/>
      <c r="X13" s="1340"/>
      <c r="Y13" s="1337">
        <f>(-0.163*(Y12^2)-0.59*Y12+7617)*(10^(-4))/Y11</f>
        <v>0.22271929824561404</v>
      </c>
      <c r="Z13" s="1337">
        <f t="shared" ref="Z13:AJ13" si="5">(-0.163*(Z12^2)-0.59*Z12+7617)*(10^(-4))/Z11</f>
        <v>0.22271929824561404</v>
      </c>
      <c r="AA13" s="1337">
        <f t="shared" si="5"/>
        <v>0.22271929824561404</v>
      </c>
      <c r="AB13" s="1337">
        <f t="shared" si="5"/>
        <v>0.22271929824561404</v>
      </c>
      <c r="AC13" s="1337">
        <f t="shared" si="5"/>
        <v>0.22271929824561404</v>
      </c>
      <c r="AD13" s="1337">
        <f t="shared" si="5"/>
        <v>0.22271929824561404</v>
      </c>
      <c r="AE13" s="1337">
        <f t="shared" si="5"/>
        <v>0.22271929824561404</v>
      </c>
      <c r="AF13" s="1337">
        <f t="shared" si="5"/>
        <v>0.22271929824561404</v>
      </c>
      <c r="AG13" s="1337">
        <f t="shared" si="5"/>
        <v>0.22271929824561404</v>
      </c>
      <c r="AH13" s="1337">
        <f t="shared" si="5"/>
        <v>0.22271929824561404</v>
      </c>
      <c r="AI13" s="1337">
        <f t="shared" si="5"/>
        <v>0.22271929824561404</v>
      </c>
      <c r="AJ13" s="1337">
        <f t="shared" si="5"/>
        <v>0.22271929824561404</v>
      </c>
    </row>
    <row r="14" spans="1:36" ht="15">
      <c r="A14" s="3563"/>
      <c r="B14" s="2182"/>
      <c r="C14" s="2183"/>
      <c r="D14" s="2184"/>
      <c r="E14" s="2184"/>
      <c r="F14" s="2185"/>
      <c r="G14" s="2186" t="s">
        <v>2452</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4"/>
      <c r="B15" s="2190" t="s">
        <v>2453</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39" t="s">
        <v>2458</v>
      </c>
      <c r="B16" s="2159" t="s">
        <v>2459</v>
      </c>
      <c r="C16" s="2321" t="e">
        <f>ROUND(IF(F17="与级别开发程度一致",0,(G17-E17)/C17),0)</f>
        <v>#DIV/0!</v>
      </c>
      <c r="D16" s="3552" t="s">
        <v>2463</v>
      </c>
      <c r="E16" s="3553"/>
      <c r="F16" s="3552" t="s">
        <v>2460</v>
      </c>
      <c r="G16" s="3553"/>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40"/>
      <c r="B17" s="2332" t="s">
        <v>2462</v>
      </c>
      <c r="C17" s="2333">
        <f>SUMPRODUCT((修正!A2:A7=E2)*(修正!B1:M1=G2)*(修正!B2:M7))</f>
        <v>0</v>
      </c>
      <c r="D17" s="192"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2465</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2466</v>
      </c>
      <c r="C19" s="844" t="e">
        <f>ROUND(IF(H19="按公示增长率计算",SUMPRODUCT((地价!A3:A37=YEAR(G19)&amp;"-"&amp;ROUNDUP(MONTH(G19)/3,0))*(地价!X2:AB2=E2)*(地价!X3:AB37)),IF(H19="地价指数",M20/M19,(1+I19)^O19)),4)</f>
        <v>#VALUE!</v>
      </c>
      <c r="D19" s="2201" t="s">
        <v>2467</v>
      </c>
      <c r="E19" s="845">
        <v>41640</v>
      </c>
      <c r="F19" s="2201" t="s">
        <v>2468</v>
      </c>
      <c r="G19" s="846">
        <f>'数据-取费表'!B2</f>
        <v>44692</v>
      </c>
      <c r="H19" s="2202"/>
      <c r="I19" s="847" t="str">
        <f>IF(H19="季度增幅（自定义）",SUMIF(N21:N24,E2,O21:O24),"")</f>
        <v/>
      </c>
      <c r="J19" s="2199"/>
      <c r="K19" s="1239"/>
      <c r="L19" s="2203" t="s">
        <v>2469</v>
      </c>
      <c r="M19" s="1448">
        <f>ROUND(SUMIF(地价!B2:F2,E2,地价!B37:F37),0)</f>
        <v>0</v>
      </c>
      <c r="N19" s="2204" t="s">
        <v>2470</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2471</v>
      </c>
      <c r="C20" s="849" t="e">
        <f>ROUND(POWER(1+G20,J20-I20)*(POWER(1+G20,I20)-1)/(POWER(1+G20,J20)-1),4)</f>
        <v>#DIV/0!</v>
      </c>
      <c r="D20" s="2208" t="s">
        <v>2472</v>
      </c>
      <c r="E20" s="1455">
        <f>存贷款利率!E20/100</f>
        <v>4.3499999999999997E-2</v>
      </c>
      <c r="F20" s="2208" t="s">
        <v>2464</v>
      </c>
      <c r="G20" s="853">
        <f>SUMIF(M26:P26,E2,M28:P28)</f>
        <v>0</v>
      </c>
      <c r="H20" s="2208" t="s">
        <v>2473</v>
      </c>
      <c r="I20" s="854" t="e">
        <f>SUMIF('数据-取费表'!C6:C15,E2,'数据-取费表'!F6:F15)/COUNTIF('数据-取费表'!C6:C15,E2)</f>
        <v>#DIV/0!</v>
      </c>
      <c r="J20" s="855">
        <f>IF(E2="住宅",70,IF(E2="商业",40,50))</f>
        <v>50</v>
      </c>
      <c r="K20" s="1239"/>
      <c r="L20" s="2209" t="s">
        <v>2474</v>
      </c>
      <c r="M20" s="1449">
        <f>ROUND(SUMPRODUCT((地价!A4:A37=YEAR(G19)&amp;"-"&amp;ROUNDUP(MONTH(G19)/3,0))*(地价!B2:F2=E2)*(地价!B4:F37)),0)</f>
        <v>0</v>
      </c>
      <c r="N20" s="2210" t="s">
        <v>2475</v>
      </c>
      <c r="O20" s="2211" t="s">
        <v>2476</v>
      </c>
      <c r="P20" s="2212" t="s">
        <v>2477</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2478</v>
      </c>
      <c r="C21" s="856">
        <f>IF(B21="容积率修正",IF(G3&lt;=10,D22,J22),C23)</f>
        <v>0</v>
      </c>
      <c r="D21" s="2215"/>
      <c r="E21" s="2215"/>
      <c r="F21" s="2215"/>
      <c r="G21" s="2215"/>
      <c r="H21" s="2215"/>
      <c r="I21" s="2215"/>
      <c r="J21" s="2216"/>
      <c r="K21" s="1239"/>
      <c r="L21" s="2968"/>
      <c r="M21" s="2968"/>
      <c r="N21" s="2217" t="s">
        <v>2479</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2480</v>
      </c>
      <c r="B22" s="2218" t="s">
        <v>2481</v>
      </c>
      <c r="C22" s="1486" t="s">
        <v>2482</v>
      </c>
      <c r="D22" s="1486">
        <f>IF(E22=G22,F22,IF(G3&lt;=10,ROUND(F22+(H22-F22)*(G3-E22)/(G22-E22),4),"——"))</f>
        <v>0.14269999999999999</v>
      </c>
      <c r="E22" s="836">
        <f>ROUNDDOWN(G3,1)</f>
        <v>3.4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0.71330000000000005</v>
      </c>
      <c r="I22" s="1486" t="s">
        <v>155</v>
      </c>
      <c r="J22" s="857" t="str">
        <f>IF(G3&gt;10,D113,"——")</f>
        <v>——</v>
      </c>
      <c r="K22" s="1239"/>
      <c r="L22" s="2968"/>
      <c r="M22" s="2968"/>
      <c r="N22" s="2217" t="s">
        <v>2483</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2484</v>
      </c>
      <c r="B23" s="2219" t="s">
        <v>2485</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2486</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2487</v>
      </c>
      <c r="C24" s="844">
        <f>SUMIF(A45:A88,E2,B45:B88)</f>
        <v>0</v>
      </c>
      <c r="D24" s="2198"/>
      <c r="E24" s="2225"/>
      <c r="F24" s="2225"/>
      <c r="G24" s="2225"/>
      <c r="H24" s="2225"/>
      <c r="I24" s="2225"/>
      <c r="J24" s="2226"/>
      <c r="K24" s="1239"/>
      <c r="L24" s="2968"/>
      <c r="M24" s="2968"/>
      <c r="N24" s="2227" t="s">
        <v>2488</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2489</v>
      </c>
      <c r="C25" s="850"/>
      <c r="D25" s="2162"/>
      <c r="E25" s="2162"/>
      <c r="F25" s="2229"/>
      <c r="G25" s="2162"/>
      <c r="H25" s="2162"/>
      <c r="I25" s="2162"/>
      <c r="J25" s="2163"/>
      <c r="K25" s="1232"/>
      <c r="L25" s="2133"/>
      <c r="M25" s="2133"/>
      <c r="N25" s="2963" t="s">
        <v>2490</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2491</v>
      </c>
      <c r="C26" s="2492" t="e">
        <f>IF(B21="容积率修正",E29+SUM(E33:E39),SUM(V2:V16)+SUM(E33:E39))</f>
        <v>#DIV/0!</v>
      </c>
      <c r="D26" s="2231"/>
      <c r="E26" s="2187"/>
      <c r="F26" s="2232"/>
      <c r="G26" s="2187"/>
      <c r="H26" s="2187"/>
      <c r="I26" s="2187"/>
      <c r="J26" s="2233"/>
      <c r="K26" s="1232"/>
      <c r="L26" s="2966" t="s">
        <v>2389</v>
      </c>
      <c r="M26" s="2160" t="s">
        <v>2454</v>
      </c>
      <c r="N26" s="2160" t="s">
        <v>2455</v>
      </c>
      <c r="O26" s="2160" t="s">
        <v>2456</v>
      </c>
      <c r="P26" s="2967" t="s">
        <v>2457</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2492</v>
      </c>
      <c r="C27" s="851" t="e">
        <f>E30+SUM(I33:I39)</f>
        <v>#DIV/0!</v>
      </c>
      <c r="D27" s="2235"/>
      <c r="E27" s="2236"/>
      <c r="F27" s="2237"/>
      <c r="G27" s="2236"/>
      <c r="H27" s="2236"/>
      <c r="I27" s="2236"/>
      <c r="J27" s="2238"/>
      <c r="K27" s="1232"/>
      <c r="L27" s="2193" t="s">
        <v>2461</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2493</v>
      </c>
      <c r="C28" s="2241" t="s">
        <v>2494</v>
      </c>
      <c r="D28" s="2241" t="s">
        <v>2495</v>
      </c>
      <c r="E28" s="2242" t="s">
        <v>2496</v>
      </c>
      <c r="F28" s="2243"/>
      <c r="G28" s="2175"/>
      <c r="H28" s="2175"/>
      <c r="I28" s="2175"/>
      <c r="J28" s="2176"/>
      <c r="K28" s="1232"/>
      <c r="L28" s="2194" t="s">
        <v>2464</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2497</v>
      </c>
      <c r="C29" s="179" t="e">
        <f>ROUND(C5*C18*C19*C20*C21*C24,0)</f>
        <v>#DIV/0!</v>
      </c>
      <c r="D29" s="2246"/>
      <c r="E29" s="859" t="e">
        <f>ROUND(C29*D29/10000,0)</f>
        <v>#DIV/0!</v>
      </c>
      <c r="F29" s="2247" t="s">
        <v>2498</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2499</v>
      </c>
      <c r="C30" s="192" t="e">
        <f>ROUND(IF(E2="工业",C29*M39,C29*M38),0)</f>
        <v>#DIV/0!</v>
      </c>
      <c r="D30" s="2252"/>
      <c r="E30" s="859" t="e">
        <f>ROUND(C30*D30/10000,0)</f>
        <v>#DIV/0!</v>
      </c>
      <c r="F30" s="2253" t="s">
        <v>2500</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2501</v>
      </c>
      <c r="C31" s="2258" t="s">
        <v>2502</v>
      </c>
      <c r="D31" s="2175"/>
      <c r="E31" s="2258"/>
      <c r="F31" s="2258"/>
      <c r="G31" s="2173" t="s">
        <v>2503</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2494</v>
      </c>
      <c r="D32" s="454" t="s">
        <v>2495</v>
      </c>
      <c r="E32" s="454" t="s">
        <v>2496</v>
      </c>
      <c r="F32" s="347" t="s">
        <v>2504</v>
      </c>
      <c r="G32" s="2261" t="s">
        <v>2494</v>
      </c>
      <c r="H32" s="2261" t="s">
        <v>2495</v>
      </c>
      <c r="I32" s="2261" t="s">
        <v>2496</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9"/>
      <c r="B33" s="2262" t="s">
        <v>2505</v>
      </c>
      <c r="C33" s="179" t="e">
        <f>ROUND(D5*C19*C20*C24*F33,0)</f>
        <v>#DIV/0!</v>
      </c>
      <c r="D33" s="2246"/>
      <c r="E33" s="175" t="e">
        <f>ROUND(C33*D33/10000,0)</f>
        <v>#DIV/0!</v>
      </c>
      <c r="F33" s="175">
        <f>SUMIF(修正!A57:A68,G2,修正!B57:B68)</f>
        <v>0.6</v>
      </c>
      <c r="G33" s="175" t="e">
        <f t="shared" ref="G33" si="6">ROUND(IF(E2="工业",C33*$M$39,C33*$M$38),0)</f>
        <v>#DIV/0!</v>
      </c>
      <c r="H33" s="175">
        <f>D33</f>
        <v>0</v>
      </c>
      <c r="I33" s="175" t="e">
        <f>ROUND(G33*H33/10000,0)</f>
        <v>#DIV/0!</v>
      </c>
      <c r="J33" s="3554" t="s">
        <v>2807</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0"/>
      <c r="B34" s="2179" t="s">
        <v>2506</v>
      </c>
      <c r="C34" s="179" t="e">
        <f>ROUND(D5*C19*C20*C24*F34,0)</f>
        <v>#DIV/0!</v>
      </c>
      <c r="D34" s="2246"/>
      <c r="E34" s="175" t="e">
        <f t="shared" ref="E34:E39" si="7">ROUND(C34*D34/10000,0)</f>
        <v>#DIV/0!</v>
      </c>
      <c r="F34" s="175">
        <f>SUMIF(修正!A57:A68,G2,修正!C57:C68)</f>
        <v>0.3</v>
      </c>
      <c r="G34" s="175" t="e">
        <f>ROUND(IF(E2="工业",C34*$M$39,C34*$M$38),0)</f>
        <v>#DIV/0!</v>
      </c>
      <c r="H34" s="175">
        <f t="shared" ref="H34:H39" si="8">D34</f>
        <v>0</v>
      </c>
      <c r="I34" s="175" t="e">
        <f t="shared" ref="I34:I39" si="9">ROUND(G34*H34/10000,0)</f>
        <v>#DIV/0!</v>
      </c>
      <c r="J34" s="3550"/>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0"/>
      <c r="B35" s="2179" t="s">
        <v>2507</v>
      </c>
      <c r="C35" s="179" t="e">
        <f>ROUND(D5*C19*C20*C24*F35,0)</f>
        <v>#DIV/0!</v>
      </c>
      <c r="D35" s="2246"/>
      <c r="E35" s="175" t="e">
        <f t="shared" si="7"/>
        <v>#DIV/0!</v>
      </c>
      <c r="F35" s="175">
        <f>SUMIF(修正!A57:A68,G2,修正!D57:D68)</f>
        <v>0.25</v>
      </c>
      <c r="G35" s="175" t="e">
        <f>ROUND(IF(E2="工业",C35*$M$39,C35*$M$38),0)</f>
        <v>#DIV/0!</v>
      </c>
      <c r="H35" s="175">
        <f t="shared" si="8"/>
        <v>0</v>
      </c>
      <c r="I35" s="175" t="e">
        <f t="shared" si="9"/>
        <v>#DIV/0!</v>
      </c>
      <c r="J35" s="3550"/>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1"/>
      <c r="B36" s="2179" t="s">
        <v>2508</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51"/>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2509</v>
      </c>
      <c r="C37" s="175" t="e">
        <f>ROUND(D5*C19*C20*C24*F37,0)</f>
        <v>#DIV/0!</v>
      </c>
      <c r="D37" s="2246"/>
      <c r="E37" s="175" t="e">
        <f t="shared" si="7"/>
        <v>#DIV/0!</v>
      </c>
      <c r="F37" s="179">
        <f>SUMIF(修正!A57:A68,G2,修正!E57:E68)</f>
        <v>0.25</v>
      </c>
      <c r="G37" s="175" t="e">
        <f>ROUND(IF(E2="工业",C37*$M$39,C37*$M$38),0)</f>
        <v>#DIV/0!</v>
      </c>
      <c r="H37" s="175">
        <f t="shared" si="8"/>
        <v>0</v>
      </c>
      <c r="I37" s="175" t="e">
        <f t="shared" si="9"/>
        <v>#DIV/0!</v>
      </c>
      <c r="J37" s="2263"/>
      <c r="K37" s="1232"/>
      <c r="L37" s="2265" t="s">
        <v>2510</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2511</v>
      </c>
      <c r="C38" s="175" t="e">
        <f>ROUND(D5*C19*C41*C24*F38,0)</f>
        <v>#DIV/0!</v>
      </c>
      <c r="D38" s="2246"/>
      <c r="E38" s="175" t="e">
        <f t="shared" si="7"/>
        <v>#DIV/0!</v>
      </c>
      <c r="F38" s="179">
        <f>SUMIF(修正!A57:A68,G2,修正!F57:F68)</f>
        <v>0.25</v>
      </c>
      <c r="G38" s="175" t="e">
        <f>ROUND(IF(E2="工业",C38*$M$39,C38*$M$38),0)</f>
        <v>#DIV/0!</v>
      </c>
      <c r="H38" s="175">
        <f t="shared" si="8"/>
        <v>0</v>
      </c>
      <c r="I38" s="175" t="e">
        <f t="shared" si="9"/>
        <v>#DIV/0!</v>
      </c>
      <c r="J38" s="2263"/>
      <c r="K38" s="1232"/>
      <c r="L38" s="1555" t="s">
        <v>2512</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2513</v>
      </c>
      <c r="C39" s="192" t="e">
        <f>ROUND(D5*C19*C41*C24*F39,0)</f>
        <v>#DIV/0!</v>
      </c>
      <c r="D39" s="2252"/>
      <c r="E39" s="192" t="e">
        <f t="shared" si="7"/>
        <v>#DIV/0!</v>
      </c>
      <c r="F39" s="852">
        <f>SUMIF(修正!A57:A68,G2,修正!G57:G68)</f>
        <v>0.15</v>
      </c>
      <c r="G39" s="192" t="e">
        <f>ROUND(IF(E2="工业",C39*$M$39,C39*$M$38),0)</f>
        <v>#DIV/0!</v>
      </c>
      <c r="H39" s="192">
        <f t="shared" si="8"/>
        <v>0</v>
      </c>
      <c r="I39" s="192" t="e">
        <f t="shared" si="9"/>
        <v>#DIV/0!</v>
      </c>
      <c r="J39" s="2269"/>
      <c r="K39" s="1232"/>
      <c r="L39" s="2270" t="s">
        <v>2457</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2618</v>
      </c>
      <c r="C41" s="347" t="e">
        <f>ROUND(POWER(1+E41,H41-G41)*(POWER(1+E41,G41)-1)/(POWER(1+E41,H41)-1),4)</f>
        <v>#DIV/0!</v>
      </c>
      <c r="D41" s="175" t="s">
        <v>2464</v>
      </c>
      <c r="E41" s="2319">
        <f>G20</f>
        <v>0</v>
      </c>
      <c r="F41" s="175" t="s">
        <v>2473</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2514</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2515</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2516</v>
      </c>
      <c r="B47" s="1485" t="s">
        <v>2517</v>
      </c>
      <c r="C47" s="1485" t="s">
        <v>2518</v>
      </c>
      <c r="D47" s="1485" t="s">
        <v>2519</v>
      </c>
      <c r="E47" s="757" t="s">
        <v>2520</v>
      </c>
      <c r="F47" s="2280" t="s">
        <v>2521</v>
      </c>
      <c r="G47" s="1485" t="s">
        <v>574</v>
      </c>
      <c r="H47" s="2281" t="s">
        <v>2522</v>
      </c>
      <c r="I47" s="1485" t="s">
        <v>2523</v>
      </c>
      <c r="J47" s="559" t="s">
        <v>2173</v>
      </c>
      <c r="K47" s="559" t="s">
        <v>2174</v>
      </c>
      <c r="L47" s="559" t="s">
        <v>2175</v>
      </c>
      <c r="M47" s="559" t="s">
        <v>2176</v>
      </c>
      <c r="N47" s="559" t="s">
        <v>2177</v>
      </c>
      <c r="AA47" s="1233"/>
      <c r="AB47" s="1233"/>
      <c r="AC47" s="1233"/>
      <c r="AD47" s="1233"/>
      <c r="AE47" s="1233"/>
      <c r="AF47" s="1233"/>
      <c r="AG47" s="1233"/>
      <c r="AH47" s="1233"/>
      <c r="AI47" s="1233"/>
      <c r="AJ47" s="1233"/>
      <c r="AK47" s="1233"/>
    </row>
    <row r="48" spans="1:37" s="1232" customFormat="1" ht="38.25">
      <c r="A48" s="2279" t="s">
        <v>2524</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2525</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2526</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2527</v>
      </c>
      <c r="B51" s="2284" t="s">
        <v>2528</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2529</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2530</v>
      </c>
      <c r="B53" s="2285" t="s">
        <v>2531</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2532</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2533</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2534</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2535</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2516</v>
      </c>
      <c r="B58" s="1485"/>
      <c r="C58" s="1485" t="s">
        <v>2518</v>
      </c>
      <c r="D58" s="1485" t="s">
        <v>2519</v>
      </c>
      <c r="E58" s="757" t="s">
        <v>2520</v>
      </c>
      <c r="F58" s="2280" t="s">
        <v>2536</v>
      </c>
      <c r="G58" s="1485" t="s">
        <v>574</v>
      </c>
      <c r="H58" s="2281" t="s">
        <v>2522</v>
      </c>
      <c r="I58" s="1485" t="s">
        <v>2523</v>
      </c>
      <c r="J58" s="559" t="s">
        <v>2173</v>
      </c>
      <c r="K58" s="559" t="s">
        <v>2174</v>
      </c>
      <c r="L58" s="559" t="s">
        <v>2175</v>
      </c>
      <c r="M58" s="559" t="s">
        <v>2176</v>
      </c>
      <c r="N58" s="559" t="s">
        <v>2177</v>
      </c>
      <c r="AA58" s="1233"/>
      <c r="AB58" s="1233"/>
      <c r="AC58" s="1233"/>
      <c r="AD58" s="1233"/>
      <c r="AE58" s="1233"/>
      <c r="AF58" s="1233"/>
      <c r="AG58" s="1233"/>
      <c r="AH58" s="1233"/>
      <c r="AI58" s="1233"/>
      <c r="AJ58" s="1233"/>
      <c r="AK58" s="1233"/>
    </row>
    <row r="59" spans="1:37" s="1232" customFormat="1" ht="38.25">
      <c r="A59" s="2279" t="s">
        <v>2537</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2525</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2526</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2527</v>
      </c>
      <c r="B62" s="2284" t="s">
        <v>2528</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2529</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2530</v>
      </c>
      <c r="B64" s="2285" t="s">
        <v>2531</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2532</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2533</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2534</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2538</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2516</v>
      </c>
      <c r="B69" s="1485"/>
      <c r="C69" s="1485" t="s">
        <v>2518</v>
      </c>
      <c r="D69" s="1485" t="s">
        <v>2519</v>
      </c>
      <c r="E69" s="757" t="s">
        <v>2520</v>
      </c>
      <c r="F69" s="2280" t="s">
        <v>2536</v>
      </c>
      <c r="G69" s="1485" t="s">
        <v>574</v>
      </c>
      <c r="H69" s="2281" t="s">
        <v>2522</v>
      </c>
      <c r="I69" s="1485" t="s">
        <v>2523</v>
      </c>
      <c r="J69" s="559" t="s">
        <v>2173</v>
      </c>
      <c r="K69" s="559" t="s">
        <v>2174</v>
      </c>
      <c r="L69" s="559" t="s">
        <v>2175</v>
      </c>
      <c r="M69" s="559" t="s">
        <v>2176</v>
      </c>
      <c r="N69" s="559" t="s">
        <v>2177</v>
      </c>
      <c r="AA69" s="1233"/>
      <c r="AB69" s="1233"/>
      <c r="AC69" s="1233"/>
      <c r="AD69" s="1233"/>
      <c r="AE69" s="1233"/>
      <c r="AF69" s="1233"/>
      <c r="AG69" s="1233"/>
      <c r="AH69" s="1233"/>
      <c r="AI69" s="1233"/>
      <c r="AJ69" s="1233"/>
      <c r="AK69" s="1233"/>
    </row>
    <row r="70" spans="1:37" s="1232" customFormat="1" ht="51">
      <c r="A70" s="2279" t="s">
        <v>2539</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2525</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2526</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2540</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2532</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2533</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2530</v>
      </c>
      <c r="B76" s="2285" t="s">
        <v>2531</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2534</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2541</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2542</v>
      </c>
      <c r="B79" s="2276">
        <f>1+E81</f>
        <v>1</v>
      </c>
      <c r="C79" s="752"/>
      <c r="D79" s="752"/>
      <c r="E79" s="753"/>
      <c r="F79" s="2278"/>
      <c r="G79" s="6"/>
      <c r="H79" s="6"/>
      <c r="I79" s="6"/>
      <c r="J79" s="7"/>
      <c r="K79" s="7"/>
      <c r="L79" s="7"/>
      <c r="M79" s="7"/>
      <c r="N79" s="7"/>
      <c r="Z79" s="2134"/>
      <c r="AA79" s="2200"/>
      <c r="AG79" s="1234"/>
      <c r="AK79" s="2200"/>
    </row>
    <row r="80" spans="1:37" ht="24.75">
      <c r="A80" s="2279" t="s">
        <v>2516</v>
      </c>
      <c r="B80" s="1485"/>
      <c r="C80" s="1485" t="s">
        <v>2518</v>
      </c>
      <c r="D80" s="1485" t="s">
        <v>2519</v>
      </c>
      <c r="E80" s="757" t="s">
        <v>2520</v>
      </c>
      <c r="F80" s="2280" t="s">
        <v>2536</v>
      </c>
      <c r="G80" s="1485" t="s">
        <v>574</v>
      </c>
      <c r="H80" s="2281" t="s">
        <v>2522</v>
      </c>
      <c r="I80" s="1485" t="s">
        <v>2523</v>
      </c>
      <c r="J80" s="559" t="s">
        <v>2173</v>
      </c>
      <c r="K80" s="559" t="s">
        <v>2174</v>
      </c>
      <c r="L80" s="559" t="s">
        <v>2175</v>
      </c>
      <c r="M80" s="559" t="s">
        <v>2176</v>
      </c>
      <c r="N80" s="559" t="s">
        <v>2177</v>
      </c>
      <c r="Z80" s="2134"/>
      <c r="AA80" s="2200"/>
      <c r="AG80" s="1234"/>
      <c r="AK80" s="2200"/>
    </row>
    <row r="81" spans="1:37" ht="38.25">
      <c r="A81" s="2279" t="s">
        <v>2543</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2525</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2526</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2540</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2532</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2533</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2530</v>
      </c>
      <c r="B87" s="2285" t="s">
        <v>2544</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2545</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41" t="s">
        <v>2546</v>
      </c>
      <c r="B90" s="3541"/>
      <c r="C90" s="3541"/>
      <c r="D90" s="3541"/>
      <c r="E90" s="3541"/>
      <c r="F90" s="3541"/>
      <c r="G90" s="3541"/>
      <c r="H90" s="3541"/>
      <c r="I90" s="3541"/>
      <c r="J90" s="3541"/>
      <c r="K90" s="2293"/>
      <c r="L90" s="2293"/>
      <c r="M90" s="2293"/>
      <c r="N90" s="2293"/>
    </row>
    <row r="91" spans="1:37">
      <c r="A91" s="3543" t="s">
        <v>2547</v>
      </c>
      <c r="B91" s="3543" t="s">
        <v>2548</v>
      </c>
      <c r="C91" s="2247" t="s">
        <v>2549</v>
      </c>
      <c r="D91" s="2248"/>
      <c r="E91" s="2248"/>
      <c r="F91" s="2248"/>
      <c r="G91" s="2248"/>
      <c r="H91" s="2248"/>
      <c r="I91" s="2248"/>
      <c r="J91" s="2294"/>
      <c r="K91" s="2295"/>
      <c r="L91" s="2295"/>
      <c r="M91" s="2295"/>
      <c r="N91" s="2295"/>
    </row>
    <row r="92" spans="1:37">
      <c r="A92" s="3543"/>
      <c r="B92" s="3543"/>
      <c r="C92" s="859" t="s">
        <v>2416</v>
      </c>
      <c r="D92" s="859" t="s">
        <v>2417</v>
      </c>
      <c r="E92" s="859" t="s">
        <v>2418</v>
      </c>
      <c r="F92" s="859" t="s">
        <v>2419</v>
      </c>
      <c r="G92" s="859" t="s">
        <v>2420</v>
      </c>
      <c r="H92" s="859" t="s">
        <v>2421</v>
      </c>
      <c r="I92" s="859" t="s">
        <v>2422</v>
      </c>
      <c r="J92" s="859" t="s">
        <v>2423</v>
      </c>
      <c r="K92" s="859" t="s">
        <v>2424</v>
      </c>
      <c r="L92" s="859" t="s">
        <v>2425</v>
      </c>
      <c r="M92" s="859" t="s">
        <v>2426</v>
      </c>
      <c r="N92" s="859" t="s">
        <v>2427</v>
      </c>
    </row>
    <row r="93" spans="1:37">
      <c r="A93" s="3544" t="s">
        <v>2550</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5"/>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5"/>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5"/>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5"/>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5"/>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5"/>
      <c r="B99" s="2296" t="s">
        <v>2432</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6"/>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4" t="s">
        <v>2551</v>
      </c>
      <c r="B101" s="2300" t="s">
        <v>2552</v>
      </c>
      <c r="C101" s="2301">
        <f>$G$3</f>
        <v>3.42</v>
      </c>
      <c r="D101" s="2301">
        <f t="shared" ref="D101:N101" si="31">$G$3</f>
        <v>3.42</v>
      </c>
      <c r="E101" s="2301">
        <f t="shared" si="31"/>
        <v>3.42</v>
      </c>
      <c r="F101" s="2301">
        <f t="shared" si="31"/>
        <v>3.42</v>
      </c>
      <c r="G101" s="2301">
        <f t="shared" si="31"/>
        <v>3.42</v>
      </c>
      <c r="H101" s="2301">
        <f t="shared" si="31"/>
        <v>3.42</v>
      </c>
      <c r="I101" s="2301">
        <f t="shared" si="31"/>
        <v>3.42</v>
      </c>
      <c r="J101" s="2301">
        <f t="shared" si="31"/>
        <v>3.42</v>
      </c>
      <c r="K101" s="2301">
        <f t="shared" si="31"/>
        <v>3.42</v>
      </c>
      <c r="L101" s="2301">
        <f t="shared" si="31"/>
        <v>3.42</v>
      </c>
      <c r="M101" s="2301">
        <f t="shared" si="31"/>
        <v>3.42</v>
      </c>
      <c r="N101" s="2301">
        <f t="shared" si="31"/>
        <v>3.42</v>
      </c>
    </row>
    <row r="102" spans="1:14">
      <c r="A102" s="3545"/>
      <c r="B102" s="2296">
        <v>1</v>
      </c>
      <c r="C102" s="2297">
        <f>1.9362/C101</f>
        <v>0.56614035087719294</v>
      </c>
      <c r="D102" s="2297">
        <f>1.9362/D101</f>
        <v>0.56614035087719294</v>
      </c>
      <c r="E102" s="2297">
        <f>1.8629/E101</f>
        <v>0.54470760233918125</v>
      </c>
      <c r="F102" s="2297">
        <f>1.8629/F101</f>
        <v>0.54470760233918125</v>
      </c>
      <c r="G102" s="2297">
        <f>1.8629/G101</f>
        <v>0.54470760233918125</v>
      </c>
      <c r="H102" s="2297">
        <f>1.8629/H101</f>
        <v>0.54470760233918125</v>
      </c>
      <c r="I102" s="2297">
        <f>1.8629/I101</f>
        <v>0.54470760233918125</v>
      </c>
      <c r="J102" s="2297">
        <f>1.942/J101</f>
        <v>0.56783625730994147</v>
      </c>
      <c r="K102" s="2297">
        <f>1.942/K101</f>
        <v>0.56783625730994147</v>
      </c>
      <c r="L102" s="2297">
        <f>1.942/L101</f>
        <v>0.56783625730994147</v>
      </c>
      <c r="M102" s="2297">
        <f>1.942/M101</f>
        <v>0.56783625730994147</v>
      </c>
      <c r="N102" s="2297">
        <f>1.942/N101</f>
        <v>0.56783625730994147</v>
      </c>
    </row>
    <row r="103" spans="1:14">
      <c r="A103" s="3545"/>
      <c r="B103" s="2296">
        <v>2</v>
      </c>
      <c r="C103" s="2297">
        <f>1.4198/C101</f>
        <v>0.41514619883040937</v>
      </c>
      <c r="D103" s="2297">
        <f>1.4198/D101</f>
        <v>0.41514619883040937</v>
      </c>
      <c r="E103" s="2297">
        <f>1.3372/E101</f>
        <v>0.39099415204678362</v>
      </c>
      <c r="F103" s="2297">
        <f>1.3372/F101</f>
        <v>0.39099415204678362</v>
      </c>
      <c r="G103" s="2297">
        <f>1.3372/G101</f>
        <v>0.39099415204678362</v>
      </c>
      <c r="H103" s="2297">
        <f>1.3372/H101</f>
        <v>0.39099415204678362</v>
      </c>
      <c r="I103" s="2297">
        <f>1.3372/I101</f>
        <v>0.39099415204678362</v>
      </c>
      <c r="J103" s="2297">
        <f>1.2799/J101</f>
        <v>0.37423976608187137</v>
      </c>
      <c r="K103" s="2297">
        <f>1.2799/K101</f>
        <v>0.37423976608187137</v>
      </c>
      <c r="L103" s="2297">
        <f>1.2799/L101</f>
        <v>0.37423976608187137</v>
      </c>
      <c r="M103" s="2297">
        <f>1.2799/M101</f>
        <v>0.37423976608187137</v>
      </c>
      <c r="N103" s="2297">
        <f>1.2799/N101</f>
        <v>0.37423976608187137</v>
      </c>
    </row>
    <row r="104" spans="1:14">
      <c r="A104" s="3545"/>
      <c r="B104" s="2296">
        <v>3</v>
      </c>
      <c r="C104" s="2297">
        <f>1.1594/C101</f>
        <v>0.33900584795321637</v>
      </c>
      <c r="D104" s="2297">
        <f>1.1594/D101</f>
        <v>0.33900584795321637</v>
      </c>
      <c r="E104" s="2297">
        <f>1.0788/E101</f>
        <v>0.31543859649122807</v>
      </c>
      <c r="F104" s="2297">
        <f>1.0788/F101</f>
        <v>0.31543859649122807</v>
      </c>
      <c r="G104" s="2297">
        <f>1.0788/G101</f>
        <v>0.31543859649122807</v>
      </c>
      <c r="H104" s="2297">
        <f>1.0788/H101</f>
        <v>0.31543859649122807</v>
      </c>
      <c r="I104" s="2297">
        <f>1.0788/I101</f>
        <v>0.31543859649122807</v>
      </c>
      <c r="J104" s="2297">
        <f>1.0072/J101</f>
        <v>0.29450292397660821</v>
      </c>
      <c r="K104" s="2297">
        <f>1.0072/K101</f>
        <v>0.29450292397660821</v>
      </c>
      <c r="L104" s="2297">
        <f>1.0072/L101</f>
        <v>0.29450292397660821</v>
      </c>
      <c r="M104" s="2297">
        <f>1.0072/M101</f>
        <v>0.29450292397660821</v>
      </c>
      <c r="N104" s="2297">
        <f>1.0072/N101</f>
        <v>0.29450292397660821</v>
      </c>
    </row>
    <row r="105" spans="1:14">
      <c r="A105" s="3545"/>
      <c r="B105" s="2296">
        <v>4</v>
      </c>
      <c r="C105" s="2297">
        <f>0.9622/C101</f>
        <v>0.28134502923976612</v>
      </c>
      <c r="D105" s="2297">
        <f>0.9622/D101</f>
        <v>0.28134502923976612</v>
      </c>
      <c r="E105" s="2297">
        <f>0.8656/E101</f>
        <v>0.25309941520467838</v>
      </c>
      <c r="F105" s="2297">
        <f>0.8656/F101</f>
        <v>0.25309941520467838</v>
      </c>
      <c r="G105" s="2297">
        <f>0.8656/G101</f>
        <v>0.25309941520467838</v>
      </c>
      <c r="H105" s="2297">
        <f>0.8656/H101</f>
        <v>0.25309941520467838</v>
      </c>
      <c r="I105" s="2297">
        <f>0.8656/I101</f>
        <v>0.25309941520467838</v>
      </c>
      <c r="J105" s="2297">
        <f>0.7525/J101</f>
        <v>0.22002923976608185</v>
      </c>
      <c r="K105" s="2297">
        <f>0.7525/K101</f>
        <v>0.22002923976608185</v>
      </c>
      <c r="L105" s="2297">
        <f>0.7525/L101</f>
        <v>0.22002923976608185</v>
      </c>
      <c r="M105" s="2297">
        <f>0.7525/M101</f>
        <v>0.22002923976608185</v>
      </c>
      <c r="N105" s="2297">
        <f>0.7525/N101</f>
        <v>0.22002923976608185</v>
      </c>
    </row>
    <row r="106" spans="1:14">
      <c r="A106" s="3545"/>
      <c r="B106" s="2296">
        <v>5</v>
      </c>
      <c r="C106" s="2297">
        <f>0.8417/C101</f>
        <v>0.24611111111111111</v>
      </c>
      <c r="D106" s="2297">
        <f>0.8417/D101</f>
        <v>0.24611111111111111</v>
      </c>
      <c r="E106" s="2297">
        <f>0.7371/E101</f>
        <v>0.21552631578947368</v>
      </c>
      <c r="F106" s="2297">
        <f>0.7371/F101</f>
        <v>0.21552631578947368</v>
      </c>
      <c r="G106" s="2297">
        <f>0.7371/G101</f>
        <v>0.21552631578947368</v>
      </c>
      <c r="H106" s="2297">
        <f>0.7371/H101</f>
        <v>0.21552631578947368</v>
      </c>
      <c r="I106" s="2297">
        <f>0.7371/I101</f>
        <v>0.21552631578947368</v>
      </c>
      <c r="J106" s="2297">
        <f>0.5659/J101</f>
        <v>0.16546783625730993</v>
      </c>
      <c r="K106" s="2297">
        <f>0.5659/K101</f>
        <v>0.16546783625730993</v>
      </c>
      <c r="L106" s="2297">
        <f>0.5659/L101</f>
        <v>0.16546783625730993</v>
      </c>
      <c r="M106" s="2297">
        <f>0.5659/M101</f>
        <v>0.16546783625730993</v>
      </c>
      <c r="N106" s="2297">
        <f>0.5659/N101</f>
        <v>0.16546783625730993</v>
      </c>
    </row>
    <row r="107" spans="1:14">
      <c r="A107" s="3545"/>
      <c r="B107" s="2296">
        <v>6</v>
      </c>
      <c r="C107" s="2297">
        <f>0.7608/C101</f>
        <v>0.22245614035087721</v>
      </c>
      <c r="D107" s="2297">
        <f>0.7608/D101</f>
        <v>0.22245614035087721</v>
      </c>
      <c r="E107" s="2297">
        <f>0.6482/E101</f>
        <v>0.18953216374269005</v>
      </c>
      <c r="F107" s="2297">
        <f>0.6482/F101</f>
        <v>0.18953216374269005</v>
      </c>
      <c r="G107" s="2297">
        <f>0.6482/G101</f>
        <v>0.18953216374269005</v>
      </c>
      <c r="H107" s="2297">
        <f>0.6482/H101</f>
        <v>0.18953216374269005</v>
      </c>
      <c r="I107" s="2297">
        <f>0.6482/I101</f>
        <v>0.18953216374269005</v>
      </c>
      <c r="J107" s="2297">
        <f>0.4525/J101</f>
        <v>0.13230994152046785</v>
      </c>
      <c r="K107" s="2297">
        <f>0.4525/K101</f>
        <v>0.13230994152046785</v>
      </c>
      <c r="L107" s="2297">
        <f>0.4525/L101</f>
        <v>0.13230994152046785</v>
      </c>
      <c r="M107" s="2297">
        <f>0.4525/M101</f>
        <v>0.13230994152046785</v>
      </c>
      <c r="N107" s="2297">
        <f>0.4525/N101</f>
        <v>0.13230994152046785</v>
      </c>
    </row>
    <row r="108" spans="1:14">
      <c r="A108" s="3545"/>
      <c r="B108" s="3547" t="s">
        <v>2553</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6"/>
      <c r="B109" s="3548"/>
      <c r="C109" s="2299">
        <f>(-0.163*(C108^2)-0.59*C108+7617)*(10^(-4))/C101</f>
        <v>0.22271929824561404</v>
      </c>
      <c r="D109" s="2299">
        <f>(-0.163*(D108^2)-0.59*D108+7617)*(10^(-4))/D101</f>
        <v>0.22271929824561404</v>
      </c>
      <c r="E109" s="2299">
        <f>(-0.161*(E108^2)-7.509*E108+6533)*(10^(-4))/E101</f>
        <v>0.19102339181286551</v>
      </c>
      <c r="F109" s="2299">
        <f>(-0.161*(F108^2)-7.509*F108+6533)*(10^(-4))/F101</f>
        <v>0.19102339181286551</v>
      </c>
      <c r="G109" s="2299">
        <f>(-0.161*(G108^2)-7.509*G108+6533)*(10^(-4))/G101</f>
        <v>0.19102339181286551</v>
      </c>
      <c r="H109" s="2299">
        <f>(-0.161*(H108^2)-7.509*H108+6533)*(10^(-4))/H101</f>
        <v>0.19102339181286551</v>
      </c>
      <c r="I109" s="2299">
        <f>(-0.161*(I108^2)-7.509*I108+6533)*(10^(-4))/I101</f>
        <v>0.19102339181286551</v>
      </c>
      <c r="J109" s="2299">
        <f>(-0.214*(J108^2)-21.991*J108+4665)*(10^(-4))/J101</f>
        <v>0.13640350877192983</v>
      </c>
      <c r="K109" s="2299">
        <f>(-0.214*(K108^2)-21.991*K108+4665)*(10^(-4))/K101</f>
        <v>0.13640350877192983</v>
      </c>
      <c r="L109" s="2299">
        <f>(-0.214*(L108^2)-21.991*L108+4665)*(10^(-4))/L101</f>
        <v>0.13640350877192983</v>
      </c>
      <c r="M109" s="2299">
        <f>(-0.214*(M108^2)-21.991*M108+4665)*(10^(-4))/M101</f>
        <v>0.13640350877192983</v>
      </c>
      <c r="N109" s="2299">
        <f>(-0.214*(N108^2)-21.991*N108+4665)*(10^(-4))/N101</f>
        <v>0.13640350877192983</v>
      </c>
    </row>
    <row r="110" spans="1:14">
      <c r="A110" s="3542" t="s">
        <v>2554</v>
      </c>
      <c r="B110" s="3542"/>
      <c r="C110" s="3542"/>
      <c r="D110" s="3542"/>
      <c r="E110" s="3542"/>
      <c r="F110" s="3542"/>
      <c r="G110" s="3542"/>
      <c r="H110" s="3542"/>
      <c r="I110" s="3542"/>
      <c r="J110" s="3542"/>
      <c r="K110" s="2302"/>
      <c r="L110" s="2302"/>
      <c r="M110" s="2302"/>
      <c r="N110" s="2302"/>
    </row>
    <row r="112" spans="1:14" ht="13.5" thickBot="1"/>
    <row r="113" spans="1:13" ht="25.5" thickBot="1">
      <c r="A113" s="823" t="s">
        <v>2555</v>
      </c>
      <c r="B113" s="1177">
        <f>G3</f>
        <v>3.42</v>
      </c>
      <c r="C113" s="824" t="s">
        <v>2556</v>
      </c>
      <c r="D113" s="825">
        <f>SUMPRODUCT((A115:A118=F113)*(B114:M114=H113)*B115:M118)</f>
        <v>0</v>
      </c>
      <c r="E113" s="2138" t="s">
        <v>2389</v>
      </c>
      <c r="F113" s="2304">
        <f>E2</f>
        <v>0</v>
      </c>
      <c r="G113" s="2138" t="s">
        <v>2390</v>
      </c>
      <c r="H113" s="2304" t="str">
        <f>G2</f>
        <v>五级</v>
      </c>
      <c r="I113" s="2138"/>
      <c r="J113" s="2305"/>
      <c r="K113" s="2305"/>
      <c r="L113" s="2305"/>
      <c r="M113" s="2305"/>
    </row>
    <row r="114" spans="1:13">
      <c r="A114" s="828"/>
      <c r="B114" s="2306" t="s">
        <v>2557</v>
      </c>
      <c r="C114" s="2306" t="s">
        <v>2558</v>
      </c>
      <c r="D114" s="2306" t="s">
        <v>2559</v>
      </c>
      <c r="E114" s="2307" t="s">
        <v>2560</v>
      </c>
      <c r="F114" s="2307" t="s">
        <v>2561</v>
      </c>
      <c r="G114" s="2307" t="s">
        <v>2562</v>
      </c>
      <c r="H114" s="2308" t="s">
        <v>2563</v>
      </c>
      <c r="I114" s="2308" t="s">
        <v>2564</v>
      </c>
      <c r="J114" s="2309" t="s">
        <v>2565</v>
      </c>
      <c r="K114" s="2309" t="s">
        <v>2566</v>
      </c>
      <c r="L114" s="2309" t="s">
        <v>2567</v>
      </c>
      <c r="M114" s="2310" t="s">
        <v>2568</v>
      </c>
    </row>
    <row r="115" spans="1:13">
      <c r="A115" s="829" t="s">
        <v>2454</v>
      </c>
      <c r="B115" s="830">
        <f>ROUND(0.9335-0.0094*B113,4)</f>
        <v>0.90139999999999998</v>
      </c>
      <c r="C115" s="830">
        <f>B115</f>
        <v>0.90139999999999998</v>
      </c>
      <c r="D115" s="830">
        <f>ROUND(0.8331-0.0109*B113,4)</f>
        <v>0.79579999999999995</v>
      </c>
      <c r="E115" s="830">
        <f>D115</f>
        <v>0.79579999999999995</v>
      </c>
      <c r="F115" s="830">
        <f>E115</f>
        <v>0.79579999999999995</v>
      </c>
      <c r="G115" s="830">
        <f>F115</f>
        <v>0.79579999999999995</v>
      </c>
      <c r="H115" s="830">
        <f>G115</f>
        <v>0.79579999999999995</v>
      </c>
      <c r="I115" s="830">
        <f>ROUND(0.689-0.0155*B113,4)</f>
        <v>0.63600000000000001</v>
      </c>
      <c r="J115" s="830">
        <f t="shared" ref="J115:M118" si="33">I115</f>
        <v>0.63600000000000001</v>
      </c>
      <c r="K115" s="830">
        <f t="shared" si="33"/>
        <v>0.63600000000000001</v>
      </c>
      <c r="L115" s="830">
        <f t="shared" si="33"/>
        <v>0.63600000000000001</v>
      </c>
      <c r="M115" s="831">
        <f t="shared" si="33"/>
        <v>0.63600000000000001</v>
      </c>
    </row>
    <row r="116" spans="1:13">
      <c r="A116" s="829" t="s">
        <v>2455</v>
      </c>
      <c r="B116" s="830">
        <f>ROUND(0.949-0.012*B113,4)</f>
        <v>0.90800000000000003</v>
      </c>
      <c r="C116" s="830">
        <f>B116</f>
        <v>0.90800000000000003</v>
      </c>
      <c r="D116" s="830">
        <f>ROUND(0.8567-0.013*B113,4)</f>
        <v>0.81220000000000003</v>
      </c>
      <c r="E116" s="830">
        <f t="shared" ref="E116:H117" si="34">D116</f>
        <v>0.81220000000000003</v>
      </c>
      <c r="F116" s="830">
        <f t="shared" si="34"/>
        <v>0.81220000000000003</v>
      </c>
      <c r="G116" s="830">
        <f t="shared" si="34"/>
        <v>0.81220000000000003</v>
      </c>
      <c r="H116" s="830">
        <f t="shared" si="34"/>
        <v>0.81220000000000003</v>
      </c>
      <c r="I116" s="830">
        <f>ROUND(0.7694-0.014*B113,4)</f>
        <v>0.72150000000000003</v>
      </c>
      <c r="J116" s="830">
        <f t="shared" si="33"/>
        <v>0.72150000000000003</v>
      </c>
      <c r="K116" s="830">
        <f t="shared" si="33"/>
        <v>0.72150000000000003</v>
      </c>
      <c r="L116" s="830">
        <f t="shared" si="33"/>
        <v>0.72150000000000003</v>
      </c>
      <c r="M116" s="831">
        <f t="shared" si="33"/>
        <v>0.72150000000000003</v>
      </c>
    </row>
    <row r="117" spans="1:13">
      <c r="A117" s="829" t="s">
        <v>2456</v>
      </c>
      <c r="B117" s="830">
        <f>ROUND(0.8808-0.006*B113,4)</f>
        <v>0.86029999999999995</v>
      </c>
      <c r="C117" s="830">
        <f>B117</f>
        <v>0.86029999999999995</v>
      </c>
      <c r="D117" s="830">
        <f>ROUND(0.8748-0.008*B113,4)</f>
        <v>0.84740000000000004</v>
      </c>
      <c r="E117" s="830">
        <f t="shared" si="34"/>
        <v>0.84740000000000004</v>
      </c>
      <c r="F117" s="830">
        <f t="shared" si="34"/>
        <v>0.84740000000000004</v>
      </c>
      <c r="G117" s="830">
        <f t="shared" si="34"/>
        <v>0.84740000000000004</v>
      </c>
      <c r="H117" s="830">
        <f t="shared" si="34"/>
        <v>0.84740000000000004</v>
      </c>
      <c r="I117" s="830">
        <f>ROUND(0.7412-0.0095*B113,4)</f>
        <v>0.7087</v>
      </c>
      <c r="J117" s="830">
        <f t="shared" si="33"/>
        <v>0.7087</v>
      </c>
      <c r="K117" s="830">
        <f t="shared" si="33"/>
        <v>0.7087</v>
      </c>
      <c r="L117" s="830">
        <f t="shared" si="33"/>
        <v>0.7087</v>
      </c>
      <c r="M117" s="831">
        <f t="shared" si="33"/>
        <v>0.7087</v>
      </c>
    </row>
    <row r="118" spans="1:13" ht="13.5" thickBot="1">
      <c r="A118" s="669" t="s">
        <v>2457</v>
      </c>
      <c r="B118" s="832">
        <f>ROUND(0.7275-0.01*B113,4)</f>
        <v>0.69330000000000003</v>
      </c>
      <c r="C118" s="832">
        <f>B118</f>
        <v>0.69330000000000003</v>
      </c>
      <c r="D118" s="832">
        <f>ROUND(0.7043-0.012*B113,4)</f>
        <v>0.6633</v>
      </c>
      <c r="E118" s="832">
        <f>D118</f>
        <v>0.6633</v>
      </c>
      <c r="F118" s="832">
        <f>E118</f>
        <v>0.6633</v>
      </c>
      <c r="G118" s="832">
        <f>ROUND(0.6299-0.0122*B113,4)</f>
        <v>0.58819999999999995</v>
      </c>
      <c r="H118" s="832">
        <f>G118</f>
        <v>0.58819999999999995</v>
      </c>
      <c r="I118" s="832">
        <f>ROUND(0.5667-0.0136*B113,4)</f>
        <v>0.5202</v>
      </c>
      <c r="J118" s="832">
        <f t="shared" si="33"/>
        <v>0.5202</v>
      </c>
      <c r="K118" s="832">
        <f t="shared" si="33"/>
        <v>0.5202</v>
      </c>
      <c r="L118" s="832">
        <f t="shared" si="33"/>
        <v>0.5202</v>
      </c>
      <c r="M118" s="833">
        <f t="shared" si="33"/>
        <v>0.5202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97" t="s">
        <v>2941</v>
      </c>
      <c r="B2" s="3198">
        <v>3.5</v>
      </c>
      <c r="C2" s="3198">
        <v>3.5</v>
      </c>
      <c r="D2" s="3199">
        <v>2.5</v>
      </c>
      <c r="E2" s="3199">
        <v>2.5</v>
      </c>
      <c r="F2" s="3199">
        <v>2.5</v>
      </c>
      <c r="G2" s="3199">
        <v>2.5</v>
      </c>
      <c r="H2" s="3199">
        <v>2.5</v>
      </c>
      <c r="I2" s="3198">
        <v>2</v>
      </c>
      <c r="J2" s="3198">
        <v>2</v>
      </c>
      <c r="K2" s="3198">
        <v>2</v>
      </c>
      <c r="L2" s="3198">
        <v>2</v>
      </c>
      <c r="M2" s="3200">
        <v>2</v>
      </c>
    </row>
    <row r="3" spans="1:13" ht="19.5" customHeight="1">
      <c r="A3" s="3201" t="s">
        <v>2942</v>
      </c>
      <c r="B3" s="3202">
        <v>3.5</v>
      </c>
      <c r="C3" s="3202">
        <v>3.5</v>
      </c>
      <c r="D3" s="3203">
        <v>2.5</v>
      </c>
      <c r="E3" s="3203">
        <v>2.5</v>
      </c>
      <c r="F3" s="3203">
        <v>2.5</v>
      </c>
      <c r="G3" s="3203">
        <v>2.5</v>
      </c>
      <c r="H3" s="3203">
        <v>2.5</v>
      </c>
      <c r="I3" s="3202">
        <v>2</v>
      </c>
      <c r="J3" s="3202">
        <v>2</v>
      </c>
      <c r="K3" s="3202">
        <v>2</v>
      </c>
      <c r="L3" s="3202">
        <v>2</v>
      </c>
      <c r="M3" s="3204">
        <v>2</v>
      </c>
    </row>
    <row r="4" spans="1:13" ht="19.5" customHeight="1">
      <c r="A4" s="3201" t="s">
        <v>2943</v>
      </c>
      <c r="B4" s="3203">
        <v>2.5</v>
      </c>
      <c r="C4" s="3203">
        <v>2.5</v>
      </c>
      <c r="D4" s="3203">
        <v>2.5</v>
      </c>
      <c r="E4" s="3203">
        <v>2.5</v>
      </c>
      <c r="F4" s="3203">
        <v>2.5</v>
      </c>
      <c r="G4" s="3203">
        <v>2.5</v>
      </c>
      <c r="H4" s="3203">
        <v>2.5</v>
      </c>
      <c r="I4" s="3202">
        <v>1.5</v>
      </c>
      <c r="J4" s="3202">
        <v>1.5</v>
      </c>
      <c r="K4" s="3202">
        <v>1.5</v>
      </c>
      <c r="L4" s="3202">
        <v>1.5</v>
      </c>
      <c r="M4" s="3204">
        <v>1.5</v>
      </c>
    </row>
    <row r="5" spans="1:13" ht="19.5" customHeight="1">
      <c r="A5" s="3205" t="s">
        <v>2944</v>
      </c>
      <c r="B5" s="3202">
        <v>1.5</v>
      </c>
      <c r="C5" s="3202">
        <v>1.5</v>
      </c>
      <c r="D5" s="3202">
        <v>1.5</v>
      </c>
      <c r="E5" s="3202">
        <v>1.5</v>
      </c>
      <c r="F5" s="3202">
        <v>1.5</v>
      </c>
      <c r="G5" s="3202">
        <v>1.2</v>
      </c>
      <c r="H5" s="3202">
        <v>1.2</v>
      </c>
      <c r="I5" s="3202">
        <v>1</v>
      </c>
      <c r="J5" s="3202">
        <v>1</v>
      </c>
      <c r="K5" s="3202">
        <v>1</v>
      </c>
      <c r="L5" s="3202">
        <v>1</v>
      </c>
      <c r="M5" s="3204">
        <v>1</v>
      </c>
    </row>
    <row r="6" spans="1:13" ht="19.5" customHeight="1">
      <c r="A6" s="3206" t="s">
        <v>2945</v>
      </c>
      <c r="B6" s="3207">
        <v>2.5</v>
      </c>
      <c r="C6" s="3207">
        <v>2.5</v>
      </c>
      <c r="D6" s="3207">
        <v>2</v>
      </c>
      <c r="E6" s="3207">
        <v>2</v>
      </c>
      <c r="F6" s="3207">
        <v>2</v>
      </c>
      <c r="G6" s="3207">
        <v>2</v>
      </c>
      <c r="H6" s="3207">
        <v>2</v>
      </c>
      <c r="I6" s="3208">
        <v>1.5</v>
      </c>
      <c r="J6" s="3208">
        <v>1.5</v>
      </c>
      <c r="K6" s="3208">
        <v>1.5</v>
      </c>
      <c r="L6" s="3208">
        <v>1.5</v>
      </c>
      <c r="M6" s="3209">
        <v>1.5</v>
      </c>
    </row>
    <row r="7" spans="1:13" ht="19.5" customHeight="1" thickBot="1">
      <c r="A7" s="3210" t="s">
        <v>2946</v>
      </c>
      <c r="B7" s="3211">
        <v>2.5</v>
      </c>
      <c r="C7" s="3211">
        <v>2.5</v>
      </c>
      <c r="D7" s="3211">
        <v>2</v>
      </c>
      <c r="E7" s="3211">
        <v>2</v>
      </c>
      <c r="F7" s="3211">
        <v>2</v>
      </c>
      <c r="G7" s="3211">
        <v>2</v>
      </c>
      <c r="H7" s="3211">
        <v>2</v>
      </c>
      <c r="I7" s="3212">
        <v>1.5</v>
      </c>
      <c r="J7" s="3212">
        <v>1.5</v>
      </c>
      <c r="K7" s="3212">
        <v>1.5</v>
      </c>
      <c r="L7" s="3212">
        <v>1.5</v>
      </c>
      <c r="M7" s="3213">
        <v>1.5</v>
      </c>
    </row>
    <row r="8" spans="1:13" ht="19.5" customHeight="1">
      <c r="A8" s="795" t="s">
        <v>546</v>
      </c>
      <c r="B8" s="3214">
        <v>80</v>
      </c>
      <c r="C8" s="3214">
        <v>80</v>
      </c>
      <c r="D8" s="3214">
        <v>70</v>
      </c>
      <c r="E8" s="3214">
        <v>70</v>
      </c>
      <c r="F8" s="3214">
        <v>70</v>
      </c>
      <c r="G8" s="3214">
        <v>70</v>
      </c>
      <c r="H8" s="3214">
        <v>70</v>
      </c>
      <c r="I8" s="3214">
        <v>60</v>
      </c>
      <c r="J8" s="3214">
        <v>60</v>
      </c>
      <c r="K8" s="3214">
        <v>60</v>
      </c>
      <c r="L8" s="3214">
        <v>60</v>
      </c>
      <c r="M8" s="3215">
        <v>60</v>
      </c>
    </row>
    <row r="9" spans="1:13" ht="19.5" customHeight="1">
      <c r="A9" s="755" t="s">
        <v>547</v>
      </c>
      <c r="B9" s="3216">
        <v>70</v>
      </c>
      <c r="C9" s="3216">
        <v>70</v>
      </c>
      <c r="D9" s="3216">
        <v>60</v>
      </c>
      <c r="E9" s="3216">
        <v>60</v>
      </c>
      <c r="F9" s="3216">
        <v>60</v>
      </c>
      <c r="G9" s="3216">
        <v>60</v>
      </c>
      <c r="H9" s="3216">
        <v>60</v>
      </c>
      <c r="I9" s="3216">
        <v>50</v>
      </c>
      <c r="J9" s="3216">
        <v>50</v>
      </c>
      <c r="K9" s="3216">
        <v>50</v>
      </c>
      <c r="L9" s="3216">
        <v>50</v>
      </c>
      <c r="M9" s="3217">
        <v>50</v>
      </c>
    </row>
    <row r="10" spans="1:13" ht="19.5" customHeight="1">
      <c r="A10" s="755" t="s">
        <v>548</v>
      </c>
      <c r="B10" s="3216">
        <v>20</v>
      </c>
      <c r="C10" s="3216">
        <v>20</v>
      </c>
      <c r="D10" s="3216">
        <v>15</v>
      </c>
      <c r="E10" s="3216">
        <v>15</v>
      </c>
      <c r="F10" s="3216">
        <v>15</v>
      </c>
      <c r="G10" s="3216">
        <v>15</v>
      </c>
      <c r="H10" s="3216">
        <v>15</v>
      </c>
      <c r="I10" s="3216">
        <v>10</v>
      </c>
      <c r="J10" s="3216">
        <v>10</v>
      </c>
      <c r="K10" s="3216">
        <v>10</v>
      </c>
      <c r="L10" s="3216">
        <v>10</v>
      </c>
      <c r="M10" s="3217">
        <v>10</v>
      </c>
    </row>
    <row r="11" spans="1:13" ht="19.5" customHeight="1">
      <c r="A11" s="755" t="s">
        <v>549</v>
      </c>
      <c r="B11" s="3216">
        <v>30</v>
      </c>
      <c r="C11" s="3216">
        <v>30</v>
      </c>
      <c r="D11" s="3216">
        <v>25</v>
      </c>
      <c r="E11" s="3216">
        <v>25</v>
      </c>
      <c r="F11" s="3216">
        <v>25</v>
      </c>
      <c r="G11" s="3216">
        <v>25</v>
      </c>
      <c r="H11" s="3216">
        <v>25</v>
      </c>
      <c r="I11" s="3216">
        <v>20</v>
      </c>
      <c r="J11" s="3216">
        <v>20</v>
      </c>
      <c r="K11" s="3216">
        <v>20</v>
      </c>
      <c r="L11" s="3216">
        <v>20</v>
      </c>
      <c r="M11" s="3217">
        <v>20</v>
      </c>
    </row>
    <row r="12" spans="1:13" ht="19.5" customHeight="1">
      <c r="A12" s="755" t="s">
        <v>550</v>
      </c>
      <c r="B12" s="3216">
        <v>45</v>
      </c>
      <c r="C12" s="3216">
        <v>45</v>
      </c>
      <c r="D12" s="3216">
        <v>40</v>
      </c>
      <c r="E12" s="3216">
        <v>40</v>
      </c>
      <c r="F12" s="3216">
        <v>40</v>
      </c>
      <c r="G12" s="3216">
        <v>40</v>
      </c>
      <c r="H12" s="3216">
        <v>40</v>
      </c>
      <c r="I12" s="3216">
        <v>35</v>
      </c>
      <c r="J12" s="3216">
        <v>35</v>
      </c>
      <c r="K12" s="3216">
        <v>35</v>
      </c>
      <c r="L12" s="3216">
        <v>35</v>
      </c>
      <c r="M12" s="3217">
        <v>35</v>
      </c>
    </row>
    <row r="13" spans="1:13" ht="19.5" customHeight="1">
      <c r="A13" s="755" t="s">
        <v>551</v>
      </c>
      <c r="B13" s="3216">
        <v>60</v>
      </c>
      <c r="C13" s="3216">
        <v>60</v>
      </c>
      <c r="D13" s="3216">
        <v>50</v>
      </c>
      <c r="E13" s="3216">
        <v>50</v>
      </c>
      <c r="F13" s="3216">
        <v>50</v>
      </c>
      <c r="G13" s="3216">
        <v>50</v>
      </c>
      <c r="H13" s="3216">
        <v>50</v>
      </c>
      <c r="I13" s="3216">
        <v>40</v>
      </c>
      <c r="J13" s="3216">
        <v>40</v>
      </c>
      <c r="K13" s="3216">
        <v>40</v>
      </c>
      <c r="L13" s="3216">
        <v>40</v>
      </c>
      <c r="M13" s="3217">
        <v>40</v>
      </c>
    </row>
    <row r="14" spans="1:13" ht="19.5" customHeight="1">
      <c r="A14" s="755" t="s">
        <v>552</v>
      </c>
      <c r="B14" s="3216">
        <v>50</v>
      </c>
      <c r="C14" s="3216">
        <v>50</v>
      </c>
      <c r="D14" s="3216">
        <v>40</v>
      </c>
      <c r="E14" s="3216">
        <v>40</v>
      </c>
      <c r="F14" s="3216">
        <v>40</v>
      </c>
      <c r="G14" s="3216">
        <v>40</v>
      </c>
      <c r="H14" s="3216">
        <v>40</v>
      </c>
      <c r="I14" s="3216">
        <v>30</v>
      </c>
      <c r="J14" s="3216">
        <v>30</v>
      </c>
      <c r="K14" s="3216">
        <v>30</v>
      </c>
      <c r="L14" s="3216">
        <v>30</v>
      </c>
      <c r="M14" s="3217">
        <v>30</v>
      </c>
    </row>
    <row r="15" spans="1:13" ht="19.5" customHeight="1">
      <c r="A15" s="796" t="s">
        <v>553</v>
      </c>
      <c r="B15" s="3218">
        <v>20</v>
      </c>
      <c r="C15" s="3218">
        <v>20</v>
      </c>
      <c r="D15" s="3218">
        <v>15</v>
      </c>
      <c r="E15" s="3218">
        <v>15</v>
      </c>
      <c r="F15" s="3218">
        <v>15</v>
      </c>
      <c r="G15" s="3218">
        <v>15</v>
      </c>
      <c r="H15" s="3218">
        <v>15</v>
      </c>
      <c r="I15" s="3218">
        <v>10</v>
      </c>
      <c r="J15" s="3218">
        <v>10</v>
      </c>
      <c r="K15" s="3218">
        <v>10</v>
      </c>
      <c r="L15" s="3218">
        <v>10</v>
      </c>
      <c r="M15" s="3219">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2620</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18" t="s">
        <v>2947</v>
      </c>
      <c r="B19" s="3220" t="s">
        <v>2948</v>
      </c>
      <c r="C19" s="3221" t="s">
        <v>2949</v>
      </c>
      <c r="D19" s="3222"/>
      <c r="E19" s="3216" t="s">
        <v>2950</v>
      </c>
      <c r="F19" s="802"/>
      <c r="G19" s="802"/>
    </row>
    <row r="20" spans="1:13" s="807" customFormat="1" ht="19.5" customHeight="1">
      <c r="A20" s="3572" t="s">
        <v>2951</v>
      </c>
      <c r="B20" s="3565" t="s">
        <v>2952</v>
      </c>
      <c r="C20" s="3223" t="s">
        <v>2953</v>
      </c>
      <c r="D20" s="3224"/>
      <c r="E20" s="3225">
        <v>1</v>
      </c>
      <c r="F20" s="3226" t="s">
        <v>2954</v>
      </c>
      <c r="G20" s="806"/>
      <c r="H20" s="800"/>
      <c r="I20" s="800"/>
    </row>
    <row r="21" spans="1:13" s="807" customFormat="1" ht="19.5" customHeight="1">
      <c r="A21" s="3573"/>
      <c r="B21" s="3566"/>
      <c r="C21" s="804" t="s">
        <v>2955</v>
      </c>
      <c r="D21" s="805"/>
      <c r="E21" s="3227">
        <v>1</v>
      </c>
      <c r="F21" s="3226" t="s">
        <v>2956</v>
      </c>
      <c r="G21" s="806"/>
      <c r="H21" s="800"/>
      <c r="I21" s="800"/>
    </row>
    <row r="22" spans="1:13" s="807" customFormat="1" ht="19.5" customHeight="1">
      <c r="A22" s="3573"/>
      <c r="B22" s="3566"/>
      <c r="C22" s="804" t="s">
        <v>2957</v>
      </c>
      <c r="D22" s="805"/>
      <c r="E22" s="3227">
        <v>0.9</v>
      </c>
      <c r="F22" s="3226" t="s">
        <v>2958</v>
      </c>
      <c r="G22" s="806"/>
      <c r="H22" s="800"/>
      <c r="I22" s="800"/>
    </row>
    <row r="23" spans="1:13" s="807" customFormat="1" ht="19.5" customHeight="1">
      <c r="A23" s="3573"/>
      <c r="B23" s="3566"/>
      <c r="C23" s="804" t="s">
        <v>2959</v>
      </c>
      <c r="D23" s="805"/>
      <c r="E23" s="3227">
        <v>0.9</v>
      </c>
      <c r="F23" s="3226" t="s">
        <v>2960</v>
      </c>
      <c r="G23" s="806"/>
      <c r="H23" s="800"/>
      <c r="I23" s="800"/>
    </row>
    <row r="24" spans="1:13" s="807" customFormat="1" ht="19.5" customHeight="1">
      <c r="A24" s="3573"/>
      <c r="B24" s="3566"/>
      <c r="C24" s="804" t="s">
        <v>2961</v>
      </c>
      <c r="D24" s="805"/>
      <c r="E24" s="3227">
        <v>0.8</v>
      </c>
      <c r="F24" s="3226" t="s">
        <v>2962</v>
      </c>
      <c r="G24" s="806"/>
      <c r="H24" s="800"/>
      <c r="I24" s="800"/>
    </row>
    <row r="25" spans="1:13" s="807" customFormat="1" ht="19.5" customHeight="1" thickBot="1">
      <c r="A25" s="3574"/>
      <c r="B25" s="3567"/>
      <c r="C25" s="3228" t="s">
        <v>2963</v>
      </c>
      <c r="D25" s="3229"/>
      <c r="E25" s="3230">
        <v>0.8</v>
      </c>
      <c r="F25" s="3226" t="s">
        <v>2964</v>
      </c>
      <c r="G25" s="806"/>
      <c r="H25" s="800"/>
      <c r="I25" s="800"/>
    </row>
    <row r="26" spans="1:13" s="807" customFormat="1" ht="19.5" customHeight="1" thickBot="1">
      <c r="A26" s="3231" t="s">
        <v>2965</v>
      </c>
      <c r="B26" s="3232" t="s">
        <v>2952</v>
      </c>
      <c r="C26" s="3233" t="s">
        <v>2966</v>
      </c>
      <c r="D26" s="3234"/>
      <c r="E26" s="3235">
        <v>1</v>
      </c>
      <c r="F26" s="3226" t="s">
        <v>2967</v>
      </c>
      <c r="G26" s="806"/>
      <c r="H26" s="800"/>
      <c r="I26" s="800"/>
    </row>
    <row r="27" spans="1:13" s="807" customFormat="1" ht="19.5" customHeight="1">
      <c r="A27" s="3568" t="s">
        <v>2968</v>
      </c>
      <c r="B27" s="3565" t="s">
        <v>2968</v>
      </c>
      <c r="C27" s="3223" t="s">
        <v>2969</v>
      </c>
      <c r="D27" s="3224"/>
      <c r="E27" s="3225">
        <v>1</v>
      </c>
      <c r="F27" s="3226" t="s">
        <v>2970</v>
      </c>
      <c r="G27" s="806"/>
      <c r="H27" s="800"/>
      <c r="I27" s="800"/>
    </row>
    <row r="28" spans="1:13" s="807" customFormat="1" ht="19.5" customHeight="1">
      <c r="A28" s="3569"/>
      <c r="B28" s="3566"/>
      <c r="C28" s="804" t="s">
        <v>2971</v>
      </c>
      <c r="D28" s="805"/>
      <c r="E28" s="3227">
        <v>1</v>
      </c>
      <c r="F28" s="3226" t="s">
        <v>2972</v>
      </c>
      <c r="G28" s="806"/>
      <c r="H28" s="800"/>
      <c r="I28" s="800"/>
    </row>
    <row r="29" spans="1:13" s="807" customFormat="1" ht="19.5" customHeight="1">
      <c r="A29" s="3569"/>
      <c r="B29" s="3566"/>
      <c r="C29" s="804" t="s">
        <v>2973</v>
      </c>
      <c r="D29" s="805"/>
      <c r="E29" s="3227">
        <v>0.8</v>
      </c>
      <c r="F29" s="3226" t="s">
        <v>2974</v>
      </c>
      <c r="G29" s="806"/>
      <c r="H29" s="800"/>
      <c r="I29" s="800"/>
    </row>
    <row r="30" spans="1:13" s="807" customFormat="1" ht="19.5" customHeight="1">
      <c r="A30" s="3569"/>
      <c r="B30" s="3566"/>
      <c r="C30" s="804" t="s">
        <v>2975</v>
      </c>
      <c r="D30" s="805"/>
      <c r="E30" s="3227">
        <v>0.8</v>
      </c>
      <c r="F30" s="3226" t="s">
        <v>2976</v>
      </c>
      <c r="G30" s="806"/>
      <c r="H30" s="800"/>
      <c r="I30" s="800"/>
    </row>
    <row r="31" spans="1:13" s="807" customFormat="1" ht="19.5" customHeight="1">
      <c r="A31" s="3569"/>
      <c r="B31" s="3566"/>
      <c r="C31" s="804" t="s">
        <v>2977</v>
      </c>
      <c r="D31" s="805"/>
      <c r="E31" s="3227">
        <v>0.8</v>
      </c>
      <c r="F31" s="3226" t="s">
        <v>2978</v>
      </c>
      <c r="G31" s="806"/>
      <c r="H31" s="800"/>
      <c r="I31" s="800"/>
    </row>
    <row r="32" spans="1:13" s="807" customFormat="1" ht="19.5" customHeight="1">
      <c r="A32" s="3569"/>
      <c r="B32" s="3566"/>
      <c r="C32" s="804" t="s">
        <v>2979</v>
      </c>
      <c r="D32" s="805"/>
      <c r="E32" s="3227">
        <v>0.7</v>
      </c>
      <c r="F32" s="3226" t="s">
        <v>2980</v>
      </c>
      <c r="G32" s="806"/>
      <c r="H32" s="800"/>
      <c r="I32" s="800"/>
    </row>
    <row r="33" spans="1:9" s="807" customFormat="1" ht="19.5" customHeight="1">
      <c r="A33" s="3569"/>
      <c r="B33" s="3566"/>
      <c r="C33" s="804" t="s">
        <v>2981</v>
      </c>
      <c r="D33" s="805"/>
      <c r="E33" s="3227">
        <v>0.8</v>
      </c>
      <c r="F33" s="3226" t="s">
        <v>2982</v>
      </c>
      <c r="G33" s="806"/>
      <c r="H33" s="800"/>
      <c r="I33" s="800"/>
    </row>
    <row r="34" spans="1:9" s="807" customFormat="1" ht="19.5" customHeight="1">
      <c r="A34" s="3569"/>
      <c r="B34" s="3566"/>
      <c r="C34" s="804" t="s">
        <v>2983</v>
      </c>
      <c r="D34" s="805"/>
      <c r="E34" s="3227">
        <v>0.6</v>
      </c>
      <c r="F34" s="3226" t="s">
        <v>2984</v>
      </c>
      <c r="G34" s="806"/>
      <c r="H34" s="800"/>
      <c r="I34" s="800"/>
    </row>
    <row r="35" spans="1:9" s="807" customFormat="1" ht="19.5" customHeight="1">
      <c r="A35" s="3569"/>
      <c r="B35" s="3566"/>
      <c r="C35" s="804" t="s">
        <v>2985</v>
      </c>
      <c r="D35" s="805"/>
      <c r="E35" s="3227">
        <v>0.2</v>
      </c>
      <c r="F35" s="3226" t="s">
        <v>2986</v>
      </c>
      <c r="G35" s="806"/>
      <c r="H35" s="800"/>
      <c r="I35" s="800"/>
    </row>
    <row r="36" spans="1:9" s="807" customFormat="1" ht="19.5" customHeight="1">
      <c r="A36" s="3569"/>
      <c r="B36" s="3566"/>
      <c r="C36" s="804" t="s">
        <v>2987</v>
      </c>
      <c r="D36" s="805"/>
      <c r="E36" s="3227">
        <v>0.2</v>
      </c>
      <c r="F36" s="3226" t="s">
        <v>2988</v>
      </c>
      <c r="G36" s="806"/>
      <c r="H36" s="800"/>
      <c r="I36" s="800"/>
    </row>
    <row r="37" spans="1:9" s="807" customFormat="1" ht="19.5" customHeight="1">
      <c r="A37" s="3569"/>
      <c r="B37" s="3571" t="s">
        <v>2989</v>
      </c>
      <c r="C37" s="804" t="s">
        <v>2990</v>
      </c>
      <c r="D37" s="805"/>
      <c r="E37" s="3227">
        <v>0.6</v>
      </c>
      <c r="F37" s="3226" t="s">
        <v>2991</v>
      </c>
      <c r="G37" s="806"/>
      <c r="H37" s="800"/>
      <c r="I37" s="800"/>
    </row>
    <row r="38" spans="1:9" s="807" customFormat="1" ht="19.5" customHeight="1">
      <c r="A38" s="3569"/>
      <c r="B38" s="3566"/>
      <c r="C38" s="804" t="s">
        <v>2992</v>
      </c>
      <c r="D38" s="805"/>
      <c r="E38" s="3227">
        <v>0.6</v>
      </c>
      <c r="F38" s="3226" t="s">
        <v>2993</v>
      </c>
      <c r="G38" s="806"/>
      <c r="H38" s="800"/>
      <c r="I38" s="800"/>
    </row>
    <row r="39" spans="1:9" s="807" customFormat="1" ht="19.5" customHeight="1" thickBot="1">
      <c r="A39" s="3570"/>
      <c r="B39" s="3567"/>
      <c r="C39" s="3228" t="s">
        <v>2994</v>
      </c>
      <c r="D39" s="3229"/>
      <c r="E39" s="3230">
        <v>0.6</v>
      </c>
      <c r="F39" s="3226" t="s">
        <v>2995</v>
      </c>
      <c r="G39" s="806"/>
      <c r="H39" s="800"/>
      <c r="I39" s="800"/>
    </row>
    <row r="40" spans="1:9" s="807" customFormat="1" ht="19.5" customHeight="1" thickBot="1">
      <c r="A40" s="3231" t="s">
        <v>2996</v>
      </c>
      <c r="B40" s="3232" t="s">
        <v>2996</v>
      </c>
      <c r="C40" s="3233" t="s">
        <v>2997</v>
      </c>
      <c r="D40" s="3234"/>
      <c r="E40" s="3235">
        <v>1</v>
      </c>
      <c r="F40" s="3226" t="s">
        <v>2998</v>
      </c>
      <c r="G40" s="806"/>
      <c r="H40" s="800"/>
      <c r="I40" s="800"/>
    </row>
    <row r="41" spans="1:9" s="807" customFormat="1" ht="19.5" customHeight="1">
      <c r="A41" s="3572" t="s">
        <v>2999</v>
      </c>
      <c r="B41" s="3565" t="s">
        <v>3000</v>
      </c>
      <c r="C41" s="3223" t="s">
        <v>3001</v>
      </c>
      <c r="D41" s="3224"/>
      <c r="E41" s="3225">
        <v>1</v>
      </c>
      <c r="F41" s="3226" t="s">
        <v>3002</v>
      </c>
      <c r="G41" s="806"/>
      <c r="H41" s="800"/>
      <c r="I41" s="800"/>
    </row>
    <row r="42" spans="1:9" s="807" customFormat="1" ht="19.5" customHeight="1">
      <c r="A42" s="3573"/>
      <c r="B42" s="3566"/>
      <c r="C42" s="804" t="s">
        <v>3003</v>
      </c>
      <c r="D42" s="805"/>
      <c r="E42" s="3227">
        <v>1</v>
      </c>
      <c r="F42" s="3226" t="s">
        <v>3004</v>
      </c>
      <c r="G42" s="806"/>
      <c r="H42" s="800"/>
      <c r="I42" s="800"/>
    </row>
    <row r="43" spans="1:9" s="807" customFormat="1" ht="19.5" customHeight="1">
      <c r="A43" s="3573"/>
      <c r="B43" s="3575"/>
      <c r="C43" s="804" t="s">
        <v>3005</v>
      </c>
      <c r="D43" s="805"/>
      <c r="E43" s="3227">
        <v>1.5</v>
      </c>
      <c r="F43" s="3226" t="s">
        <v>3006</v>
      </c>
      <c r="G43" s="806"/>
      <c r="H43" s="800"/>
      <c r="I43" s="800"/>
    </row>
    <row r="44" spans="1:9" s="807" customFormat="1" ht="19.5" customHeight="1">
      <c r="A44" s="3573"/>
      <c r="B44" s="3236" t="s">
        <v>2968</v>
      </c>
      <c r="C44" s="804" t="s">
        <v>3007</v>
      </c>
      <c r="D44" s="805"/>
      <c r="E44" s="3227">
        <v>2</v>
      </c>
      <c r="F44" s="3226" t="s">
        <v>3008</v>
      </c>
      <c r="G44" s="806"/>
      <c r="H44" s="800"/>
      <c r="I44" s="800"/>
    </row>
    <row r="45" spans="1:9" s="807" customFormat="1" ht="19.5" customHeight="1">
      <c r="A45" s="3573"/>
      <c r="B45" s="3571" t="s">
        <v>3009</v>
      </c>
      <c r="C45" s="804" t="s">
        <v>3010</v>
      </c>
      <c r="D45" s="805"/>
      <c r="E45" s="3227">
        <v>1</v>
      </c>
      <c r="F45" s="3226" t="s">
        <v>3011</v>
      </c>
      <c r="G45" s="806"/>
      <c r="H45" s="800"/>
      <c r="I45" s="800"/>
    </row>
    <row r="46" spans="1:9" s="807" customFormat="1" ht="19.5" customHeight="1">
      <c r="A46" s="3573"/>
      <c r="B46" s="3566"/>
      <c r="C46" s="804" t="s">
        <v>3012</v>
      </c>
      <c r="D46" s="805"/>
      <c r="E46" s="3227">
        <v>1</v>
      </c>
      <c r="F46" s="3226" t="s">
        <v>3013</v>
      </c>
      <c r="G46" s="806"/>
      <c r="H46" s="800"/>
      <c r="I46" s="800"/>
    </row>
    <row r="47" spans="1:9" s="807" customFormat="1" ht="19.5" customHeight="1">
      <c r="A47" s="3573"/>
      <c r="B47" s="3566"/>
      <c r="C47" s="804" t="s">
        <v>3014</v>
      </c>
      <c r="D47" s="805"/>
      <c r="E47" s="3227">
        <v>1</v>
      </c>
      <c r="F47" s="3226" t="s">
        <v>3015</v>
      </c>
      <c r="G47" s="806"/>
      <c r="H47" s="800"/>
      <c r="I47" s="800"/>
    </row>
    <row r="48" spans="1:9" s="807" customFormat="1" ht="19.5" customHeight="1">
      <c r="A48" s="3573"/>
      <c r="B48" s="3566"/>
      <c r="C48" s="804" t="s">
        <v>3016</v>
      </c>
      <c r="D48" s="805"/>
      <c r="E48" s="3227">
        <v>1</v>
      </c>
      <c r="F48" s="3226" t="s">
        <v>3017</v>
      </c>
      <c r="G48" s="806"/>
      <c r="H48" s="800"/>
      <c r="I48" s="800"/>
    </row>
    <row r="49" spans="1:9" s="807" customFormat="1" ht="19.5" customHeight="1">
      <c r="A49" s="3573"/>
      <c r="B49" s="3566"/>
      <c r="C49" s="804" t="s">
        <v>3018</v>
      </c>
      <c r="D49" s="805"/>
      <c r="E49" s="3227">
        <v>1</v>
      </c>
      <c r="F49" s="3226" t="s">
        <v>3019</v>
      </c>
      <c r="G49" s="806"/>
      <c r="H49" s="800"/>
      <c r="I49" s="800"/>
    </row>
    <row r="50" spans="1:9" s="807" customFormat="1" ht="19.5" customHeight="1">
      <c r="A50" s="3573"/>
      <c r="B50" s="3566"/>
      <c r="C50" s="804" t="s">
        <v>3020</v>
      </c>
      <c r="D50" s="805"/>
      <c r="E50" s="3227">
        <v>1</v>
      </c>
      <c r="F50" s="3226" t="s">
        <v>3021</v>
      </c>
      <c r="G50" s="806"/>
      <c r="H50" s="800"/>
      <c r="I50" s="800"/>
    </row>
    <row r="51" spans="1:9" s="807" customFormat="1" ht="19.5" customHeight="1" thickBot="1">
      <c r="A51" s="3574"/>
      <c r="B51" s="3567"/>
      <c r="C51" s="3228" t="s">
        <v>3022</v>
      </c>
      <c r="D51" s="3229"/>
      <c r="E51" s="3230">
        <v>1</v>
      </c>
      <c r="F51" s="3226"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16">
        <v>0.7</v>
      </c>
      <c r="C57" s="3216">
        <v>0.4</v>
      </c>
      <c r="D57" s="3216">
        <v>0.3</v>
      </c>
      <c r="E57" s="3222">
        <v>0.3</v>
      </c>
      <c r="F57" s="3216">
        <v>0.3</v>
      </c>
      <c r="G57" s="3216">
        <v>0.2</v>
      </c>
      <c r="I57" s="754"/>
    </row>
    <row r="58" spans="1:9" ht="19.5" customHeight="1">
      <c r="A58" s="813" t="s">
        <v>158</v>
      </c>
      <c r="B58" s="3216">
        <v>0.7</v>
      </c>
      <c r="C58" s="3216">
        <v>0.4</v>
      </c>
      <c r="D58" s="3216">
        <v>0.3</v>
      </c>
      <c r="E58" s="3216">
        <v>0.3</v>
      </c>
      <c r="F58" s="3216">
        <v>0.3</v>
      </c>
      <c r="G58" s="3216">
        <v>0.2</v>
      </c>
      <c r="I58" s="754"/>
    </row>
    <row r="59" spans="1:9" ht="19.5" customHeight="1">
      <c r="A59" s="813" t="s">
        <v>159</v>
      </c>
      <c r="B59" s="3216">
        <v>0.6</v>
      </c>
      <c r="C59" s="3216">
        <v>0.3</v>
      </c>
      <c r="D59" s="3216">
        <v>0.25</v>
      </c>
      <c r="E59" s="3216">
        <v>0.25</v>
      </c>
      <c r="F59" s="3216">
        <v>0.25</v>
      </c>
      <c r="G59" s="3216">
        <v>0.15</v>
      </c>
      <c r="I59" s="754"/>
    </row>
    <row r="60" spans="1:9" ht="19.5" customHeight="1">
      <c r="A60" s="813" t="s">
        <v>160</v>
      </c>
      <c r="B60" s="3216">
        <v>0.6</v>
      </c>
      <c r="C60" s="3216">
        <v>0.3</v>
      </c>
      <c r="D60" s="3216">
        <v>0.25</v>
      </c>
      <c r="E60" s="3216">
        <v>0.25</v>
      </c>
      <c r="F60" s="3216">
        <v>0.25</v>
      </c>
      <c r="G60" s="3216">
        <v>0.15</v>
      </c>
      <c r="I60" s="754"/>
    </row>
    <row r="61" spans="1:9" s="800" customFormat="1" ht="19.5" customHeight="1">
      <c r="A61" s="813" t="s">
        <v>161</v>
      </c>
      <c r="B61" s="3216">
        <v>0.6</v>
      </c>
      <c r="C61" s="3216">
        <v>0.3</v>
      </c>
      <c r="D61" s="3216">
        <v>0.25</v>
      </c>
      <c r="E61" s="3216">
        <v>0.25</v>
      </c>
      <c r="F61" s="3216">
        <v>0.25</v>
      </c>
      <c r="G61" s="3216">
        <v>0.15</v>
      </c>
    </row>
    <row r="62" spans="1:9" s="800" customFormat="1" ht="19.5" customHeight="1">
      <c r="A62" s="813" t="s">
        <v>162</v>
      </c>
      <c r="B62" s="3216">
        <v>0.6</v>
      </c>
      <c r="C62" s="3216">
        <v>0.3</v>
      </c>
      <c r="D62" s="3216">
        <v>0.25</v>
      </c>
      <c r="E62" s="3216">
        <v>0.25</v>
      </c>
      <c r="F62" s="3216">
        <v>0.25</v>
      </c>
      <c r="G62" s="3216">
        <v>0.15</v>
      </c>
    </row>
    <row r="63" spans="1:9" s="800" customFormat="1" ht="19.5" customHeight="1">
      <c r="A63" s="813" t="s">
        <v>163</v>
      </c>
      <c r="B63" s="3216">
        <v>0.6</v>
      </c>
      <c r="C63" s="3216">
        <v>0.3</v>
      </c>
      <c r="D63" s="3216">
        <v>0.25</v>
      </c>
      <c r="E63" s="3216">
        <v>0.25</v>
      </c>
      <c r="F63" s="3216">
        <v>0.25</v>
      </c>
      <c r="G63" s="3216">
        <v>0.15</v>
      </c>
    </row>
    <row r="64" spans="1:9" s="800" customFormat="1" ht="19.5" customHeight="1">
      <c r="A64" s="813" t="s">
        <v>164</v>
      </c>
      <c r="B64" s="3216">
        <v>0.5</v>
      </c>
      <c r="C64" s="3216">
        <v>0.2</v>
      </c>
      <c r="D64" s="3216">
        <v>0.2</v>
      </c>
      <c r="E64" s="3216">
        <v>0.2</v>
      </c>
      <c r="F64" s="3216">
        <v>0.2</v>
      </c>
      <c r="G64" s="3216">
        <v>0.1</v>
      </c>
    </row>
    <row r="65" spans="1:7" s="800" customFormat="1" ht="19.5" customHeight="1">
      <c r="A65" s="813" t="s">
        <v>165</v>
      </c>
      <c r="B65" s="3216">
        <v>0.5</v>
      </c>
      <c r="C65" s="3216">
        <v>0.2</v>
      </c>
      <c r="D65" s="3216">
        <v>0.2</v>
      </c>
      <c r="E65" s="3216">
        <v>0.2</v>
      </c>
      <c r="F65" s="3216">
        <v>0.2</v>
      </c>
      <c r="G65" s="3216">
        <v>0.1</v>
      </c>
    </row>
    <row r="66" spans="1:7" s="800" customFormat="1" ht="19.5" customHeight="1">
      <c r="A66" s="813" t="s">
        <v>166</v>
      </c>
      <c r="B66" s="3216">
        <v>0.5</v>
      </c>
      <c r="C66" s="3216">
        <v>0.2</v>
      </c>
      <c r="D66" s="3216">
        <v>0.2</v>
      </c>
      <c r="E66" s="3216">
        <v>0.2</v>
      </c>
      <c r="F66" s="3216">
        <v>0.2</v>
      </c>
      <c r="G66" s="3216">
        <v>0.1</v>
      </c>
    </row>
    <row r="67" spans="1:7" s="800" customFormat="1" ht="19.5" customHeight="1">
      <c r="A67" s="813" t="s">
        <v>167</v>
      </c>
      <c r="B67" s="3216">
        <v>0.5</v>
      </c>
      <c r="C67" s="3216">
        <v>0.2</v>
      </c>
      <c r="D67" s="3216">
        <v>0.2</v>
      </c>
      <c r="E67" s="3216">
        <v>0.2</v>
      </c>
      <c r="F67" s="3216">
        <v>0.2</v>
      </c>
      <c r="G67" s="3216">
        <v>0.1</v>
      </c>
    </row>
    <row r="68" spans="1:7" s="800" customFormat="1" ht="19.5" customHeight="1">
      <c r="A68" s="813" t="s">
        <v>168</v>
      </c>
      <c r="B68" s="3216">
        <v>0.5</v>
      </c>
      <c r="C68" s="3216">
        <v>0.2</v>
      </c>
      <c r="D68" s="3216">
        <v>0.2</v>
      </c>
      <c r="E68" s="3216">
        <v>0.2</v>
      </c>
      <c r="F68" s="3216">
        <v>0.2</v>
      </c>
      <c r="G68" s="3216">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3024</v>
      </c>
      <c r="D72" s="858"/>
      <c r="E72" s="815" t="s">
        <v>1</v>
      </c>
      <c r="F72" s="858" t="s">
        <v>1</v>
      </c>
    </row>
    <row r="73" spans="1:7" s="800" customFormat="1" ht="13.5">
      <c r="A73" s="3236">
        <v>1</v>
      </c>
      <c r="B73" s="3571" t="s">
        <v>3025</v>
      </c>
      <c r="C73" s="3216" t="s">
        <v>3026</v>
      </c>
      <c r="D73" s="3216" t="s">
        <v>3027</v>
      </c>
      <c r="E73" s="3237">
        <v>0.2</v>
      </c>
      <c r="F73" s="3236">
        <v>25</v>
      </c>
    </row>
    <row r="74" spans="1:7" s="800" customFormat="1" ht="24">
      <c r="A74" s="3236">
        <v>2</v>
      </c>
      <c r="B74" s="3566"/>
      <c r="C74" s="3216" t="s">
        <v>3028</v>
      </c>
      <c r="D74" s="3216" t="s">
        <v>3029</v>
      </c>
      <c r="E74" s="3237">
        <v>0.2</v>
      </c>
      <c r="F74" s="3236">
        <v>25</v>
      </c>
    </row>
    <row r="75" spans="1:7" s="800" customFormat="1" ht="24">
      <c r="A75" s="3236">
        <v>3</v>
      </c>
      <c r="B75" s="3566"/>
      <c r="C75" s="3216" t="s">
        <v>3030</v>
      </c>
      <c r="D75" s="3216" t="s">
        <v>3031</v>
      </c>
      <c r="E75" s="3237">
        <v>0.2</v>
      </c>
      <c r="F75" s="3236">
        <v>25</v>
      </c>
    </row>
    <row r="76" spans="1:7" s="800" customFormat="1" ht="13.5">
      <c r="A76" s="3236">
        <v>4</v>
      </c>
      <c r="B76" s="3566"/>
      <c r="C76" s="3216" t="s">
        <v>3032</v>
      </c>
      <c r="D76" s="3216" t="s">
        <v>3033</v>
      </c>
      <c r="E76" s="3237">
        <v>0.15</v>
      </c>
      <c r="F76" s="3236">
        <v>20</v>
      </c>
    </row>
    <row r="77" spans="1:7" s="800" customFormat="1" ht="24">
      <c r="A77" s="3236">
        <v>5</v>
      </c>
      <c r="B77" s="3566"/>
      <c r="C77" s="3216" t="s">
        <v>3034</v>
      </c>
      <c r="D77" s="3216" t="s">
        <v>3035</v>
      </c>
      <c r="E77" s="3237">
        <v>0.15</v>
      </c>
      <c r="F77" s="3236">
        <v>20</v>
      </c>
    </row>
    <row r="78" spans="1:7" s="800" customFormat="1" ht="24">
      <c r="A78" s="3236">
        <v>6</v>
      </c>
      <c r="B78" s="3566"/>
      <c r="C78" s="3216" t="s">
        <v>3036</v>
      </c>
      <c r="D78" s="3216" t="s">
        <v>3037</v>
      </c>
      <c r="E78" s="3237">
        <v>0.15</v>
      </c>
      <c r="F78" s="3236">
        <v>20</v>
      </c>
    </row>
    <row r="79" spans="1:7" s="800" customFormat="1" ht="24">
      <c r="A79" s="3236">
        <v>7</v>
      </c>
      <c r="B79" s="3566"/>
      <c r="C79" s="3216" t="s">
        <v>3038</v>
      </c>
      <c r="D79" s="3216" t="s">
        <v>3039</v>
      </c>
      <c r="E79" s="3237">
        <v>0.15</v>
      </c>
      <c r="F79" s="3236">
        <v>20</v>
      </c>
    </row>
    <row r="80" spans="1:7" s="800" customFormat="1" ht="24">
      <c r="A80" s="3236">
        <v>8</v>
      </c>
      <c r="B80" s="3566"/>
      <c r="C80" s="3216" t="s">
        <v>3040</v>
      </c>
      <c r="D80" s="3216" t="s">
        <v>3041</v>
      </c>
      <c r="E80" s="3237">
        <v>0.1</v>
      </c>
      <c r="F80" s="3236">
        <v>15</v>
      </c>
    </row>
    <row r="81" spans="1:6" s="800" customFormat="1" ht="24">
      <c r="A81" s="3236">
        <v>9</v>
      </c>
      <c r="B81" s="3566"/>
      <c r="C81" s="3216" t="s">
        <v>3042</v>
      </c>
      <c r="D81" s="3216" t="s">
        <v>3043</v>
      </c>
      <c r="E81" s="3237">
        <v>0.1</v>
      </c>
      <c r="F81" s="3236">
        <v>15</v>
      </c>
    </row>
    <row r="82" spans="1:6" s="800" customFormat="1" ht="24">
      <c r="A82" s="3236">
        <v>10</v>
      </c>
      <c r="B82" s="3566"/>
      <c r="C82" s="3216" t="s">
        <v>3044</v>
      </c>
      <c r="D82" s="3216" t="s">
        <v>3045</v>
      </c>
      <c r="E82" s="3237">
        <v>0.1</v>
      </c>
      <c r="F82" s="3236">
        <v>15</v>
      </c>
    </row>
    <row r="83" spans="1:6" s="800" customFormat="1" ht="24">
      <c r="A83" s="3236">
        <v>11</v>
      </c>
      <c r="B83" s="3566"/>
      <c r="C83" s="3216" t="s">
        <v>3046</v>
      </c>
      <c r="D83" s="3216" t="s">
        <v>3047</v>
      </c>
      <c r="E83" s="3237">
        <v>0.1</v>
      </c>
      <c r="F83" s="3236">
        <v>15</v>
      </c>
    </row>
    <row r="84" spans="1:6" s="800" customFormat="1" ht="24">
      <c r="A84" s="3236">
        <v>12</v>
      </c>
      <c r="B84" s="3566"/>
      <c r="C84" s="3216" t="s">
        <v>3048</v>
      </c>
      <c r="D84" s="3216" t="s">
        <v>3049</v>
      </c>
      <c r="E84" s="3237">
        <v>0.1</v>
      </c>
      <c r="F84" s="3236">
        <v>15</v>
      </c>
    </row>
    <row r="85" spans="1:6" s="800" customFormat="1" ht="13.5">
      <c r="A85" s="3236">
        <v>13</v>
      </c>
      <c r="B85" s="3566"/>
      <c r="C85" s="3216" t="s">
        <v>3050</v>
      </c>
      <c r="D85" s="3216" t="s">
        <v>3051</v>
      </c>
      <c r="E85" s="3237">
        <v>0.1</v>
      </c>
      <c r="F85" s="3236">
        <v>15</v>
      </c>
    </row>
    <row r="86" spans="1:6" s="800" customFormat="1" ht="13.5">
      <c r="A86" s="3236">
        <v>14</v>
      </c>
      <c r="B86" s="3566"/>
      <c r="C86" s="3216" t="s">
        <v>3052</v>
      </c>
      <c r="D86" s="3216" t="s">
        <v>3053</v>
      </c>
      <c r="E86" s="3237">
        <v>0.1</v>
      </c>
      <c r="F86" s="3236">
        <v>15</v>
      </c>
    </row>
    <row r="87" spans="1:6" s="800" customFormat="1" ht="13.5">
      <c r="A87" s="3236">
        <v>15</v>
      </c>
      <c r="B87" s="3566"/>
      <c r="C87" s="3216" t="s">
        <v>3054</v>
      </c>
      <c r="D87" s="3216" t="s">
        <v>3055</v>
      </c>
      <c r="E87" s="3237">
        <v>0.1</v>
      </c>
      <c r="F87" s="3236">
        <v>15</v>
      </c>
    </row>
    <row r="88" spans="1:6" s="800" customFormat="1" ht="24">
      <c r="A88" s="3236">
        <v>16</v>
      </c>
      <c r="B88" s="3566"/>
      <c r="C88" s="3216" t="s">
        <v>3056</v>
      </c>
      <c r="D88" s="3216" t="s">
        <v>3057</v>
      </c>
      <c r="E88" s="3237">
        <v>0.1</v>
      </c>
      <c r="F88" s="3236">
        <v>15</v>
      </c>
    </row>
    <row r="89" spans="1:6" s="800" customFormat="1" ht="24">
      <c r="A89" s="3236">
        <v>17</v>
      </c>
      <c r="B89" s="3575"/>
      <c r="C89" s="3216" t="s">
        <v>3058</v>
      </c>
      <c r="D89" s="3216" t="s">
        <v>3059</v>
      </c>
      <c r="E89" s="3237">
        <v>0.1</v>
      </c>
      <c r="F89" s="3236">
        <v>15</v>
      </c>
    </row>
    <row r="90" spans="1:6" s="800" customFormat="1" ht="13.5">
      <c r="A90" s="3236">
        <v>18</v>
      </c>
      <c r="B90" s="3571" t="s">
        <v>3060</v>
      </c>
      <c r="C90" s="3216" t="s">
        <v>3061</v>
      </c>
      <c r="D90" s="3216" t="s">
        <v>3062</v>
      </c>
      <c r="E90" s="3237">
        <v>0.2</v>
      </c>
      <c r="F90" s="3236">
        <v>25</v>
      </c>
    </row>
    <row r="91" spans="1:6" s="800" customFormat="1" ht="24">
      <c r="A91" s="3236">
        <v>19</v>
      </c>
      <c r="B91" s="3566"/>
      <c r="C91" s="3216" t="s">
        <v>3063</v>
      </c>
      <c r="D91" s="3216" t="s">
        <v>3064</v>
      </c>
      <c r="E91" s="3237">
        <v>0.2</v>
      </c>
      <c r="F91" s="3236">
        <v>25</v>
      </c>
    </row>
    <row r="92" spans="1:6" s="800" customFormat="1" ht="13.5">
      <c r="A92" s="3236">
        <v>20</v>
      </c>
      <c r="B92" s="3566"/>
      <c r="C92" s="3216" t="s">
        <v>3065</v>
      </c>
      <c r="D92" s="3216" t="s">
        <v>3066</v>
      </c>
      <c r="E92" s="3237">
        <v>0.15</v>
      </c>
      <c r="F92" s="3236">
        <v>20</v>
      </c>
    </row>
    <row r="93" spans="1:6" s="800" customFormat="1" ht="24">
      <c r="A93" s="3236">
        <v>21</v>
      </c>
      <c r="B93" s="3566"/>
      <c r="C93" s="3216" t="s">
        <v>3067</v>
      </c>
      <c r="D93" s="3216" t="s">
        <v>3068</v>
      </c>
      <c r="E93" s="3237">
        <v>0.15</v>
      </c>
      <c r="F93" s="3236">
        <v>20</v>
      </c>
    </row>
    <row r="94" spans="1:6" s="800" customFormat="1" ht="24">
      <c r="A94" s="3236">
        <v>22</v>
      </c>
      <c r="B94" s="3566"/>
      <c r="C94" s="3216" t="s">
        <v>3069</v>
      </c>
      <c r="D94" s="3216" t="s">
        <v>3070</v>
      </c>
      <c r="E94" s="3237">
        <v>0.15</v>
      </c>
      <c r="F94" s="3236">
        <v>20</v>
      </c>
    </row>
    <row r="95" spans="1:6" s="800" customFormat="1" ht="36">
      <c r="A95" s="3236">
        <v>23</v>
      </c>
      <c r="B95" s="3566"/>
      <c r="C95" s="3216" t="s">
        <v>3071</v>
      </c>
      <c r="D95" s="3216" t="s">
        <v>3072</v>
      </c>
      <c r="E95" s="3237">
        <v>0.15</v>
      </c>
      <c r="F95" s="3236">
        <v>20</v>
      </c>
    </row>
    <row r="96" spans="1:6" s="800" customFormat="1" ht="13.5">
      <c r="A96" s="3236">
        <v>24</v>
      </c>
      <c r="B96" s="3566"/>
      <c r="C96" s="3216" t="s">
        <v>3073</v>
      </c>
      <c r="D96" s="3216" t="s">
        <v>3074</v>
      </c>
      <c r="E96" s="3237">
        <v>0.1</v>
      </c>
      <c r="F96" s="3236">
        <v>15</v>
      </c>
    </row>
    <row r="97" spans="1:6" s="800" customFormat="1" ht="24">
      <c r="A97" s="3236">
        <v>25</v>
      </c>
      <c r="B97" s="3566"/>
      <c r="C97" s="3216" t="s">
        <v>3075</v>
      </c>
      <c r="D97" s="3216" t="s">
        <v>3076</v>
      </c>
      <c r="E97" s="3237">
        <v>0.1</v>
      </c>
      <c r="F97" s="3236">
        <v>15</v>
      </c>
    </row>
    <row r="98" spans="1:6" s="800" customFormat="1" ht="24">
      <c r="A98" s="3236">
        <v>26</v>
      </c>
      <c r="B98" s="3566"/>
      <c r="C98" s="3216" t="s">
        <v>3077</v>
      </c>
      <c r="D98" s="3216" t="s">
        <v>3078</v>
      </c>
      <c r="E98" s="3237">
        <v>0.1</v>
      </c>
      <c r="F98" s="3236">
        <v>15</v>
      </c>
    </row>
    <row r="99" spans="1:6" s="800" customFormat="1" ht="24">
      <c r="A99" s="3236">
        <v>27</v>
      </c>
      <c r="B99" s="3566"/>
      <c r="C99" s="3216" t="s">
        <v>3079</v>
      </c>
      <c r="D99" s="3216" t="s">
        <v>3080</v>
      </c>
      <c r="E99" s="3237">
        <v>0.1</v>
      </c>
      <c r="F99" s="3236">
        <v>15</v>
      </c>
    </row>
    <row r="100" spans="1:6" s="800" customFormat="1" ht="24">
      <c r="A100" s="3236">
        <v>28</v>
      </c>
      <c r="B100" s="3566"/>
      <c r="C100" s="3216" t="s">
        <v>3081</v>
      </c>
      <c r="D100" s="3216" t="s">
        <v>3082</v>
      </c>
      <c r="E100" s="3237">
        <v>0.1</v>
      </c>
      <c r="F100" s="3236">
        <v>15</v>
      </c>
    </row>
    <row r="101" spans="1:6" s="800" customFormat="1" ht="24">
      <c r="A101" s="3236">
        <v>29</v>
      </c>
      <c r="B101" s="3566"/>
      <c r="C101" s="3216" t="s">
        <v>3083</v>
      </c>
      <c r="D101" s="3216" t="s">
        <v>3084</v>
      </c>
      <c r="E101" s="3237">
        <v>0.1</v>
      </c>
      <c r="F101" s="3236">
        <v>15</v>
      </c>
    </row>
    <row r="102" spans="1:6" s="800" customFormat="1" ht="24">
      <c r="A102" s="3236">
        <v>30</v>
      </c>
      <c r="B102" s="3566"/>
      <c r="C102" s="3216" t="s">
        <v>3085</v>
      </c>
      <c r="D102" s="3216" t="s">
        <v>3086</v>
      </c>
      <c r="E102" s="3237">
        <v>0.1</v>
      </c>
      <c r="F102" s="3236">
        <v>15</v>
      </c>
    </row>
    <row r="103" spans="1:6" s="800" customFormat="1" ht="24">
      <c r="A103" s="3236">
        <v>31</v>
      </c>
      <c r="B103" s="3566"/>
      <c r="C103" s="3216" t="s">
        <v>3087</v>
      </c>
      <c r="D103" s="3216" t="s">
        <v>3088</v>
      </c>
      <c r="E103" s="3237">
        <v>0.1</v>
      </c>
      <c r="F103" s="3236">
        <v>15</v>
      </c>
    </row>
    <row r="104" spans="1:6" s="800" customFormat="1" ht="24">
      <c r="A104" s="3236">
        <v>32</v>
      </c>
      <c r="B104" s="3566"/>
      <c r="C104" s="3216" t="s">
        <v>3089</v>
      </c>
      <c r="D104" s="3216" t="s">
        <v>3090</v>
      </c>
      <c r="E104" s="3237">
        <v>0.1</v>
      </c>
      <c r="F104" s="3236">
        <v>15</v>
      </c>
    </row>
    <row r="105" spans="1:6" s="800" customFormat="1" ht="24">
      <c r="A105" s="3236">
        <v>33</v>
      </c>
      <c r="B105" s="3566"/>
      <c r="C105" s="3216" t="s">
        <v>3091</v>
      </c>
      <c r="D105" s="3216" t="s">
        <v>3092</v>
      </c>
      <c r="E105" s="3237">
        <v>0.1</v>
      </c>
      <c r="F105" s="3236">
        <v>15</v>
      </c>
    </row>
    <row r="106" spans="1:6" s="800" customFormat="1" ht="24">
      <c r="A106" s="3236">
        <v>34</v>
      </c>
      <c r="B106" s="3575"/>
      <c r="C106" s="3216" t="s">
        <v>3093</v>
      </c>
      <c r="D106" s="3216" t="s">
        <v>3094</v>
      </c>
      <c r="E106" s="3237">
        <v>0.1</v>
      </c>
      <c r="F106" s="3236">
        <v>15</v>
      </c>
    </row>
    <row r="107" spans="1:6" s="800" customFormat="1" ht="24">
      <c r="A107" s="3236">
        <v>35</v>
      </c>
      <c r="B107" s="3571" t="s">
        <v>3095</v>
      </c>
      <c r="C107" s="3236" t="s">
        <v>3096</v>
      </c>
      <c r="D107" s="3216" t="s">
        <v>3097</v>
      </c>
      <c r="E107" s="3237">
        <v>0.15</v>
      </c>
      <c r="F107" s="3236">
        <v>20</v>
      </c>
    </row>
    <row r="108" spans="1:6" s="800" customFormat="1" ht="24">
      <c r="A108" s="3236">
        <v>36</v>
      </c>
      <c r="B108" s="3566"/>
      <c r="C108" s="3236" t="s">
        <v>3098</v>
      </c>
      <c r="D108" s="3216" t="s">
        <v>3099</v>
      </c>
      <c r="E108" s="3237">
        <v>0.15</v>
      </c>
      <c r="F108" s="3236">
        <v>20</v>
      </c>
    </row>
    <row r="109" spans="1:6" s="800" customFormat="1" ht="24">
      <c r="A109" s="3236">
        <v>37</v>
      </c>
      <c r="B109" s="3566"/>
      <c r="C109" s="3236" t="s">
        <v>3100</v>
      </c>
      <c r="D109" s="3216" t="s">
        <v>3101</v>
      </c>
      <c r="E109" s="3237">
        <v>0.15</v>
      </c>
      <c r="F109" s="3236">
        <v>20</v>
      </c>
    </row>
    <row r="110" spans="1:6" s="800" customFormat="1" ht="13.5">
      <c r="A110" s="3236">
        <v>38</v>
      </c>
      <c r="B110" s="3566"/>
      <c r="C110" s="3236" t="s">
        <v>3102</v>
      </c>
      <c r="D110" s="3216" t="s">
        <v>3103</v>
      </c>
      <c r="E110" s="3237">
        <v>0.1</v>
      </c>
      <c r="F110" s="3236">
        <v>15</v>
      </c>
    </row>
    <row r="111" spans="1:6" s="800" customFormat="1" ht="24">
      <c r="A111" s="3236">
        <v>39</v>
      </c>
      <c r="B111" s="3566"/>
      <c r="C111" s="3236" t="s">
        <v>3104</v>
      </c>
      <c r="D111" s="3216" t="s">
        <v>3105</v>
      </c>
      <c r="E111" s="3237">
        <v>0.1</v>
      </c>
      <c r="F111" s="3236">
        <v>15</v>
      </c>
    </row>
    <row r="112" spans="1:6" s="800" customFormat="1" ht="24">
      <c r="A112" s="3236">
        <v>40</v>
      </c>
      <c r="B112" s="3575"/>
      <c r="C112" s="3236" t="s">
        <v>3106</v>
      </c>
      <c r="D112" s="3216" t="s">
        <v>3107</v>
      </c>
      <c r="E112" s="3237">
        <v>0.1</v>
      </c>
      <c r="F112" s="3236">
        <v>15</v>
      </c>
    </row>
    <row r="113" spans="1:6" s="800" customFormat="1" ht="24">
      <c r="A113" s="3236">
        <v>41</v>
      </c>
      <c r="B113" s="3576" t="s">
        <v>3108</v>
      </c>
      <c r="C113" s="3236" t="s">
        <v>3109</v>
      </c>
      <c r="D113" s="3216" t="s">
        <v>3110</v>
      </c>
      <c r="E113" s="3237">
        <v>0.1</v>
      </c>
      <c r="F113" s="3236">
        <v>15</v>
      </c>
    </row>
    <row r="114" spans="1:6" s="800" customFormat="1" ht="13.5">
      <c r="A114" s="3236">
        <v>42</v>
      </c>
      <c r="B114" s="3576"/>
      <c r="C114" s="3236" t="s">
        <v>3111</v>
      </c>
      <c r="D114" s="3216" t="s">
        <v>3112</v>
      </c>
      <c r="E114" s="3237">
        <v>0.1</v>
      </c>
      <c r="F114" s="3236">
        <v>15</v>
      </c>
    </row>
    <row r="115" spans="1:6" s="800" customFormat="1" ht="24">
      <c r="A115" s="3236">
        <v>43</v>
      </c>
      <c r="B115" s="3576"/>
      <c r="C115" s="3236" t="s">
        <v>3113</v>
      </c>
      <c r="D115" s="3216" t="s">
        <v>3114</v>
      </c>
      <c r="E115" s="3237">
        <v>0.1</v>
      </c>
      <c r="F115" s="3236">
        <v>15</v>
      </c>
    </row>
    <row r="116" spans="1:6" s="800" customFormat="1" ht="24">
      <c r="A116" s="3236">
        <v>44</v>
      </c>
      <c r="B116" s="3571" t="s">
        <v>3115</v>
      </c>
      <c r="C116" s="3236" t="s">
        <v>3116</v>
      </c>
      <c r="D116" s="3216" t="s">
        <v>3117</v>
      </c>
      <c r="E116" s="3237">
        <v>0.1</v>
      </c>
      <c r="F116" s="3236">
        <v>15</v>
      </c>
    </row>
    <row r="117" spans="1:6" s="800" customFormat="1" ht="24">
      <c r="A117" s="3236">
        <v>45</v>
      </c>
      <c r="B117" s="3575"/>
      <c r="C117" s="3216" t="s">
        <v>3118</v>
      </c>
      <c r="D117" s="3216" t="s">
        <v>3119</v>
      </c>
      <c r="E117" s="3237">
        <v>0.1</v>
      </c>
      <c r="F117" s="3236">
        <v>15</v>
      </c>
    </row>
    <row r="118" spans="1:6" s="800" customFormat="1" ht="24">
      <c r="A118" s="3236">
        <v>46</v>
      </c>
      <c r="B118" s="3571" t="s">
        <v>3120</v>
      </c>
      <c r="C118" s="3236" t="s">
        <v>3121</v>
      </c>
      <c r="D118" s="3216" t="s">
        <v>3122</v>
      </c>
      <c r="E118" s="3237">
        <v>0.1</v>
      </c>
      <c r="F118" s="3236">
        <v>15</v>
      </c>
    </row>
    <row r="119" spans="1:6" s="800" customFormat="1" ht="24">
      <c r="A119" s="3236">
        <v>47</v>
      </c>
      <c r="B119" s="3575"/>
      <c r="C119" s="3236" t="s">
        <v>3123</v>
      </c>
      <c r="D119" s="3216" t="s">
        <v>3124</v>
      </c>
      <c r="E119" s="3237">
        <v>0.1</v>
      </c>
      <c r="F119" s="3236">
        <v>15</v>
      </c>
    </row>
    <row r="120" spans="1:6" s="800" customFormat="1" ht="24">
      <c r="A120" s="3236">
        <v>48</v>
      </c>
      <c r="B120" s="3571" t="s">
        <v>3125</v>
      </c>
      <c r="C120" s="3236" t="s">
        <v>3126</v>
      </c>
      <c r="D120" s="3216" t="s">
        <v>3127</v>
      </c>
      <c r="E120" s="3237">
        <v>0.1</v>
      </c>
      <c r="F120" s="3236">
        <v>15</v>
      </c>
    </row>
    <row r="121" spans="1:6" s="800" customFormat="1" ht="13.5">
      <c r="A121" s="3236">
        <v>49</v>
      </c>
      <c r="B121" s="3575"/>
      <c r="C121" s="3236" t="s">
        <v>3128</v>
      </c>
      <c r="D121" s="3216" t="s">
        <v>3129</v>
      </c>
      <c r="E121" s="3237">
        <v>0.1</v>
      </c>
      <c r="F121" s="3236">
        <v>15</v>
      </c>
    </row>
    <row r="122" spans="1:6" s="800" customFormat="1" ht="24">
      <c r="A122" s="3236">
        <v>50</v>
      </c>
      <c r="B122" s="3576" t="s">
        <v>3130</v>
      </c>
      <c r="C122" s="3236" t="s">
        <v>3131</v>
      </c>
      <c r="D122" s="3216" t="s">
        <v>3132</v>
      </c>
      <c r="E122" s="3237">
        <v>0.1</v>
      </c>
      <c r="F122" s="3236">
        <v>15</v>
      </c>
    </row>
    <row r="123" spans="1:6" s="800" customFormat="1" ht="24">
      <c r="A123" s="3236">
        <v>51</v>
      </c>
      <c r="B123" s="3576"/>
      <c r="C123" s="3236" t="s">
        <v>3133</v>
      </c>
      <c r="D123" s="3216" t="s">
        <v>3134</v>
      </c>
      <c r="E123" s="3237">
        <v>0.1</v>
      </c>
      <c r="F123" s="3236">
        <v>15</v>
      </c>
    </row>
    <row r="124" spans="1:6" s="800" customFormat="1" ht="24">
      <c r="A124" s="3236">
        <v>52</v>
      </c>
      <c r="B124" s="3576" t="s">
        <v>3135</v>
      </c>
      <c r="C124" s="3236" t="s">
        <v>3136</v>
      </c>
      <c r="D124" s="3216" t="s">
        <v>3137</v>
      </c>
      <c r="E124" s="3237">
        <v>0.1</v>
      </c>
      <c r="F124" s="3236">
        <v>15</v>
      </c>
    </row>
    <row r="125" spans="1:6" s="800" customFormat="1" ht="24">
      <c r="A125" s="3236">
        <v>53</v>
      </c>
      <c r="B125" s="3576"/>
      <c r="C125" s="3236" t="s">
        <v>3138</v>
      </c>
      <c r="D125" s="3216" t="s">
        <v>3139</v>
      </c>
      <c r="E125" s="3237">
        <v>0.1</v>
      </c>
      <c r="F125" s="3236">
        <v>15</v>
      </c>
    </row>
    <row r="126" spans="1:6" ht="24">
      <c r="A126" s="3236">
        <v>54</v>
      </c>
      <c r="B126" s="3236" t="s">
        <v>3140</v>
      </c>
      <c r="C126" s="3236" t="s">
        <v>3141</v>
      </c>
      <c r="D126" s="3216" t="s">
        <v>3142</v>
      </c>
      <c r="E126" s="3237">
        <v>0.1</v>
      </c>
      <c r="F126" s="3236">
        <v>15</v>
      </c>
    </row>
    <row r="127" spans="1:6" ht="13.5">
      <c r="A127" s="3236">
        <v>55</v>
      </c>
      <c r="B127" s="3576" t="s">
        <v>3143</v>
      </c>
      <c r="C127" s="3236" t="s">
        <v>3144</v>
      </c>
      <c r="D127" s="3216" t="s">
        <v>3145</v>
      </c>
      <c r="E127" s="3237">
        <v>0.1</v>
      </c>
      <c r="F127" s="3236">
        <v>15</v>
      </c>
    </row>
    <row r="128" spans="1:6" ht="13.5">
      <c r="A128" s="3236">
        <v>56</v>
      </c>
      <c r="B128" s="3576"/>
      <c r="C128" s="3236" t="s">
        <v>3146</v>
      </c>
      <c r="D128" s="3216" t="s">
        <v>3147</v>
      </c>
      <c r="E128" s="3237">
        <v>0.1</v>
      </c>
      <c r="F128" s="3236">
        <v>15</v>
      </c>
    </row>
    <row r="129" spans="1:6" ht="24">
      <c r="A129" s="3236">
        <v>57</v>
      </c>
      <c r="B129" s="3576"/>
      <c r="C129" s="3236" t="s">
        <v>3148</v>
      </c>
      <c r="D129" s="3216" t="s">
        <v>3149</v>
      </c>
      <c r="E129" s="3237">
        <v>0.1</v>
      </c>
      <c r="F129" s="3236">
        <v>15</v>
      </c>
    </row>
    <row r="130" spans="1:6" ht="24">
      <c r="A130" s="3236">
        <v>58</v>
      </c>
      <c r="B130" s="3576" t="s">
        <v>3150</v>
      </c>
      <c r="C130" s="3236" t="s">
        <v>3151</v>
      </c>
      <c r="D130" s="3216" t="s">
        <v>3152</v>
      </c>
      <c r="E130" s="3237">
        <v>0.1</v>
      </c>
      <c r="F130" s="3236">
        <v>15</v>
      </c>
    </row>
    <row r="131" spans="1:6" ht="24">
      <c r="A131" s="3236">
        <v>59</v>
      </c>
      <c r="B131" s="3576"/>
      <c r="C131" s="3236" t="s">
        <v>3153</v>
      </c>
      <c r="D131" s="3216" t="s">
        <v>3154</v>
      </c>
      <c r="E131" s="3237">
        <v>0.1</v>
      </c>
      <c r="F131" s="3236">
        <v>15</v>
      </c>
    </row>
    <row r="132" spans="1:6" ht="24">
      <c r="A132" s="3236">
        <v>60</v>
      </c>
      <c r="B132" s="3571" t="s">
        <v>3155</v>
      </c>
      <c r="C132" s="3236" t="s">
        <v>3156</v>
      </c>
      <c r="D132" s="3216" t="s">
        <v>3157</v>
      </c>
      <c r="E132" s="3237">
        <v>0.1</v>
      </c>
      <c r="F132" s="3236">
        <v>15</v>
      </c>
    </row>
    <row r="133" spans="1:6" ht="24">
      <c r="A133" s="3236">
        <v>61</v>
      </c>
      <c r="B133" s="3575"/>
      <c r="C133" s="3236" t="s">
        <v>3158</v>
      </c>
      <c r="D133" s="3216" t="s">
        <v>3159</v>
      </c>
      <c r="E133" s="3237">
        <v>0.1</v>
      </c>
      <c r="F133" s="3236">
        <v>15</v>
      </c>
    </row>
    <row r="134" spans="1:6" ht="24">
      <c r="A134" s="3236">
        <v>62</v>
      </c>
      <c r="B134" s="3236" t="s">
        <v>3160</v>
      </c>
      <c r="C134" s="3236" t="s">
        <v>3161</v>
      </c>
      <c r="D134" s="3216" t="s">
        <v>3162</v>
      </c>
      <c r="E134" s="3237">
        <v>0.1</v>
      </c>
      <c r="F134" s="3236">
        <v>15</v>
      </c>
    </row>
    <row r="135" spans="1:6" ht="24">
      <c r="A135" s="3236">
        <v>63</v>
      </c>
      <c r="B135" s="3576" t="s">
        <v>3163</v>
      </c>
      <c r="C135" s="3236" t="s">
        <v>3164</v>
      </c>
      <c r="D135" s="3216" t="s">
        <v>3165</v>
      </c>
      <c r="E135" s="3237">
        <v>0.1</v>
      </c>
      <c r="F135" s="3236">
        <v>15</v>
      </c>
    </row>
    <row r="136" spans="1:6" ht="13.5">
      <c r="A136" s="3236">
        <v>64</v>
      </c>
      <c r="B136" s="3576"/>
      <c r="C136" s="3236" t="s">
        <v>3166</v>
      </c>
      <c r="D136" s="3216" t="s">
        <v>3167</v>
      </c>
      <c r="E136" s="3237">
        <v>0.1</v>
      </c>
      <c r="F136" s="3236">
        <v>15</v>
      </c>
    </row>
    <row r="137" spans="1:6" ht="24">
      <c r="A137" s="3236">
        <v>65</v>
      </c>
      <c r="B137" s="3236" t="s">
        <v>3168</v>
      </c>
      <c r="C137" s="3236" t="s">
        <v>3169</v>
      </c>
      <c r="D137" s="3216" t="s">
        <v>3170</v>
      </c>
      <c r="E137" s="3237">
        <v>0.1</v>
      </c>
      <c r="F137" s="3236">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0.90710000000000002</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2577</v>
      </c>
      <c r="B1" s="2313"/>
      <c r="C1" s="2313"/>
      <c r="D1" s="2313"/>
      <c r="E1" s="2313"/>
      <c r="F1" s="2973"/>
      <c r="G1" s="2973"/>
      <c r="H1" s="2973"/>
      <c r="I1" s="2973"/>
      <c r="J1" s="2973"/>
      <c r="K1" s="2973"/>
      <c r="L1" s="2973"/>
      <c r="M1" s="2973"/>
      <c r="N1" s="2973"/>
      <c r="O1" s="2973"/>
      <c r="P1" s="2973"/>
    </row>
    <row r="2" spans="1:16" ht="15.75">
      <c r="A2" s="2311" t="s">
        <v>2569</v>
      </c>
      <c r="B2" s="2777" t="e">
        <f ca="1">SUMIF(B6:B13,"&lt;&gt;#ref!",B6:B13)</f>
        <v>#DIV/0!</v>
      </c>
      <c r="C2" s="2311" t="s">
        <v>2570</v>
      </c>
      <c r="D2" s="2311" t="s">
        <v>2571</v>
      </c>
      <c r="E2" s="2787">
        <f ca="1">SUMIF(E6:E13,"&lt;&gt;#ref!",E6:E13)</f>
        <v>0</v>
      </c>
      <c r="F2" s="2973"/>
      <c r="G2" s="2973"/>
      <c r="H2" s="2973"/>
      <c r="I2" s="2973"/>
      <c r="J2" s="2973"/>
      <c r="K2" s="2973"/>
      <c r="L2" s="2973"/>
      <c r="M2" s="2973"/>
      <c r="N2" s="2973"/>
      <c r="O2" s="2973"/>
      <c r="P2" s="2973"/>
    </row>
    <row r="3" spans="1:16" ht="15.75">
      <c r="A3" s="2311" t="s">
        <v>2572</v>
      </c>
      <c r="B3" s="2777" t="e">
        <f ca="1">ROUND(B2*10000/E2,0)</f>
        <v>#DIV/0!</v>
      </c>
      <c r="C3" s="2311" t="s">
        <v>2578</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2573</v>
      </c>
      <c r="B5" s="2785" t="s">
        <v>2574</v>
      </c>
      <c r="C5" s="2312"/>
      <c r="D5" s="2973"/>
      <c r="E5" s="2786" t="s">
        <v>2575</v>
      </c>
      <c r="F5" s="2973"/>
      <c r="G5" s="2973"/>
      <c r="H5" s="2973"/>
      <c r="I5" s="2973"/>
      <c r="J5" s="2973"/>
      <c r="K5" s="2973"/>
      <c r="L5" s="2973"/>
      <c r="M5" s="2973"/>
      <c r="N5" s="2973"/>
      <c r="O5" s="2973"/>
      <c r="P5" s="2973"/>
    </row>
    <row r="6" spans="1:16" ht="15.75">
      <c r="A6" s="2784" t="s">
        <v>2576</v>
      </c>
      <c r="B6" s="2777" t="e">
        <f ca="1">SUMIF(INDIRECT("'"&amp;A6&amp;"'"&amp;"!A:A"),"总价",INDIRECT("'"&amp;A6&amp;"'"&amp;"!B:B"))</f>
        <v>#DIV/0!</v>
      </c>
      <c r="C6" s="2311" t="s">
        <v>2570</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2570</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2570</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2570</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2570</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2570</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2570</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2570</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2" t="s">
        <v>877</v>
      </c>
      <c r="C1" s="3582"/>
      <c r="D1" s="3582"/>
      <c r="E1" s="3582"/>
      <c r="F1" s="3582"/>
      <c r="G1" s="3578" t="s">
        <v>878</v>
      </c>
      <c r="H1" s="3578"/>
      <c r="I1" s="3578"/>
      <c r="J1" s="3578"/>
      <c r="K1" s="3578"/>
      <c r="L1" s="3578"/>
      <c r="N1" s="3578" t="s">
        <v>879</v>
      </c>
      <c r="O1" s="3578"/>
      <c r="P1" s="3578"/>
      <c r="Q1" s="3578"/>
      <c r="S1" s="3578" t="s">
        <v>880</v>
      </c>
      <c r="T1" s="3578"/>
      <c r="U1" s="3578"/>
      <c r="V1" s="3578"/>
      <c r="X1" s="3577" t="s">
        <v>881</v>
      </c>
      <c r="Y1" s="3578"/>
      <c r="Z1" s="3578"/>
      <c r="AA1" s="3578"/>
      <c r="AB1" s="3578"/>
      <c r="AD1" s="3577" t="s">
        <v>882</v>
      </c>
      <c r="AE1" s="3578"/>
      <c r="AF1" s="3578"/>
      <c r="AG1" s="3578"/>
      <c r="AH1" s="3578"/>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2610</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2938</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2611</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2937</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2627</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2625</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2624</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2623</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2621</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2619</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2622</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2617</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2616</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2609</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2607</v>
      </c>
      <c r="B22" s="2388">
        <v>439</v>
      </c>
      <c r="C22" s="2388">
        <v>327</v>
      </c>
      <c r="D22" s="2388">
        <f>C22</f>
        <v>327</v>
      </c>
      <c r="E22" s="2388">
        <v>627</v>
      </c>
      <c r="F22" s="2389">
        <v>283</v>
      </c>
      <c r="G22" s="358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2608</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28"/>
      <c r="B4" s="3255" t="s">
        <v>1354</v>
      </c>
      <c r="C4" s="3255"/>
      <c r="D4" s="3255"/>
      <c r="E4" s="1628"/>
    </row>
    <row r="5" spans="1:5" ht="16.5" thickTop="1">
      <c r="A5" s="1626"/>
      <c r="B5" s="3253" t="s">
        <v>1346</v>
      </c>
      <c r="C5" s="1629" t="s">
        <v>1347</v>
      </c>
      <c r="D5" s="939">
        <f ca="1">结果表!H101</f>
        <v>55815</v>
      </c>
      <c r="E5" s="1626"/>
    </row>
    <row r="6" spans="1:5" ht="15.75">
      <c r="A6" s="1626"/>
      <c r="B6" s="3253"/>
      <c r="C6" s="1629" t="s">
        <v>1348</v>
      </c>
      <c r="D6" s="939" t="str">
        <f ca="1">NUMBERSTRING(INT(D5*10000),2)&amp;"元整"</f>
        <v>伍亿伍仟捌佰壹拾伍万元整</v>
      </c>
      <c r="E6" s="1626"/>
    </row>
    <row r="7" spans="1:5" ht="15.75">
      <c r="A7" s="1626"/>
      <c r="B7" s="3258"/>
      <c r="C7" s="1630" t="s">
        <v>1349</v>
      </c>
      <c r="D7" s="940">
        <f ca="1">结果表!H102</f>
        <v>10839</v>
      </c>
      <c r="E7" s="1626"/>
    </row>
    <row r="8" spans="1:5" ht="15.75">
      <c r="A8" s="1626"/>
      <c r="B8" s="3259" t="str">
        <f>结果表!E103</f>
        <v>2.估价师知悉的法定优先受偿款</v>
      </c>
      <c r="C8" s="1631" t="s">
        <v>1350</v>
      </c>
      <c r="D8" s="940">
        <f>结果表!H103</f>
        <v>0</v>
      </c>
      <c r="E8" s="1626"/>
    </row>
    <row r="9" spans="1:5" ht="15.75">
      <c r="A9" s="1626"/>
      <c r="B9" s="3261"/>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2" t="str">
        <f>结果表!E107</f>
        <v>3.房地产抵押价值</v>
      </c>
      <c r="C13" s="1634" t="s">
        <v>1347</v>
      </c>
      <c r="D13" s="942">
        <f ca="1">结果表!H107</f>
        <v>55815</v>
      </c>
      <c r="E13" s="1626"/>
    </row>
    <row r="14" spans="1:5" ht="15.75">
      <c r="A14" s="1626"/>
      <c r="B14" s="3253"/>
      <c r="C14" s="1629" t="s">
        <v>1348</v>
      </c>
      <c r="D14" s="939" t="str">
        <f ca="1">NUMBERSTRING(INT(D13*10000),2)&amp;"元整"</f>
        <v>伍亿伍仟捌佰壹拾伍万元整</v>
      </c>
      <c r="E14" s="1626"/>
    </row>
    <row r="15" spans="1:5" ht="15">
      <c r="A15" s="1626"/>
      <c r="B15" s="3258"/>
      <c r="C15" s="1630" t="s">
        <v>1358</v>
      </c>
      <c r="D15" s="948">
        <f ca="1">结果表!H108</f>
        <v>10839</v>
      </c>
      <c r="E15" s="1626"/>
    </row>
    <row r="16" spans="1:5" ht="15">
      <c r="A16" s="1626"/>
      <c r="B16" s="3259" t="str">
        <f>结果表!E109</f>
        <v>——</v>
      </c>
      <c r="C16" s="1634" t="s">
        <v>1359</v>
      </c>
      <c r="D16" s="1635" t="str">
        <f>结果表!H109</f>
        <v>——</v>
      </c>
      <c r="E16" s="1626"/>
    </row>
    <row r="17" spans="1:5" ht="15.75">
      <c r="A17" s="1626"/>
      <c r="B17" s="3260"/>
      <c r="C17" s="1629" t="s">
        <v>1360</v>
      </c>
      <c r="D17" s="939" t="e">
        <f>NUMBERSTRING(INT(D16*10000),2)&amp;"元整"</f>
        <v>#VALUE!</v>
      </c>
      <c r="E17" s="1626"/>
    </row>
    <row r="18" spans="1:5" ht="15">
      <c r="A18" s="1626"/>
      <c r="B18" s="3261"/>
      <c r="C18" s="1630" t="s">
        <v>1349</v>
      </c>
      <c r="D18" s="948" t="str">
        <f>结果表!H110</f>
        <v>——</v>
      </c>
      <c r="E18" s="1626"/>
    </row>
    <row r="19" spans="1:5" ht="15.75">
      <c r="A19" s="1626"/>
      <c r="B19" s="3252" t="str">
        <f>结果表!E111</f>
        <v>4.抵押净值</v>
      </c>
      <c r="C19" s="1634" t="s">
        <v>1347</v>
      </c>
      <c r="D19" s="940">
        <f ca="1">结果表!H111</f>
        <v>22576</v>
      </c>
      <c r="E19" s="1626"/>
    </row>
    <row r="20" spans="1:5" ht="15.75">
      <c r="A20" s="1626"/>
      <c r="B20" s="3253"/>
      <c r="C20" s="1629" t="s">
        <v>1360</v>
      </c>
      <c r="D20" s="939" t="str">
        <f ca="1">NUMBERSTRING(INT(D19*10000),2)&amp;"元整"</f>
        <v>贰亿贰仟伍佰柒拾陆万元整</v>
      </c>
      <c r="E20" s="1626"/>
    </row>
    <row r="21" spans="1:5" ht="15.75" thickBot="1">
      <c r="A21" s="1626"/>
      <c r="B21" s="3254"/>
      <c r="C21" s="1636" t="s">
        <v>1358</v>
      </c>
      <c r="D21" s="949">
        <f ca="1">结果表!H112</f>
        <v>4384</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2579</v>
      </c>
      <c r="C1" s="3591" t="s">
        <v>2580</v>
      </c>
      <c r="D1" s="3592"/>
      <c r="E1" s="3592"/>
      <c r="F1" s="3592"/>
      <c r="G1" s="3592"/>
      <c r="H1" s="3592"/>
      <c r="I1" s="3592"/>
      <c r="J1" s="3592"/>
      <c r="K1" s="3592"/>
      <c r="L1" s="3592"/>
      <c r="M1" s="3592"/>
      <c r="N1" s="3592"/>
      <c r="O1" s="3592"/>
      <c r="P1" s="3592"/>
      <c r="Q1" s="3592"/>
      <c r="R1" s="3592"/>
      <c r="S1" s="3593"/>
      <c r="T1" s="1094" t="s">
        <v>2581</v>
      </c>
    </row>
    <row r="2" spans="1:45" s="662" customFormat="1">
      <c r="A2" s="1095"/>
      <c r="B2" s="658" t="s">
        <v>2582</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2583</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2584</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2585</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2589</v>
      </c>
      <c r="B17" s="2315"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2591</v>
      </c>
      <c r="E19" s="1474"/>
      <c r="F19" s="1474"/>
      <c r="G19" s="1474"/>
      <c r="H19" s="1170"/>
      <c r="I19" s="163"/>
      <c r="J19" s="163"/>
      <c r="K19" s="163"/>
      <c r="L19" s="163"/>
      <c r="M19" s="163"/>
      <c r="N19" s="163"/>
      <c r="O19" s="163"/>
      <c r="P19" s="163"/>
      <c r="Q19" s="163"/>
      <c r="R19" s="726"/>
      <c r="S19" s="133"/>
    </row>
    <row r="20" spans="1:45" ht="16.5" thickBot="1">
      <c r="A20" s="670" t="s">
        <v>2592</v>
      </c>
      <c r="B20" s="299" t="e">
        <f ca="1">IF(D20="——",S22,S22-F20)</f>
        <v>#REF!</v>
      </c>
      <c r="C20" s="163"/>
      <c r="D20" s="2317"/>
      <c r="E20" s="1475"/>
      <c r="F20" s="1094" t="e">
        <f ca="1">SUMIF(INDIRECT("'"&amp;H20&amp;"'"&amp;"!A:A"),"承租人权益价值",INDIRECT("'"&amp;H20&amp;"'"&amp;"!c:c"))</f>
        <v>#REF!</v>
      </c>
      <c r="G20" s="1094" t="s">
        <v>2593</v>
      </c>
      <c r="H20" s="2318"/>
      <c r="I20" s="163"/>
      <c r="J20" s="163"/>
      <c r="K20" s="163"/>
      <c r="L20" s="163"/>
      <c r="M20" s="163"/>
      <c r="N20" s="163"/>
      <c r="O20" s="163"/>
      <c r="P20" s="163"/>
      <c r="Q20" s="163"/>
      <c r="R20" s="726"/>
      <c r="S20" s="133"/>
    </row>
    <row r="21" spans="1:45" ht="15.75">
      <c r="A21" s="670" t="s">
        <v>2594</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2595</v>
      </c>
      <c r="B22" s="24">
        <f>SUM(B24:B10000)</f>
        <v>100</v>
      </c>
      <c r="C22" s="3588" t="s">
        <v>33</v>
      </c>
      <c r="D22" s="3589"/>
      <c r="E22" s="3589"/>
      <c r="F22" s="3589"/>
      <c r="G22" s="3589"/>
      <c r="H22" s="3589"/>
      <c r="I22" s="3589"/>
      <c r="J22" s="3589"/>
      <c r="K22" s="3589"/>
      <c r="L22" s="3589"/>
      <c r="M22" s="3589"/>
      <c r="N22" s="3589"/>
      <c r="O22" s="3589"/>
      <c r="P22" s="3589"/>
      <c r="Q22" s="3590"/>
      <c r="R22" s="671">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2" t="s">
        <v>2599</v>
      </c>
      <c r="S23" s="11" t="s">
        <v>2600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2601</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45590</v>
      </c>
      <c r="C2" s="2" t="s">
        <v>133</v>
      </c>
      <c r="D2" s="204"/>
      <c r="E2" s="204"/>
      <c r="F2" s="204"/>
      <c r="G2" s="204"/>
    </row>
    <row r="3" spans="1:7" s="205" customFormat="1" ht="18" customHeight="1" thickBot="1">
      <c r="A3" s="208" t="s">
        <v>85</v>
      </c>
      <c r="B3" s="209">
        <f ca="1">ROUND(B2*10000/'数据-汇总表'!E3,0)</f>
        <v>8853</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21000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1000</v>
      </c>
      <c r="D7" s="225"/>
      <c r="E7" s="223"/>
      <c r="F7" s="226">
        <f>'数据-取费表'!B48+'数据-取费表'!B49</f>
        <v>0.05</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1030</v>
      </c>
      <c r="D10" s="934">
        <f>'数据-汇总表'!E6</f>
        <v>51495</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1030</v>
      </c>
      <c r="D19" s="938">
        <f>'数据-汇总表'!E3</f>
        <v>51495</v>
      </c>
      <c r="E19" s="216">
        <f>'数据-取费表'!B31</f>
        <v>200</v>
      </c>
      <c r="F19" s="236"/>
      <c r="G19" s="1" t="s">
        <v>861</v>
      </c>
    </row>
    <row r="20" spans="1:7" s="219" customFormat="1" ht="13.5" customHeight="1">
      <c r="A20" s="865" t="s">
        <v>844</v>
      </c>
      <c r="B20" s="215" t="s">
        <v>104</v>
      </c>
      <c r="C20" s="237">
        <f>ROUND((C5+C19)*F20,0)</f>
        <v>441</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1067</v>
      </c>
      <c r="D22" s="240">
        <f ca="1">C26</f>
        <v>5.0000000000000001E-4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1008</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49</v>
      </c>
      <c r="D24" s="243"/>
      <c r="E24" s="243"/>
      <c r="F24" s="244"/>
      <c r="G24" s="245" t="s">
        <v>109</v>
      </c>
    </row>
    <row r="25" spans="1:7" s="219" customFormat="1" ht="24">
      <c r="A25" s="868" t="s">
        <v>612</v>
      </c>
      <c r="B25" s="220" t="s">
        <v>845</v>
      </c>
      <c r="C25" s="1217">
        <f ca="1">ROUND(IF('数据-取费表'!B22&lt;=1,C20*F22*'数据-取费表'!B23/2,C20*(POWER((1+F22),'数据-取费表'!B23/2)-1)),0)</f>
        <v>10</v>
      </c>
      <c r="D25" s="243"/>
      <c r="E25" s="246"/>
      <c r="F25" s="244"/>
      <c r="G25" s="247" t="s">
        <v>110</v>
      </c>
    </row>
    <row r="26" spans="1:7" s="219" customFormat="1">
      <c r="A26" s="868" t="s">
        <v>614</v>
      </c>
      <c r="B26" s="220" t="s">
        <v>847</v>
      </c>
      <c r="C26" s="243">
        <f ca="1">ROUND(IF('数据-取费表'!B22&lt;=1,F21*F22*'数据-取费表'!B23/2,F21*(POWER((1+F22),'数据-取费表'!B23/2)-1)),4)</f>
        <v>5.0000000000000001E-4</v>
      </c>
      <c r="D26" s="243"/>
      <c r="E26" s="246"/>
      <c r="F26" s="244"/>
      <c r="G26" s="248"/>
    </row>
    <row r="27" spans="1:7" s="219" customFormat="1" ht="24.75">
      <c r="A27" s="865" t="s">
        <v>606</v>
      </c>
      <c r="B27" s="249" t="s">
        <v>112</v>
      </c>
      <c r="C27" s="250">
        <f>C28</f>
        <v>1665</v>
      </c>
      <c r="D27" s="240">
        <f>C29</f>
        <v>1.5E-3</v>
      </c>
      <c r="E27" s="241" t="s">
        <v>126</v>
      </c>
      <c r="F27" s="251">
        <f>'数据-取费表'!Q16</f>
        <v>0.13</v>
      </c>
      <c r="G27" s="252" t="s">
        <v>856</v>
      </c>
    </row>
    <row r="28" spans="1:7" s="219" customFormat="1" ht="13.5" customHeight="1">
      <c r="A28" s="868" t="s">
        <v>613</v>
      </c>
      <c r="B28" s="253" t="s">
        <v>849</v>
      </c>
      <c r="C28" s="254">
        <f>ROUND((C5+C19+C20)*F27*'数据-取费表'!B21/'数据-取费表'!B20,0)</f>
        <v>1665</v>
      </c>
      <c r="D28" s="240"/>
      <c r="E28" s="241"/>
      <c r="F28" s="251"/>
      <c r="G28" s="252"/>
    </row>
    <row r="29" spans="1:7" s="219" customFormat="1" ht="13.5" customHeight="1">
      <c r="A29" s="868" t="s">
        <v>611</v>
      </c>
      <c r="B29" s="253" t="s">
        <v>850</v>
      </c>
      <c r="C29" s="243">
        <f>ROUND(C21*F27*'数据-取费表'!B21/'数据-取费表'!B20,4)</f>
        <v>1.5E-3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27256</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14389</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13208</v>
      </c>
      <c r="D34" s="222"/>
      <c r="E34" s="225"/>
      <c r="F34" s="262">
        <f>IF('数据-取费表'!B24=0,1,'数据-取费表'!N16)</f>
        <v>0.56999999999999995</v>
      </c>
      <c r="G34" s="224" t="s">
        <v>116</v>
      </c>
    </row>
    <row r="35" spans="1:7" ht="13.5" customHeight="1">
      <c r="A35" s="868" t="s">
        <v>615</v>
      </c>
      <c r="B35" s="220" t="s">
        <v>60</v>
      </c>
      <c r="C35" s="225">
        <f>ROUND(C34*F35,0)</f>
        <v>396</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587</v>
      </c>
      <c r="D37" s="222">
        <f>'数据-汇总表'!E3</f>
        <v>51495</v>
      </c>
      <c r="E37" s="254">
        <f>'数据-取费表'!B35</f>
        <v>200</v>
      </c>
      <c r="F37" s="264"/>
      <c r="G37" s="266" t="s">
        <v>119</v>
      </c>
    </row>
    <row r="38" spans="1:7" ht="13.5" customHeight="1">
      <c r="A38" s="868" t="s">
        <v>618</v>
      </c>
      <c r="B38" s="220" t="s">
        <v>63</v>
      </c>
      <c r="C38" s="225">
        <f>ROUND(C34*F38,0)</f>
        <v>198</v>
      </c>
      <c r="D38" s="225"/>
      <c r="E38" s="225"/>
      <c r="F38" s="264">
        <f>'数据-取费表'!B36</f>
        <v>1.4999999999999999E-2</v>
      </c>
      <c r="G38" s="224" t="s">
        <v>117</v>
      </c>
    </row>
    <row r="39" spans="1:7" s="219" customFormat="1" ht="13.5" customHeight="1">
      <c r="A39" s="865" t="s">
        <v>602</v>
      </c>
      <c r="B39" s="215" t="s">
        <v>104</v>
      </c>
      <c r="C39" s="237">
        <f>ROUND(C33*F20,0)</f>
        <v>288</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348</v>
      </c>
      <c r="D41" s="240">
        <f ca="1">C44</f>
        <v>5.0000000000000001E-4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341</v>
      </c>
      <c r="D42" s="243"/>
      <c r="E42" s="243"/>
      <c r="F42" s="244"/>
      <c r="G42" s="3440" t="s">
        <v>121</v>
      </c>
    </row>
    <row r="43" spans="1:7" ht="13.5" customHeight="1">
      <c r="A43" s="868" t="s">
        <v>611</v>
      </c>
      <c r="B43" s="220" t="s">
        <v>851</v>
      </c>
      <c r="C43" s="243">
        <f ca="1">ROUND(IF('数据-取费表'!B22&lt;=1,C39*F22*'数据-取费表'!B21/2,C39*(POWER((1+F22),'数据-取费表'!B21/2)-1)),0)</f>
        <v>7</v>
      </c>
      <c r="D43" s="243"/>
      <c r="E43" s="243"/>
      <c r="F43" s="244"/>
      <c r="G43" s="3441"/>
    </row>
    <row r="44" spans="1:7" ht="13.5" customHeight="1">
      <c r="A44" s="868" t="s">
        <v>612</v>
      </c>
      <c r="B44" s="220" t="s">
        <v>853</v>
      </c>
      <c r="C44" s="243">
        <f ca="1">ROUND(IF('数据-取费表'!B22&lt;=1,C40*F22*'数据-取费表'!B21/2,C40*(POWER((1+F22),'数据-取费表'!B21/2)-1)),4)</f>
        <v>5.0000000000000001E-4</v>
      </c>
      <c r="D44" s="243"/>
      <c r="E44" s="243"/>
      <c r="F44" s="244"/>
      <c r="G44" s="3442"/>
    </row>
    <row r="45" spans="1:7" s="219" customFormat="1" ht="13.5" customHeight="1">
      <c r="A45" s="865" t="s">
        <v>605</v>
      </c>
      <c r="B45" s="249" t="s">
        <v>112</v>
      </c>
      <c r="C45" s="250">
        <f>C46</f>
        <v>1908</v>
      </c>
      <c r="D45" s="240">
        <f>C47</f>
        <v>2.5999999999999999E-3</v>
      </c>
      <c r="E45" s="241" t="s">
        <v>129</v>
      </c>
      <c r="F45" s="251"/>
      <c r="G45" s="252" t="s">
        <v>859</v>
      </c>
    </row>
    <row r="46" spans="1:7" s="219" customFormat="1" ht="13.5" customHeight="1">
      <c r="A46" s="868" t="s">
        <v>613</v>
      </c>
      <c r="B46" s="253" t="s">
        <v>852</v>
      </c>
      <c r="C46" s="254">
        <f>ROUND((C33+C39)*F27,0)</f>
        <v>1908</v>
      </c>
      <c r="D46" s="268"/>
      <c r="E46" s="241"/>
      <c r="F46" s="251"/>
      <c r="G46" s="252"/>
    </row>
    <row r="47" spans="1:7" s="219" customFormat="1" ht="13.5" customHeight="1">
      <c r="A47" s="868" t="s">
        <v>611</v>
      </c>
      <c r="B47" s="253" t="s">
        <v>854</v>
      </c>
      <c r="C47" s="243">
        <f>ROUND(C40*F27,4)</f>
        <v>2.5999999999999999E-3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18334</v>
      </c>
      <c r="D49" s="237"/>
      <c r="E49" s="237"/>
      <c r="F49" s="269"/>
      <c r="G49" s="239" t="s">
        <v>860</v>
      </c>
    </row>
    <row r="50" spans="1:7" s="263" customFormat="1" ht="24">
      <c r="A50" s="865" t="s">
        <v>608</v>
      </c>
      <c r="B50" s="215" t="s">
        <v>124</v>
      </c>
      <c r="C50" s="237"/>
      <c r="D50" s="237"/>
      <c r="E50" s="237"/>
      <c r="F50" s="269">
        <f>IF('数据-取费表'!B24=0,'数据-取费表'!N16,1)</f>
        <v>1</v>
      </c>
      <c r="G50" s="252" t="s">
        <v>125</v>
      </c>
    </row>
    <row r="51" spans="1:7" ht="16.5" customHeight="1">
      <c r="A51" s="865" t="s">
        <v>609</v>
      </c>
      <c r="B51" s="215" t="s">
        <v>132</v>
      </c>
      <c r="C51" s="237">
        <f ca="1">ROUND(C49*F50,0)</f>
        <v>18334</v>
      </c>
      <c r="D51" s="237"/>
      <c r="E51" s="237"/>
      <c r="F51" s="269"/>
      <c r="G51" s="239" t="s">
        <v>64</v>
      </c>
    </row>
    <row r="52" spans="1:7" s="213" customFormat="1" ht="16.5" thickBot="1">
      <c r="A52" s="270" t="s">
        <v>65</v>
      </c>
      <c r="B52" s="271"/>
      <c r="C52" s="272">
        <f ca="1">C31+C51</f>
        <v>45590</v>
      </c>
      <c r="D52" s="271"/>
      <c r="E52" s="271"/>
      <c r="F52" s="271"/>
      <c r="G52" s="273"/>
    </row>
    <row r="55" spans="1:7" ht="15">
      <c r="B55" s="275" t="s">
        <v>66</v>
      </c>
      <c r="C55" s="276"/>
    </row>
    <row r="56" spans="1:7">
      <c r="B56" s="278" t="s">
        <v>67</v>
      </c>
      <c r="C56" s="279">
        <f ca="1">ROUND(C51/C52,3)</f>
        <v>0.40200000000000002</v>
      </c>
    </row>
    <row r="57" spans="1:7">
      <c r="B57" s="278" t="s">
        <v>68</v>
      </c>
      <c r="C57" s="280">
        <f ca="1">1-C56</f>
        <v>0.59799999999999998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4" t="s">
        <v>156</v>
      </c>
      <c r="B1" s="3594"/>
      <c r="C1" s="3594"/>
      <c r="D1" s="3594"/>
      <c r="E1" s="3594"/>
      <c r="F1" s="359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5" t="s">
        <v>169</v>
      </c>
      <c r="B2" s="3595"/>
      <c r="C2" s="3595"/>
      <c r="D2" s="3595"/>
      <c r="E2" s="3595"/>
      <c r="F2" s="359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6"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7"/>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4" t="s">
        <v>658</v>
      </c>
      <c r="B1" s="3594"/>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2811</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
  <sheetViews>
    <sheetView workbookViewId="0">
      <selection activeCell="N16" sqref="N16"/>
    </sheetView>
  </sheetViews>
  <sheetFormatPr defaultRowHeight="12"/>
  <cols>
    <col min="1" max="1" width="5.5" style="3243" customWidth="1"/>
    <col min="2" max="2" width="13.5" style="3243" customWidth="1"/>
    <col min="3" max="16384" width="9" style="3243"/>
  </cols>
  <sheetData>
    <row r="1" spans="2:3">
      <c r="C1" s="3243" t="s">
        <v>3201</v>
      </c>
    </row>
    <row r="2" spans="2:3">
      <c r="B2" s="3243" t="s">
        <v>3200</v>
      </c>
      <c r="C2" s="3244" t="s">
        <v>3214</v>
      </c>
    </row>
    <row r="3" spans="2:3">
      <c r="B3" s="3243" t="s">
        <v>3202</v>
      </c>
      <c r="C3" s="3244" t="s">
        <v>3214</v>
      </c>
    </row>
    <row r="4" spans="2:3">
      <c r="B4" s="3243" t="s">
        <v>3215</v>
      </c>
      <c r="C4" s="3243" t="s">
        <v>3216</v>
      </c>
    </row>
    <row r="5" spans="2:3">
      <c r="B5" s="3243" t="s">
        <v>3203</v>
      </c>
      <c r="C5" s="3243" t="s">
        <v>3204</v>
      </c>
    </row>
    <row r="6" spans="2:3">
      <c r="B6" s="3243" t="s">
        <v>3205</v>
      </c>
      <c r="C6" s="3243" t="s">
        <v>3206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2" t="str">
        <f>IF(项目基本情况!B9="房地产市场价值","估价结果一览表","结果表-2")</f>
        <v>结果表-2</v>
      </c>
      <c r="B1" s="3262"/>
      <c r="C1" s="3262"/>
      <c r="D1" s="3262"/>
      <c r="E1" s="3262"/>
      <c r="F1" s="3262"/>
      <c r="G1" s="3262"/>
      <c r="H1" s="3262"/>
      <c r="I1" s="3262"/>
    </row>
    <row r="2" spans="1:9" ht="30" customHeight="1" thickTop="1">
      <c r="A2" s="3263" t="s">
        <v>1365</v>
      </c>
      <c r="B2" s="3263" t="s">
        <v>1366</v>
      </c>
      <c r="C2" s="3263" t="s">
        <v>1367</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64"/>
      <c r="B3" s="3264"/>
      <c r="C3" s="3264"/>
      <c r="D3" s="943" t="s">
        <v>1362</v>
      </c>
      <c r="E3" s="943" t="s">
        <v>1368</v>
      </c>
      <c r="F3" s="943" t="s">
        <v>1362</v>
      </c>
      <c r="G3" s="943" t="s">
        <v>1363</v>
      </c>
      <c r="H3" s="943" t="s">
        <v>1362</v>
      </c>
      <c r="I3" s="943" t="s">
        <v>1363</v>
      </c>
    </row>
    <row r="4" spans="1:9" ht="30">
      <c r="A4" s="1640" t="str">
        <f>项目基本情况!S2</f>
        <v>北京市朝阳区红松园1号院教育科研项目房地产</v>
      </c>
      <c r="B4" s="943">
        <f>项目基本情况!C17</f>
        <v>51495</v>
      </c>
      <c r="C4" s="943">
        <f>项目基本情况!C18</f>
        <v>9950.6</v>
      </c>
      <c r="D4" s="943">
        <f ca="1">结果表!D118</f>
        <v>31815</v>
      </c>
      <c r="E4" s="943">
        <f ca="1">结果表!E118</f>
        <v>6178</v>
      </c>
      <c r="F4" s="943">
        <f ca="1">结果表!F118</f>
        <v>24000</v>
      </c>
      <c r="G4" s="943">
        <f ca="1">结果表!G118</f>
        <v>4661</v>
      </c>
      <c r="H4" s="943">
        <f ca="1">结果表!H118</f>
        <v>55815</v>
      </c>
      <c r="I4" s="943">
        <f ca="1">结果表!I118</f>
        <v>10839</v>
      </c>
    </row>
    <row r="5" spans="1:9" ht="30" customHeight="1">
      <c r="A5" s="3264" t="s">
        <v>1364</v>
      </c>
      <c r="B5" s="3264"/>
      <c r="C5" s="3264"/>
      <c r="D5" s="3265" t="str">
        <f ca="1">结果表!D119</f>
        <v>叁亿壹仟捌佰壹拾伍万元整</v>
      </c>
      <c r="E5" s="3265"/>
      <c r="F5" s="3265" t="str">
        <f ca="1">结果表!F119</f>
        <v>贰亿肆仟万元整</v>
      </c>
      <c r="G5" s="3265"/>
      <c r="H5" s="3265" t="str">
        <f ca="1">结果表!H119</f>
        <v>伍亿伍仟捌佰壹拾伍万元整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4" t="s">
        <v>1364</v>
      </c>
      <c r="B7" s="3264"/>
      <c r="C7" s="3264"/>
      <c r="D7" s="3267" t="str">
        <f>结果表!D121</f>
        <v>零元整</v>
      </c>
      <c r="E7" s="3268"/>
      <c r="F7" s="3268"/>
      <c r="G7" s="3268"/>
      <c r="H7" s="3268"/>
      <c r="I7" s="3269"/>
    </row>
    <row r="8" spans="1:9" ht="15.75">
      <c r="A8" s="3266" t="str">
        <f>结果表!A122</f>
        <v>房地产抵押价值</v>
      </c>
      <c r="B8" s="3266"/>
      <c r="C8" s="3266"/>
      <c r="D8" s="3266">
        <f ca="1">结果表!D122</f>
        <v>55815</v>
      </c>
      <c r="E8" s="3266"/>
      <c r="F8" s="3266"/>
      <c r="G8" s="3266"/>
      <c r="H8" s="3266"/>
      <c r="I8" s="3266"/>
    </row>
    <row r="9" spans="1:9" ht="15">
      <c r="A9" s="3264" t="s">
        <v>1364</v>
      </c>
      <c r="B9" s="3264"/>
      <c r="C9" s="3264"/>
      <c r="D9" s="3265" t="str">
        <f ca="1">结果表!D123</f>
        <v>伍亿伍仟捌佰壹拾伍万元整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4" t="s">
        <v>1364</v>
      </c>
      <c r="B11" s="3264"/>
      <c r="C11" s="3264"/>
      <c r="D11" s="3265" t="e">
        <f>结果表!D125</f>
        <v>#VALUE!</v>
      </c>
      <c r="E11" s="3265"/>
      <c r="F11" s="3265"/>
      <c r="G11" s="3265"/>
      <c r="H11" s="3265"/>
      <c r="I11" s="3265"/>
    </row>
    <row r="12" spans="1:9" ht="15.75">
      <c r="A12" s="3266" t="str">
        <f>结果表!A126</f>
        <v>抵押净值</v>
      </c>
      <c r="B12" s="3266"/>
      <c r="C12" s="3266"/>
      <c r="D12" s="3266">
        <f ca="1">结果表!D126</f>
        <v>22576</v>
      </c>
      <c r="E12" s="3266"/>
      <c r="F12" s="3266"/>
      <c r="G12" s="3266"/>
      <c r="H12" s="3266"/>
      <c r="I12" s="3266"/>
    </row>
    <row r="13" spans="1:9" ht="15.75" thickBot="1">
      <c r="A13" s="3270" t="s">
        <v>1364</v>
      </c>
      <c r="B13" s="3270"/>
      <c r="C13" s="3270"/>
      <c r="D13" s="3271" t="str">
        <f ca="1">结果表!D127</f>
        <v>贰亿贰仟伍佰柒拾陆万元整</v>
      </c>
      <c r="E13" s="3271"/>
      <c r="F13" s="3271"/>
      <c r="G13" s="3271"/>
      <c r="H13" s="3271"/>
      <c r="I13" s="3271"/>
    </row>
    <row r="14" spans="1:9" ht="15" thickTop="1">
      <c r="A14" s="3272" t="s">
        <v>1369</v>
      </c>
      <c r="B14" s="3272"/>
      <c r="C14" s="3272"/>
      <c r="D14" s="3272"/>
      <c r="E14" s="3272"/>
      <c r="F14" s="3272"/>
      <c r="G14" s="3272"/>
      <c r="H14" s="3272"/>
      <c r="I14" s="3272"/>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3" t="s">
        <v>1386</v>
      </c>
      <c r="B1" s="3273"/>
      <c r="C1" s="3273"/>
      <c r="D1" s="3273"/>
    </row>
    <row r="2" spans="1:4" ht="18">
      <c r="A2" s="3274" t="s">
        <v>1370</v>
      </c>
      <c r="B2" s="3274"/>
      <c r="C2" s="3274"/>
      <c r="D2" s="3274"/>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74" t="s">
        <v>1376</v>
      </c>
      <c r="B6" s="3274"/>
      <c r="C6" s="3274"/>
      <c r="D6" s="3274"/>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5" t="s">
        <v>1379</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6" t="str">
        <f>IF(项目基本情况!B8="抵押","4.本次评估估价师所知悉的法定优先受偿款情况说明如下：","——")</f>
        <v>4.本次评估估价师所知悉的法定优先受偿款情况说明如下：</v>
      </c>
      <c r="B14" s="3277"/>
      <c r="C14" s="3277"/>
      <c r="D14" s="3277"/>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9" t="s">
        <v>1380</v>
      </c>
      <c r="B16" s="3279"/>
      <c r="C16" s="3279"/>
      <c r="D16" s="3279"/>
    </row>
    <row r="17" spans="1:4" ht="144" customHeight="1">
      <c r="A17" s="3279" t="s">
        <v>1381</v>
      </c>
      <c r="B17" s="3279"/>
      <c r="C17" s="3279"/>
      <c r="D17" s="3279"/>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0"/>
      <c r="C21" s="3280"/>
      <c r="D21" s="3280"/>
    </row>
    <row r="22" spans="1:4" ht="18.75" customHeight="1">
      <c r="A22" s="3281" t="s">
        <v>1382</v>
      </c>
      <c r="B22" s="3281"/>
      <c r="C22" s="3281"/>
      <c r="D22" s="328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8">
        <v>42551</v>
      </c>
      <c r="D31" s="32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7" t="s">
        <v>1393</v>
      </c>
      <c r="B15" s="3282" t="s">
        <v>136</v>
      </c>
      <c r="C15" s="3283"/>
    </row>
    <row r="16" spans="1:7" ht="13.5">
      <c r="A16" s="3288"/>
      <c r="B16" s="3282" t="s">
        <v>69</v>
      </c>
      <c r="C16" s="3283"/>
    </row>
    <row r="17" spans="1:3" ht="13.5">
      <c r="A17" s="3288"/>
      <c r="B17" s="3285" t="s">
        <v>1394</v>
      </c>
      <c r="C17" s="1667" t="s">
        <v>1393</v>
      </c>
    </row>
    <row r="18" spans="1:3" ht="13.5">
      <c r="A18" s="3288"/>
      <c r="B18" s="3285"/>
      <c r="C18" s="1667" t="s">
        <v>1395</v>
      </c>
    </row>
    <row r="19" spans="1:3" ht="13.5">
      <c r="A19" s="3288"/>
      <c r="B19" s="3285"/>
      <c r="C19" s="1667" t="s">
        <v>1396</v>
      </c>
    </row>
    <row r="20" spans="1:3" ht="13.5">
      <c r="A20" s="3289"/>
      <c r="B20" s="3284" t="s">
        <v>1397</v>
      </c>
      <c r="C20" s="3283"/>
    </row>
    <row r="21" spans="1:3" ht="13.5">
      <c r="A21" s="1668" t="s">
        <v>1398</v>
      </c>
      <c r="B21" s="1669"/>
      <c r="C21" s="1670"/>
    </row>
    <row r="22" spans="1:3" ht="13.5">
      <c r="A22" s="3286" t="s">
        <v>1399</v>
      </c>
      <c r="B22" s="3284" t="s">
        <v>1400</v>
      </c>
      <c r="C22" s="3283"/>
    </row>
    <row r="23" spans="1:3" ht="13.5">
      <c r="A23" s="3286"/>
      <c r="B23" s="3284" t="s">
        <v>1401</v>
      </c>
      <c r="C23" s="3283"/>
    </row>
    <row r="24" spans="1:3" ht="13.5">
      <c r="A24" s="3286"/>
      <c r="B24" s="3284" t="s">
        <v>1402</v>
      </c>
      <c r="C24" s="3283"/>
    </row>
    <row r="25" spans="1:3" ht="13.5">
      <c r="A25" s="3286"/>
      <c r="B25" s="3285" t="s">
        <v>1403</v>
      </c>
      <c r="C25" s="1667" t="s">
        <v>1404</v>
      </c>
    </row>
    <row r="26" spans="1:3" ht="13.5">
      <c r="A26" s="3286"/>
      <c r="B26" s="3285"/>
      <c r="C26" s="1667" t="s">
        <v>1405</v>
      </c>
    </row>
    <row r="27" spans="1:3" ht="13.5">
      <c r="A27" s="3286"/>
      <c r="B27" s="3285"/>
      <c r="C27" s="1667" t="s">
        <v>1406</v>
      </c>
    </row>
    <row r="28" spans="1:3" ht="13.5">
      <c r="A28" s="3286"/>
      <c r="B28" s="3285"/>
      <c r="C28" s="1667" t="s">
        <v>1407</v>
      </c>
    </row>
    <row r="29" spans="1:3" ht="13.5">
      <c r="A29" s="3286"/>
      <c r="B29" s="3285"/>
      <c r="C29" s="1667" t="s">
        <v>1408</v>
      </c>
    </row>
    <row r="30" spans="1:3" ht="13.5">
      <c r="A30" s="3286"/>
      <c r="B30" s="3285"/>
      <c r="C30" s="1667" t="s">
        <v>1409</v>
      </c>
    </row>
    <row r="31" spans="1:3" ht="13.5">
      <c r="A31" s="3286"/>
      <c r="B31" s="3285"/>
      <c r="C31" s="1667" t="s">
        <v>1410</v>
      </c>
    </row>
    <row r="32" spans="1:3" ht="13.5">
      <c r="A32" s="3286"/>
      <c r="B32" s="3285"/>
      <c r="C32" s="1667" t="s">
        <v>1411</v>
      </c>
    </row>
    <row r="33" spans="1:3" ht="13.5">
      <c r="A33" s="3286"/>
      <c r="B33" s="3285"/>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2636</v>
      </c>
      <c r="B2" s="2512">
        <f ca="1">TODAY()</f>
        <v>44693</v>
      </c>
      <c r="C2" s="2513" t="s">
        <v>2637</v>
      </c>
      <c r="D2" s="2513"/>
      <c r="E2" s="2513"/>
      <c r="F2" s="2509"/>
      <c r="G2" s="2509"/>
      <c r="H2" s="2509"/>
    </row>
    <row r="3" spans="1:8" ht="24" customHeight="1">
      <c r="A3" s="2514" t="s">
        <v>2638</v>
      </c>
      <c r="B3" s="2515" t="s">
        <v>2639</v>
      </c>
      <c r="C3" s="2515" t="s">
        <v>2640</v>
      </c>
      <c r="D3" s="2516" t="s">
        <v>2641</v>
      </c>
      <c r="E3" s="2517" t="s">
        <v>2642</v>
      </c>
      <c r="F3" s="1424" t="s">
        <v>2643</v>
      </c>
      <c r="G3" s="2515" t="s">
        <v>2640</v>
      </c>
      <c r="H3" s="2516" t="s">
        <v>2644</v>
      </c>
    </row>
    <row r="4" spans="1:8" ht="24" customHeight="1">
      <c r="A4" s="1424" t="s">
        <v>2645</v>
      </c>
      <c r="B4" s="1424">
        <f ca="1">IF(C4&lt;B2,"已过期",1119970066)</f>
        <v>1119970066</v>
      </c>
      <c r="C4" s="2518">
        <v>44876</v>
      </c>
      <c r="D4" s="2519" t="str">
        <f ca="1">A4&amp;"（注册号："&amp;B4&amp;"）"</f>
        <v>梁津（注册号：1119970066）</v>
      </c>
      <c r="E4" s="2520" t="s">
        <v>2645</v>
      </c>
      <c r="F4" s="1424">
        <f ca="1">IF(G4&lt;B2,"已过期",96010014)</f>
        <v>96010014</v>
      </c>
      <c r="G4" s="2521">
        <v>47118</v>
      </c>
      <c r="H4" s="2522" t="str">
        <f ca="1">E4&amp;"（注册号："&amp;F4&amp;"）"</f>
        <v>梁津（注册号：96010014）</v>
      </c>
    </row>
    <row r="5" spans="1:8" ht="24" customHeight="1">
      <c r="A5" s="1424" t="s">
        <v>2646</v>
      </c>
      <c r="B5" s="1424">
        <f ca="1">IF(C5&lt;B2,"已过期",1119970111)</f>
        <v>1119970111</v>
      </c>
      <c r="C5" s="2518">
        <v>44876</v>
      </c>
      <c r="D5" s="2519" t="str">
        <f t="shared" ref="D5:D15" ca="1" si="0">A5&amp;"（注册号："&amp;B5&amp;"）"</f>
        <v>叶凌（注册号：1119970111）</v>
      </c>
      <c r="E5" s="2520" t="s">
        <v>2646</v>
      </c>
      <c r="F5" s="1424">
        <f ca="1">IF(G5&lt;B2,"已过期",94010078)</f>
        <v>94010078</v>
      </c>
      <c r="G5" s="2521">
        <v>46387</v>
      </c>
      <c r="H5" s="2522" t="str">
        <f t="shared" ref="H5:H16" ca="1" si="1">E5&amp;"（注册号："&amp;F5&amp;"）"</f>
        <v>叶凌（注册号：94010078）</v>
      </c>
    </row>
    <row r="6" spans="1:8" ht="24" customHeight="1">
      <c r="A6" s="1424" t="s">
        <v>2647</v>
      </c>
      <c r="B6" s="1424">
        <f ca="1">IF(C6&lt;B2,"已过期",1120050019)</f>
        <v>1120050019</v>
      </c>
      <c r="C6" s="2518">
        <v>45410</v>
      </c>
      <c r="D6" s="2519" t="str">
        <f t="shared" ca="1" si="0"/>
        <v>王鹏（注册号：1120050019）</v>
      </c>
      <c r="E6" s="2520" t="s">
        <v>2647</v>
      </c>
      <c r="F6" s="1424">
        <f ca="1">IF(G6&lt;B2,"已过期",2002110030)</f>
        <v>2002110030</v>
      </c>
      <c r="G6" s="2521">
        <v>46387</v>
      </c>
      <c r="H6" s="2522" t="str">
        <f t="shared" ca="1" si="1"/>
        <v>王鹏（注册号：2002110030）</v>
      </c>
    </row>
    <row r="7" spans="1:8" ht="24" customHeight="1">
      <c r="A7" s="1424" t="s">
        <v>2648</v>
      </c>
      <c r="B7" s="1424">
        <f ca="1">IF(C7&lt;B2,"已过期",1120000080)</f>
        <v>1120000080</v>
      </c>
      <c r="C7" s="2518">
        <v>44876</v>
      </c>
      <c r="D7" s="2519" t="str">
        <f t="shared" ca="1" si="0"/>
        <v>欧红伟（注册号：1120000080）</v>
      </c>
      <c r="E7" s="2520" t="s">
        <v>2648</v>
      </c>
      <c r="F7" s="1424">
        <f ca="1">IF(G7&lt;B2,"已过期",2000110082)</f>
        <v>2000110082</v>
      </c>
      <c r="G7" s="2521">
        <v>46387</v>
      </c>
      <c r="H7" s="2522" t="str">
        <f t="shared" ca="1" si="1"/>
        <v>欧红伟（注册号：2000110082）</v>
      </c>
    </row>
    <row r="8" spans="1:8" ht="24" customHeight="1">
      <c r="A8" s="1424" t="s">
        <v>2649</v>
      </c>
      <c r="B8" s="1424">
        <f ca="1">IF(C8&lt;B2,"已过期",1419970001)</f>
        <v>1419970001</v>
      </c>
      <c r="C8" s="2518">
        <v>44899</v>
      </c>
      <c r="D8" s="2519" t="str">
        <f t="shared" ca="1" si="0"/>
        <v>吴薇（注册号：1419970001）</v>
      </c>
      <c r="E8" s="2520" t="s">
        <v>2649</v>
      </c>
      <c r="F8" s="1424">
        <f ca="1">IF(G8&lt;B2,"已过期",2002110125)</f>
        <v>2002110125</v>
      </c>
      <c r="G8" s="2521">
        <v>47118</v>
      </c>
      <c r="H8" s="2522" t="str">
        <f t="shared" ca="1" si="1"/>
        <v>吴薇（注册号：2002110125）</v>
      </c>
    </row>
    <row r="9" spans="1:8" ht="24" customHeight="1">
      <c r="A9" s="1424" t="s">
        <v>2650</v>
      </c>
      <c r="B9" s="1424">
        <f ca="1">IF(C9&lt;B2,"已过期",1120060040)</f>
        <v>1120060040</v>
      </c>
      <c r="C9" s="2523">
        <v>45592</v>
      </c>
      <c r="D9" s="2519" t="str">
        <f t="shared" ca="1" si="0"/>
        <v>陈颖（注册号：1120060040）</v>
      </c>
      <c r="E9" s="2520" t="s">
        <v>2650</v>
      </c>
      <c r="F9" s="1424">
        <f ca="1">IF(G9&lt;B2,"已过期",2004110096)</f>
        <v>2004110096</v>
      </c>
      <c r="G9" s="2521">
        <v>47118</v>
      </c>
      <c r="H9" s="2522" t="str">
        <f t="shared" ca="1" si="1"/>
        <v>陈颖（注册号：2004110096）</v>
      </c>
    </row>
    <row r="10" spans="1:8" ht="24" customHeight="1">
      <c r="A10" s="1424" t="s">
        <v>2651</v>
      </c>
      <c r="B10" s="1424" t="str">
        <f ca="1">IF(C10&lt;B2,"已过期",1120100036)</f>
        <v>已过期</v>
      </c>
      <c r="C10" s="2523">
        <v>44675</v>
      </c>
      <c r="D10" s="2519" t="str">
        <f t="shared" ca="1" si="0"/>
        <v>崔锴（注册号：已过期）</v>
      </c>
      <c r="E10" s="2520" t="s">
        <v>2651</v>
      </c>
      <c r="F10" s="1424">
        <f ca="1">IF(G10&lt;B2,"已过期",2010110070)</f>
        <v>2010110070</v>
      </c>
      <c r="G10" s="2521">
        <v>47907</v>
      </c>
      <c r="H10" s="2522" t="str">
        <f t="shared" ca="1" si="1"/>
        <v>崔锴（注册号：2010110070）</v>
      </c>
    </row>
    <row r="11" spans="1:8" ht="24" customHeight="1">
      <c r="A11" s="1424" t="s">
        <v>2652</v>
      </c>
      <c r="B11" s="1424">
        <f ca="1">IF(C11&lt;B2,"已过期",1120070131)</f>
        <v>1120070131</v>
      </c>
      <c r="C11" s="2518">
        <v>44849</v>
      </c>
      <c r="D11" s="2519" t="str">
        <f t="shared" ca="1" si="0"/>
        <v>郑燚（注册号：1120070131）</v>
      </c>
      <c r="E11" s="2520" t="s">
        <v>2652</v>
      </c>
      <c r="F11" s="1424">
        <f ca="1">IF(G11&lt;B2,"已过期",2014110011)</f>
        <v>2014110011</v>
      </c>
      <c r="G11" s="2521">
        <v>49302</v>
      </c>
      <c r="H11" s="2522" t="str">
        <f t="shared" ca="1" si="1"/>
        <v>郑燚（注册号：2014110011）</v>
      </c>
    </row>
    <row r="12" spans="1:8" ht="24" customHeight="1">
      <c r="A12" s="1424" t="s">
        <v>2653</v>
      </c>
      <c r="B12" s="1424">
        <f ca="1">IF(C12&lt;B2,"已过期",1120040230)</f>
        <v>1120040230</v>
      </c>
      <c r="C12" s="2523">
        <v>44864</v>
      </c>
      <c r="D12" s="2519" t="str">
        <f t="shared" ca="1" si="0"/>
        <v>苏海（注册号：1120040230）</v>
      </c>
      <c r="E12" s="2520" t="s">
        <v>2653</v>
      </c>
      <c r="F12" s="1424">
        <f ca="1">IF(G12&lt;B2,"已过期",98030020)</f>
        <v>98030020</v>
      </c>
      <c r="G12" s="2521">
        <v>47118</v>
      </c>
      <c r="H12" s="2522" t="str">
        <f t="shared" ca="1" si="1"/>
        <v>苏海（注册号：98030020）</v>
      </c>
    </row>
    <row r="13" spans="1:8" ht="24" customHeight="1">
      <c r="A13" s="1424" t="s">
        <v>2654</v>
      </c>
      <c r="B13" s="1424" t="str">
        <f ca="1">IF(C13&lt;B2,"已过期",1120020033)</f>
        <v>已过期</v>
      </c>
      <c r="C13" s="2518">
        <v>44339</v>
      </c>
      <c r="D13" s="2519" t="str">
        <f t="shared" ca="1" si="0"/>
        <v>刘敬东（注册号：已过期）</v>
      </c>
      <c r="E13" s="2520" t="s">
        <v>2654</v>
      </c>
      <c r="F13" s="1424">
        <f ca="1">IF(G13&lt;B2,"已过期",2000110137)</f>
        <v>2000110137</v>
      </c>
      <c r="G13" s="2521">
        <v>46387</v>
      </c>
      <c r="H13" s="2522" t="str">
        <f t="shared" ca="1" si="1"/>
        <v>刘敬东（注册号：2000110137）</v>
      </c>
    </row>
    <row r="14" spans="1:8" ht="24" customHeight="1">
      <c r="A14" s="1424" t="s">
        <v>2655</v>
      </c>
      <c r="B14" s="1424">
        <f ca="1">IF(C14&lt;B2,"已过期",1119980106)</f>
        <v>1119980106</v>
      </c>
      <c r="C14" s="2523">
        <v>44969</v>
      </c>
      <c r="D14" s="2519" t="str">
        <f t="shared" ca="1" si="0"/>
        <v>刘俊财（注册号：1119980106）</v>
      </c>
      <c r="E14" s="2520" t="s">
        <v>2655</v>
      </c>
      <c r="F14" s="1424">
        <f ca="1">IF(G14&lt;B2,"已过期",96010063)</f>
        <v>96010063</v>
      </c>
      <c r="G14" s="2521">
        <v>47483</v>
      </c>
      <c r="H14" s="2522" t="str">
        <f t="shared" ca="1" si="1"/>
        <v>刘俊财（注册号：96010063）</v>
      </c>
    </row>
    <row r="15" spans="1:8" ht="24" customHeight="1">
      <c r="A15" s="1424" t="s">
        <v>2939</v>
      </c>
      <c r="B15" s="1424">
        <v>1120210056</v>
      </c>
      <c r="C15" s="2523">
        <v>45410</v>
      </c>
      <c r="D15" s="2519" t="str">
        <f t="shared" si="0"/>
        <v>宁小鳗（注册号：1120210056）</v>
      </c>
      <c r="E15" s="2520" t="s">
        <v>2656</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0" t="s">
        <v>2657</v>
      </c>
      <c r="B17" s="3290"/>
      <c r="C17" s="3290"/>
      <c r="D17" s="3290"/>
      <c r="E17" s="3290"/>
      <c r="F17" s="3290"/>
      <c r="G17" s="3290"/>
      <c r="H17" s="3290"/>
    </row>
    <row r="18" spans="1:8" ht="24" customHeight="1">
      <c r="A18" s="3291" t="s">
        <v>2658</v>
      </c>
      <c r="B18" s="3291"/>
      <c r="C18" s="3291"/>
      <c r="D18" s="2516"/>
      <c r="E18" s="3292" t="s">
        <v>2659</v>
      </c>
      <c r="F18" s="3291"/>
      <c r="G18" s="3291"/>
    </row>
    <row r="19" spans="1:8" s="2527" customFormat="1" ht="24" customHeight="1">
      <c r="A19" s="2526" t="s">
        <v>2660</v>
      </c>
      <c r="B19" s="2515" t="s">
        <v>2661</v>
      </c>
      <c r="C19" s="2515" t="s">
        <v>2640</v>
      </c>
      <c r="D19" s="2516"/>
      <c r="E19" s="2520" t="s">
        <v>2660</v>
      </c>
      <c r="F19" s="2515" t="s">
        <v>2661</v>
      </c>
      <c r="G19" s="2515" t="s">
        <v>2640</v>
      </c>
    </row>
    <row r="20" spans="1:8" s="2527" customFormat="1" ht="24" customHeight="1">
      <c r="A20" s="2528" t="s">
        <v>2662</v>
      </c>
      <c r="B20" s="2528" t="s">
        <v>2663</v>
      </c>
      <c r="C20" s="2521">
        <v>44820</v>
      </c>
      <c r="D20" s="2529"/>
      <c r="E20" s="2530" t="s">
        <v>2664</v>
      </c>
      <c r="F20" s="2533" t="s">
        <v>2940</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收益法-科研</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工程进度及租金案例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'收益法-科研'!Print_Area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2022-05-12T03:21:25Z</dcterms:modified>
</cp:coreProperties>
</file>