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郭静\2020-1-0137-怀柔工业\"/>
    </mc:Choice>
  </mc:AlternateContent>
  <xr:revisionPtr revIDLastSave="0" documentId="13_ncr:1_{E17B05EF-BBB8-49F7-BF0F-E3F92FD80F9B}" xr6:coauthVersionLast="45" xr6:coauthVersionMax="45"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配套办公)"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(配套办公)'!$A$1:$AK$69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0" i="1" l="1"/>
  <c r="N19" i="1"/>
  <c r="O20" i="1"/>
  <c r="C1" i="73"/>
  <c r="I15" i="4"/>
  <c r="F6" i="1"/>
  <c r="I20" i="43" s="1"/>
  <c r="F7" i="1"/>
  <c r="B2" i="1"/>
  <c r="G19" i="43"/>
  <c r="G41" i="43"/>
  <c r="F15" i="77"/>
  <c r="F17" i="77"/>
  <c r="F18" i="77"/>
  <c r="F20" i="77"/>
  <c r="B22" i="1"/>
  <c r="F23" i="77"/>
  <c r="F21" i="77"/>
  <c r="B43" i="1"/>
  <c r="B41" i="1"/>
  <c r="F32" i="77" s="1"/>
  <c r="F60" i="77" s="1"/>
  <c r="F28" i="77"/>
  <c r="C42" i="1"/>
  <c r="C28" i="77"/>
  <c r="P20" i="1"/>
  <c r="N7" i="1" s="1"/>
  <c r="Y7" i="1" s="1"/>
  <c r="F33" i="77"/>
  <c r="F61" i="77" s="1"/>
  <c r="B52" i="1"/>
  <c r="M20" i="77" s="1"/>
  <c r="F34" i="77"/>
  <c r="AK7" i="1"/>
  <c r="AL7" i="1"/>
  <c r="AE8" i="1"/>
  <c r="M47" i="77"/>
  <c r="J50" i="77"/>
  <c r="J51" i="77"/>
  <c r="F8" i="1"/>
  <c r="K59" i="77"/>
  <c r="Q72" i="77"/>
  <c r="B24" i="1"/>
  <c r="Q59" i="77"/>
  <c r="F59" i="77"/>
  <c r="Q58" i="77"/>
  <c r="Q51" i="77"/>
  <c r="D46" i="77"/>
  <c r="F31" i="77"/>
  <c r="M18" i="77"/>
  <c r="M19" i="77"/>
  <c r="D22" i="77"/>
  <c r="M17" i="77"/>
  <c r="AM7" i="1"/>
  <c r="P19" i="1"/>
  <c r="N6" i="1" s="1"/>
  <c r="Y6" i="1" s="1"/>
  <c r="W7" i="1"/>
  <c r="V7" i="1"/>
  <c r="Q7" i="1"/>
  <c r="J7" i="1"/>
  <c r="I7" i="1"/>
  <c r="F20" i="6"/>
  <c r="F19" i="6"/>
  <c r="Q6" i="71"/>
  <c r="P6" i="71"/>
  <c r="O6" i="71"/>
  <c r="Y6" i="71"/>
  <c r="Z6" i="71" s="1"/>
  <c r="N6" i="71"/>
  <c r="AH5" i="71"/>
  <c r="AG5" i="71"/>
  <c r="AE5" i="71"/>
  <c r="AF5" i="71"/>
  <c r="AD5" i="71"/>
  <c r="Q5" i="71"/>
  <c r="P5" i="71"/>
  <c r="O5" i="71"/>
  <c r="N5" i="71"/>
  <c r="AH6" i="71"/>
  <c r="AG6" i="71"/>
  <c r="AE6" i="71"/>
  <c r="AF6" i="71" s="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Q9" i="71"/>
  <c r="P9" i="71"/>
  <c r="O9" i="71"/>
  <c r="N9" i="71"/>
  <c r="L3" i="71"/>
  <c r="AH3" i="71" s="1"/>
  <c r="K3" i="71"/>
  <c r="AG3" i="71" s="1"/>
  <c r="J3" i="71"/>
  <c r="AE3" i="71"/>
  <c r="I3" i="71"/>
  <c r="AH10" i="71"/>
  <c r="AG10" i="71"/>
  <c r="AE10" i="71"/>
  <c r="AF10" i="71" s="1"/>
  <c r="AD10" i="71"/>
  <c r="Q10" i="71"/>
  <c r="Q11" i="71"/>
  <c r="P10" i="71"/>
  <c r="P11" i="71"/>
  <c r="O10" i="71"/>
  <c r="O11" i="71"/>
  <c r="N10" i="71"/>
  <c r="N11" i="71"/>
  <c r="N12" i="71"/>
  <c r="AH11" i="71"/>
  <c r="AG11" i="71"/>
  <c r="AE11" i="71"/>
  <c r="AF11" i="71" s="1"/>
  <c r="AD11" i="71"/>
  <c r="Q12" i="71"/>
  <c r="P12" i="71"/>
  <c r="O12" i="71"/>
  <c r="D14" i="71"/>
  <c r="AH12" i="71"/>
  <c r="AG12" i="71"/>
  <c r="AE12" i="71"/>
  <c r="AF12" i="71"/>
  <c r="AD12" i="71"/>
  <c r="BB13" i="3"/>
  <c r="BC13" i="3"/>
  <c r="BD13" i="3"/>
  <c r="BE13" i="3"/>
  <c r="BF13" i="3"/>
  <c r="BG13" i="3"/>
  <c r="BH13" i="3"/>
  <c r="BI13" i="3"/>
  <c r="BJ13" i="3"/>
  <c r="BK13" i="3"/>
  <c r="BM13" i="3"/>
  <c r="BN13" i="3"/>
  <c r="BO13" i="3"/>
  <c r="BP13" i="3"/>
  <c r="BL13" i="3" s="1"/>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A15" i="3" s="1"/>
  <c r="BG15" i="3"/>
  <c r="BH15" i="3"/>
  <c r="BI15" i="3"/>
  <c r="BJ15" i="3"/>
  <c r="BK15" i="3"/>
  <c r="BM15" i="3"/>
  <c r="BN15" i="3"/>
  <c r="BL15" i="3" s="1"/>
  <c r="BO15" i="3"/>
  <c r="BP15" i="3"/>
  <c r="BQ15" i="3"/>
  <c r="BR15" i="3"/>
  <c r="BS15" i="3"/>
  <c r="BT15" i="3"/>
  <c r="AZ15" i="3"/>
  <c r="H13" i="3"/>
  <c r="H15" i="3"/>
  <c r="H14" i="3"/>
  <c r="AD13" i="71"/>
  <c r="AG13" i="71"/>
  <c r="AH13" i="71"/>
  <c r="AE13" i="71"/>
  <c r="AF13" i="71" s="1"/>
  <c r="N13" i="71"/>
  <c r="B13" i="71" s="1"/>
  <c r="B12" i="71" s="1"/>
  <c r="B11" i="71" s="1"/>
  <c r="B10" i="71" s="1"/>
  <c r="B9" i="71" s="1"/>
  <c r="B8" i="71" s="1"/>
  <c r="B7" i="71" s="1"/>
  <c r="B6" i="71" s="1"/>
  <c r="B5" i="71" s="1"/>
  <c r="Q13" i="71"/>
  <c r="P13" i="71"/>
  <c r="O13" i="71"/>
  <c r="C13" i="71" s="1"/>
  <c r="C12" i="71" s="1"/>
  <c r="Q14" i="71"/>
  <c r="F13" i="71"/>
  <c r="F12" i="71" s="1"/>
  <c r="F11" i="71" s="1"/>
  <c r="P14" i="71"/>
  <c r="E13" i="71"/>
  <c r="E12" i="71" s="1"/>
  <c r="E11" i="71" s="1"/>
  <c r="O14" i="71"/>
  <c r="N14" i="71"/>
  <c r="X13" i="71"/>
  <c r="A2" i="53"/>
  <c r="K59" i="67"/>
  <c r="P61" i="67"/>
  <c r="K59" i="15"/>
  <c r="P74" i="67"/>
  <c r="D116" i="39"/>
  <c r="E116" i="39"/>
  <c r="F116" i="39"/>
  <c r="G116" i="39"/>
  <c r="H116" i="39"/>
  <c r="I116" i="39"/>
  <c r="J116" i="39"/>
  <c r="K116" i="39"/>
  <c r="L116" i="39"/>
  <c r="M116" i="39"/>
  <c r="C116" i="39"/>
  <c r="A21" i="62"/>
  <c r="A20" i="62"/>
  <c r="B66" i="72" s="1"/>
  <c r="A22" i="51"/>
  <c r="A21" i="51"/>
  <c r="A20" i="51"/>
  <c r="L20" i="4"/>
  <c r="A15" i="62" s="1"/>
  <c r="L21" i="4"/>
  <c r="L22" i="4"/>
  <c r="A14" i="62"/>
  <c r="A13" i="62"/>
  <c r="B59" i="72" s="1"/>
  <c r="A19" i="62"/>
  <c r="B65" i="72" s="1"/>
  <c r="A12" i="62"/>
  <c r="B58" i="72"/>
  <c r="A120" i="9"/>
  <c r="H2" i="52"/>
  <c r="A1" i="52"/>
  <c r="A3" i="53"/>
  <c r="Q15" i="71"/>
  <c r="P15" i="71"/>
  <c r="O15" i="71"/>
  <c r="N15"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H28" i="71"/>
  <c r="AG28" i="71"/>
  <c r="AE28" i="71"/>
  <c r="AF28" i="71"/>
  <c r="AD28" i="71"/>
  <c r="AD29" i="71"/>
  <c r="AE29" i="71"/>
  <c r="AF29" i="71"/>
  <c r="AG29" i="71"/>
  <c r="AH29" i="71"/>
  <c r="S2" i="31"/>
  <c r="M2" i="31"/>
  <c r="N2" i="31"/>
  <c r="O2" i="31"/>
  <c r="P2" i="31"/>
  <c r="Q2" i="31"/>
  <c r="R2" i="31"/>
  <c r="B74" i="72"/>
  <c r="Y12" i="43"/>
  <c r="Y10" i="43"/>
  <c r="AJ9" i="43"/>
  <c r="AJ12" i="43" s="1"/>
  <c r="AI9" i="43"/>
  <c r="AI12" i="43"/>
  <c r="AH9" i="43"/>
  <c r="AH12" i="43" s="1"/>
  <c r="AG9" i="43"/>
  <c r="AG12" i="43"/>
  <c r="AF9" i="43"/>
  <c r="AF10" i="43" s="1"/>
  <c r="AF12" i="43"/>
  <c r="AE9" i="43"/>
  <c r="AE12" i="43"/>
  <c r="AD9" i="43"/>
  <c r="AD12" i="43" s="1"/>
  <c r="AC9" i="43"/>
  <c r="AB9" i="43"/>
  <c r="AB10" i="43" s="1"/>
  <c r="AB12" i="43"/>
  <c r="AA9" i="43"/>
  <c r="AA12" i="43"/>
  <c r="Z9" i="43"/>
  <c r="Z12" i="43" s="1"/>
  <c r="AA10" i="43"/>
  <c r="AE10" i="43"/>
  <c r="AG10" i="43"/>
  <c r="AI10" i="43"/>
  <c r="Z10" i="43"/>
  <c r="AH10" i="43"/>
  <c r="AJ10" i="43"/>
  <c r="K49" i="9"/>
  <c r="E107" i="9"/>
  <c r="A122" i="9"/>
  <c r="A8" i="52" s="1"/>
  <c r="E111" i="9"/>
  <c r="A126" i="9"/>
  <c r="E109" i="9"/>
  <c r="A124" i="9"/>
  <c r="B44" i="72"/>
  <c r="B42" i="72"/>
  <c r="B69" i="72"/>
  <c r="B68" i="72"/>
  <c r="B63" i="72"/>
  <c r="B62" i="72"/>
  <c r="B16" i="72"/>
  <c r="B60" i="72"/>
  <c r="B67" i="72"/>
  <c r="B10" i="72"/>
  <c r="C53" i="10"/>
  <c r="B51" i="10"/>
  <c r="A13" i="51" s="1"/>
  <c r="B11" i="72" s="1"/>
  <c r="B19" i="72"/>
  <c r="A18" i="51"/>
  <c r="B13" i="72"/>
  <c r="B49" i="48"/>
  <c r="B5" i="72" s="1"/>
  <c r="I19" i="43"/>
  <c r="D78" i="71"/>
  <c r="F77" i="71"/>
  <c r="E77" i="71"/>
  <c r="E76" i="71" s="1"/>
  <c r="E75" i="71" s="1"/>
  <c r="C77" i="71"/>
  <c r="D77" i="71" s="1"/>
  <c r="B77" i="71"/>
  <c r="F76" i="71"/>
  <c r="F75" i="71" s="1"/>
  <c r="B76" i="71"/>
  <c r="B75" i="71"/>
  <c r="D74" i="71"/>
  <c r="F73" i="71"/>
  <c r="F72" i="71" s="1"/>
  <c r="F71" i="71" s="1"/>
  <c r="E73" i="71"/>
  <c r="E72" i="71"/>
  <c r="E71" i="71"/>
  <c r="C73" i="71"/>
  <c r="B73" i="71"/>
  <c r="B72" i="71" s="1"/>
  <c r="B71" i="71" s="1"/>
  <c r="D70" i="71"/>
  <c r="Q69" i="71"/>
  <c r="P69" i="71"/>
  <c r="O69" i="71"/>
  <c r="N69" i="71"/>
  <c r="F69" i="71"/>
  <c r="V69" i="71" s="1"/>
  <c r="E69" i="71"/>
  <c r="U69" i="71"/>
  <c r="C69" i="71"/>
  <c r="T69" i="71"/>
  <c r="B69" i="71"/>
  <c r="S69" i="71" s="1"/>
  <c r="Q68" i="71"/>
  <c r="P68" i="71"/>
  <c r="O68" i="71"/>
  <c r="N68" i="71"/>
  <c r="F68" i="71"/>
  <c r="F67" i="71"/>
  <c r="B68" i="71"/>
  <c r="B67" i="71" s="1"/>
  <c r="Q67" i="71"/>
  <c r="P67" i="71"/>
  <c r="O67" i="71"/>
  <c r="N67" i="71"/>
  <c r="Q66" i="71"/>
  <c r="P66" i="71"/>
  <c r="O66" i="71"/>
  <c r="N66" i="71"/>
  <c r="D66" i="71"/>
  <c r="Q65" i="71"/>
  <c r="P65" i="71"/>
  <c r="O65" i="71"/>
  <c r="N65" i="71"/>
  <c r="F65" i="71"/>
  <c r="F64" i="71" s="1"/>
  <c r="F63" i="71" s="1"/>
  <c r="V65" i="71"/>
  <c r="E65" i="71"/>
  <c r="U65" i="71"/>
  <c r="C65" i="71"/>
  <c r="T65" i="71" s="1"/>
  <c r="B65" i="71"/>
  <c r="B64" i="71" s="1"/>
  <c r="B63" i="71" s="1"/>
  <c r="S65" i="71"/>
  <c r="Q64" i="71"/>
  <c r="P64" i="71"/>
  <c r="O64" i="71"/>
  <c r="N64" i="71"/>
  <c r="Q63" i="71"/>
  <c r="P63" i="71"/>
  <c r="O63" i="71"/>
  <c r="N63" i="71"/>
  <c r="Q62" i="71"/>
  <c r="P62" i="71"/>
  <c r="O62" i="71"/>
  <c r="N62" i="71"/>
  <c r="D62" i="71"/>
  <c r="Q61" i="71"/>
  <c r="P61" i="71"/>
  <c r="O61" i="71"/>
  <c r="N61" i="71"/>
  <c r="F61" i="71"/>
  <c r="V61" i="71"/>
  <c r="E61" i="71"/>
  <c r="U61" i="71"/>
  <c r="C61" i="71"/>
  <c r="B61" i="71"/>
  <c r="S61" i="71" s="1"/>
  <c r="Q60" i="71"/>
  <c r="P60" i="71"/>
  <c r="O60" i="71"/>
  <c r="N60" i="71"/>
  <c r="F60" i="71"/>
  <c r="F59" i="71" s="1"/>
  <c r="B60" i="71"/>
  <c r="B59" i="71" s="1"/>
  <c r="Q59" i="71"/>
  <c r="P59" i="71"/>
  <c r="O59" i="71"/>
  <c r="N59" i="71"/>
  <c r="Q58" i="71"/>
  <c r="P58" i="71"/>
  <c r="O58" i="71"/>
  <c r="N58" i="71"/>
  <c r="D58" i="71"/>
  <c r="F57" i="71"/>
  <c r="F56" i="71" s="1"/>
  <c r="V57" i="71"/>
  <c r="E57" i="71"/>
  <c r="U57" i="71" s="1"/>
  <c r="P57" i="71"/>
  <c r="C57" i="71"/>
  <c r="B57" i="71"/>
  <c r="S57" i="71" s="1"/>
  <c r="F55" i="71"/>
  <c r="Q54" i="71" s="1"/>
  <c r="Q55" i="71"/>
  <c r="D54" i="71"/>
  <c r="Q53" i="71"/>
  <c r="P53" i="71"/>
  <c r="O53" i="71"/>
  <c r="N53" i="71"/>
  <c r="Q52" i="71"/>
  <c r="P52" i="71"/>
  <c r="O52" i="71"/>
  <c r="N52" i="71"/>
  <c r="Q51" i="71"/>
  <c r="P51" i="71"/>
  <c r="O51" i="71"/>
  <c r="N51" i="71"/>
  <c r="Q50" i="71"/>
  <c r="F51" i="71" s="1"/>
  <c r="F52" i="71" s="1"/>
  <c r="F53" i="71" s="1"/>
  <c r="V53" i="71" s="1"/>
  <c r="P50" i="71"/>
  <c r="E51" i="71" s="1"/>
  <c r="O50" i="71"/>
  <c r="C51" i="71"/>
  <c r="C52" i="71" s="1"/>
  <c r="N50" i="71"/>
  <c r="B51" i="71"/>
  <c r="B52" i="71"/>
  <c r="B53" i="71" s="1"/>
  <c r="S53" i="71" s="1"/>
  <c r="D50" i="71"/>
  <c r="Q49" i="71"/>
  <c r="P49" i="71"/>
  <c r="O49" i="71"/>
  <c r="N49" i="71"/>
  <c r="Q48" i="71"/>
  <c r="P48" i="71"/>
  <c r="O48" i="71"/>
  <c r="N48" i="71"/>
  <c r="Q47" i="71"/>
  <c r="P47" i="71"/>
  <c r="E48" i="71" s="1"/>
  <c r="E49" i="71" s="1"/>
  <c r="U49" i="71" s="1"/>
  <c r="O47" i="71"/>
  <c r="N47" i="71"/>
  <c r="Q46" i="71"/>
  <c r="F47" i="71" s="1"/>
  <c r="F48" i="71"/>
  <c r="F49" i="71" s="1"/>
  <c r="V49" i="71" s="1"/>
  <c r="P46" i="71"/>
  <c r="E47" i="71"/>
  <c r="O46" i="71"/>
  <c r="C47" i="71"/>
  <c r="D47" i="71" s="1"/>
  <c r="N46" i="71"/>
  <c r="B47" i="71"/>
  <c r="B48" i="71" s="1"/>
  <c r="B49" i="71" s="1"/>
  <c r="S49" i="71"/>
  <c r="D46" i="71"/>
  <c r="Q45" i="71"/>
  <c r="P45" i="71"/>
  <c r="O45" i="71"/>
  <c r="N45" i="71"/>
  <c r="Q44" i="71"/>
  <c r="P44" i="71"/>
  <c r="O44" i="71"/>
  <c r="N44" i="71"/>
  <c r="Q43" i="71"/>
  <c r="P43" i="71"/>
  <c r="O43" i="71"/>
  <c r="N43" i="71"/>
  <c r="Q42" i="71"/>
  <c r="F43" i="71"/>
  <c r="F44" i="71"/>
  <c r="F45" i="71"/>
  <c r="V45" i="71" s="1"/>
  <c r="P42" i="71"/>
  <c r="E43" i="71"/>
  <c r="E44" i="71" s="1"/>
  <c r="E45" i="71" s="1"/>
  <c r="U45" i="71" s="1"/>
  <c r="O42" i="71"/>
  <c r="C43" i="71" s="1"/>
  <c r="N42" i="71"/>
  <c r="B43" i="71"/>
  <c r="B44" i="71"/>
  <c r="B45" i="71" s="1"/>
  <c r="S45" i="71" s="1"/>
  <c r="D42" i="71"/>
  <c r="Q41" i="71"/>
  <c r="P41" i="71"/>
  <c r="O41" i="71"/>
  <c r="N41" i="71"/>
  <c r="Q40" i="71"/>
  <c r="P40" i="71"/>
  <c r="O40" i="71"/>
  <c r="N40" i="71"/>
  <c r="Q39" i="71"/>
  <c r="P39" i="71"/>
  <c r="O39" i="71"/>
  <c r="N39" i="71"/>
  <c r="Q38" i="71"/>
  <c r="F39" i="71"/>
  <c r="F40" i="71" s="1"/>
  <c r="F41" i="71" s="1"/>
  <c r="V41" i="71" s="1"/>
  <c r="P38" i="71"/>
  <c r="E39" i="71" s="1"/>
  <c r="E40" i="71"/>
  <c r="O38" i="71"/>
  <c r="C39" i="71"/>
  <c r="D39" i="71" s="1"/>
  <c r="N38" i="71"/>
  <c r="B39" i="71"/>
  <c r="B40" i="71" s="1"/>
  <c r="B41" i="71"/>
  <c r="S41" i="71" s="1"/>
  <c r="D38" i="71"/>
  <c r="T37" i="71"/>
  <c r="Q37" i="71"/>
  <c r="P37" i="71"/>
  <c r="O37" i="71"/>
  <c r="N37" i="71"/>
  <c r="D37" i="71"/>
  <c r="Q36" i="71"/>
  <c r="P36" i="71"/>
  <c r="O36" i="71"/>
  <c r="N36" i="71"/>
  <c r="Q35" i="71"/>
  <c r="P35" i="71"/>
  <c r="O35" i="71"/>
  <c r="N35" i="71"/>
  <c r="Q34" i="71"/>
  <c r="F35" i="71" s="1"/>
  <c r="P34" i="71"/>
  <c r="E35" i="71" s="1"/>
  <c r="E36" i="71"/>
  <c r="E37" i="71" s="1"/>
  <c r="U37" i="71" s="1"/>
  <c r="O34" i="71"/>
  <c r="C35" i="71" s="1"/>
  <c r="D35" i="71" s="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O30" i="71"/>
  <c r="C31" i="71" s="1"/>
  <c r="N30" i="71"/>
  <c r="B31" i="71"/>
  <c r="B32" i="71"/>
  <c r="B33" i="71" s="1"/>
  <c r="S33" i="71" s="1"/>
  <c r="D30" i="71"/>
  <c r="Q29" i="71"/>
  <c r="P29" i="71"/>
  <c r="O29" i="71"/>
  <c r="N29" i="71"/>
  <c r="Q28" i="71"/>
  <c r="AB28" i="71" s="1"/>
  <c r="P28" i="71"/>
  <c r="AA28" i="71"/>
  <c r="O28" i="71"/>
  <c r="Y28" i="71" s="1"/>
  <c r="Z28" i="71"/>
  <c r="N28" i="71"/>
  <c r="X28" i="71" s="1"/>
  <c r="Q27" i="71"/>
  <c r="P27" i="71"/>
  <c r="O27" i="71"/>
  <c r="Y27" i="71"/>
  <c r="Z27" i="71"/>
  <c r="N27" i="71"/>
  <c r="F27" i="71"/>
  <c r="F28" i="71" s="1"/>
  <c r="Q26" i="71"/>
  <c r="P26" i="71"/>
  <c r="O26" i="71"/>
  <c r="N26" i="71"/>
  <c r="D26" i="71"/>
  <c r="Q25" i="71"/>
  <c r="P25" i="71"/>
  <c r="O25" i="71"/>
  <c r="N25" i="71"/>
  <c r="Q24" i="71"/>
  <c r="P24" i="71"/>
  <c r="O24" i="71"/>
  <c r="N24" i="71"/>
  <c r="Q23" i="71"/>
  <c r="P23" i="71"/>
  <c r="O23" i="71"/>
  <c r="N23" i="71"/>
  <c r="F23" i="71"/>
  <c r="F24" i="71" s="1"/>
  <c r="F25" i="71" s="1"/>
  <c r="V25" i="71"/>
  <c r="Q22" i="71"/>
  <c r="AB22" i="71" s="1"/>
  <c r="P22" i="71"/>
  <c r="O22" i="71"/>
  <c r="N22" i="71"/>
  <c r="D22" i="71"/>
  <c r="Q21" i="71"/>
  <c r="P21" i="71"/>
  <c r="AA21" i="71" s="1"/>
  <c r="O21" i="71"/>
  <c r="N21" i="71"/>
  <c r="Q20" i="71"/>
  <c r="F21" i="71" s="1"/>
  <c r="P20" i="71"/>
  <c r="O20" i="71"/>
  <c r="N20" i="71"/>
  <c r="Q19" i="71"/>
  <c r="P19" i="71"/>
  <c r="O19" i="71"/>
  <c r="N19" i="71"/>
  <c r="V21" i="71"/>
  <c r="Q18" i="71"/>
  <c r="F19" i="71" s="1"/>
  <c r="F20" i="71" s="1"/>
  <c r="P18" i="71"/>
  <c r="E19" i="71" s="1"/>
  <c r="O18" i="71"/>
  <c r="N18" i="71"/>
  <c r="X18" i="71" s="1"/>
  <c r="D18" i="71"/>
  <c r="O17" i="71"/>
  <c r="N17" i="71"/>
  <c r="B19" i="71"/>
  <c r="B20" i="71" s="1"/>
  <c r="B21" i="71" s="1"/>
  <c r="S21" i="71" s="1"/>
  <c r="B23" i="71"/>
  <c r="B24" i="71" s="1"/>
  <c r="B25" i="71" s="1"/>
  <c r="S25" i="71" s="1"/>
  <c r="E27" i="71"/>
  <c r="AA26" i="71"/>
  <c r="N57" i="71"/>
  <c r="E23" i="71"/>
  <c r="C19" i="71"/>
  <c r="C23" i="71"/>
  <c r="C24" i="71"/>
  <c r="D24" i="71" s="1"/>
  <c r="AA24" i="71"/>
  <c r="X25" i="71"/>
  <c r="C27" i="71"/>
  <c r="X27" i="71"/>
  <c r="AA27" i="71"/>
  <c r="C17" i="71"/>
  <c r="D23" i="71"/>
  <c r="C28" i="71"/>
  <c r="D27" i="71"/>
  <c r="C36" i="71"/>
  <c r="D36" i="71" s="1"/>
  <c r="C40" i="71"/>
  <c r="P17" i="71"/>
  <c r="E52" i="71"/>
  <c r="E53" i="71" s="1"/>
  <c r="U53" i="71" s="1"/>
  <c r="E56" i="71"/>
  <c r="Q17" i="71"/>
  <c r="C48" i="71"/>
  <c r="D48" i="71" s="1"/>
  <c r="D51" i="71"/>
  <c r="Q56" i="71"/>
  <c r="T57" i="71"/>
  <c r="O57" i="71"/>
  <c r="D57" i="71"/>
  <c r="C56" i="71"/>
  <c r="Q57" i="71"/>
  <c r="E60" i="71"/>
  <c r="E59" i="71" s="1"/>
  <c r="C64" i="71"/>
  <c r="D64" i="71" s="1"/>
  <c r="E64" i="71"/>
  <c r="E63" i="71" s="1"/>
  <c r="D65" i="71"/>
  <c r="E68" i="71"/>
  <c r="E67" i="71"/>
  <c r="C76" i="71"/>
  <c r="T17" i="71"/>
  <c r="C16" i="71"/>
  <c r="E17" i="71"/>
  <c r="D17" i="71"/>
  <c r="U17" i="71"/>
  <c r="C55" i="71"/>
  <c r="O56" i="71"/>
  <c r="D56" i="71"/>
  <c r="C53" i="71"/>
  <c r="D52" i="71"/>
  <c r="C63" i="71"/>
  <c r="D63" i="71"/>
  <c r="D76" i="71"/>
  <c r="C75" i="71"/>
  <c r="D75" i="71" s="1"/>
  <c r="C49" i="71"/>
  <c r="D49" i="71" s="1"/>
  <c r="C29" i="71"/>
  <c r="D28" i="71"/>
  <c r="C25" i="71"/>
  <c r="O55" i="71"/>
  <c r="D55" i="71"/>
  <c r="O54" i="71"/>
  <c r="T29" i="71"/>
  <c r="D29"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s="1"/>
  <c r="F94" i="40" s="1"/>
  <c r="G94" i="40" s="1"/>
  <c r="F25" i="40"/>
  <c r="AA25" i="40" s="1"/>
  <c r="Q29" i="39"/>
  <c r="Z29" i="39" s="1"/>
  <c r="D103" i="39"/>
  <c r="E103" i="39" s="1"/>
  <c r="F29" i="39"/>
  <c r="AA29" i="39"/>
  <c r="Q18" i="36"/>
  <c r="Z18" i="36" s="1"/>
  <c r="D66" i="36"/>
  <c r="E66" i="36"/>
  <c r="F66" i="36" s="1"/>
  <c r="G66" i="36" s="1"/>
  <c r="H18" i="36"/>
  <c r="AB18" i="36"/>
  <c r="F18" i="36"/>
  <c r="C18" i="36"/>
  <c r="Z18" i="35"/>
  <c r="Q18" i="35"/>
  <c r="D68" i="35"/>
  <c r="E68" i="35"/>
  <c r="F68" i="35" s="1"/>
  <c r="G68" i="35" s="1"/>
  <c r="F18" i="35"/>
  <c r="AA18" i="35"/>
  <c r="C18" i="35"/>
  <c r="Q21" i="37"/>
  <c r="Z21" i="37" s="1"/>
  <c r="D77" i="37"/>
  <c r="E77" i="37" s="1"/>
  <c r="F77" i="37" s="1"/>
  <c r="G77" i="37" s="1"/>
  <c r="C21" i="37"/>
  <c r="Q21" i="34"/>
  <c r="Z21" i="34" s="1"/>
  <c r="D84" i="34"/>
  <c r="E84" i="34" s="1"/>
  <c r="F84" i="34" s="1"/>
  <c r="F21" i="34"/>
  <c r="C21" i="34"/>
  <c r="Q21" i="33"/>
  <c r="Z21" i="33" s="1"/>
  <c r="D83" i="33"/>
  <c r="E83" i="33" s="1"/>
  <c r="F83" i="33" s="1"/>
  <c r="G83" i="33" s="1"/>
  <c r="C21" i="33"/>
  <c r="C21" i="21"/>
  <c r="Q21" i="21"/>
  <c r="Z21" i="21" s="1"/>
  <c r="H19" i="21"/>
  <c r="D83" i="21"/>
  <c r="F21" i="21"/>
  <c r="AA21" i="21" s="1"/>
  <c r="D81" i="21"/>
  <c r="G20" i="20"/>
  <c r="C22" i="20"/>
  <c r="B75" i="43"/>
  <c r="B55" i="43"/>
  <c r="B66" i="43"/>
  <c r="C29" i="39"/>
  <c r="S25" i="40"/>
  <c r="S29" i="39"/>
  <c r="U18" i="36"/>
  <c r="H25" i="40"/>
  <c r="J25" i="40"/>
  <c r="AC25" i="40" s="1"/>
  <c r="F103" i="39"/>
  <c r="G103" i="39" s="1"/>
  <c r="H29" i="39"/>
  <c r="J29" i="39"/>
  <c r="J18" i="36"/>
  <c r="AC18" i="36" s="1"/>
  <c r="H18" i="35"/>
  <c r="AB18" i="35" s="1"/>
  <c r="S18" i="35"/>
  <c r="J18" i="35"/>
  <c r="H21" i="37"/>
  <c r="U21" i="37" s="1"/>
  <c r="F21" i="37"/>
  <c r="H21" i="34"/>
  <c r="U21" i="34" s="1"/>
  <c r="H21" i="33"/>
  <c r="U21" i="33" s="1"/>
  <c r="F21" i="33"/>
  <c r="S21" i="33" s="1"/>
  <c r="E83" i="21"/>
  <c r="S21" i="21"/>
  <c r="H1" i="69"/>
  <c r="W25" i="40"/>
  <c r="AB25" i="40"/>
  <c r="U25" i="40"/>
  <c r="AB29" i="39"/>
  <c r="U29" i="39"/>
  <c r="W18" i="36"/>
  <c r="AB21" i="37"/>
  <c r="AA21" i="37"/>
  <c r="S21" i="37"/>
  <c r="AB21" i="33"/>
  <c r="AA21" i="33"/>
  <c r="U18" i="35"/>
  <c r="AC18" i="35"/>
  <c r="W18" i="35"/>
  <c r="J21" i="37"/>
  <c r="W21" i="37" s="1"/>
  <c r="G84" i="34"/>
  <c r="J21" i="34"/>
  <c r="J21" i="33"/>
  <c r="W21" i="33" s="1"/>
  <c r="F83" i="21"/>
  <c r="G83" i="21" s="1"/>
  <c r="H21" i="21"/>
  <c r="AB21" i="21" s="1"/>
  <c r="F38" i="69"/>
  <c r="E37" i="69"/>
  <c r="F36" i="69"/>
  <c r="F35" i="69"/>
  <c r="F21" i="69"/>
  <c r="C21" i="69"/>
  <c r="F20" i="69"/>
  <c r="E10" i="69"/>
  <c r="E9" i="69"/>
  <c r="C7" i="69"/>
  <c r="AC21" i="37"/>
  <c r="AC21" i="34"/>
  <c r="W21" i="34"/>
  <c r="AC21" i="33"/>
  <c r="U21" i="21"/>
  <c r="J21" i="21"/>
  <c r="W21" i="21" s="1"/>
  <c r="C40" i="69"/>
  <c r="F38" i="68"/>
  <c r="E37" i="68"/>
  <c r="F36" i="68"/>
  <c r="F35" i="68"/>
  <c r="F21" i="68"/>
  <c r="F20" i="68"/>
  <c r="E10" i="68"/>
  <c r="E9" i="68"/>
  <c r="AC21" i="21"/>
  <c r="Q72" i="67"/>
  <c r="Q59" i="67"/>
  <c r="Q58" i="67"/>
  <c r="Q51" i="67"/>
  <c r="J50" i="67"/>
  <c r="M47" i="67"/>
  <c r="D46" i="67"/>
  <c r="F33" i="67"/>
  <c r="F61" i="67" s="1"/>
  <c r="F23" i="67"/>
  <c r="D24" i="67"/>
  <c r="F21" i="67"/>
  <c r="F20" i="67"/>
  <c r="M19" i="67"/>
  <c r="F18" i="67"/>
  <c r="F17" i="67"/>
  <c r="F15" i="67"/>
  <c r="D22" i="67"/>
  <c r="D23" i="67"/>
  <c r="S2" i="4"/>
  <c r="C51" i="10" s="1"/>
  <c r="S1" i="4"/>
  <c r="B1" i="4"/>
  <c r="C31" i="66"/>
  <c r="C27" i="66"/>
  <c r="C32" i="66"/>
  <c r="I23" i="66"/>
  <c r="D20" i="66"/>
  <c r="I19" i="66"/>
  <c r="I18" i="66"/>
  <c r="I20" i="66" s="1"/>
  <c r="I17" i="66"/>
  <c r="E15" i="66"/>
  <c r="I14" i="66"/>
  <c r="I13" i="66"/>
  <c r="I12" i="66"/>
  <c r="I15" i="66"/>
  <c r="I9" i="66"/>
  <c r="I8" i="66"/>
  <c r="I7" i="66"/>
  <c r="I6" i="66"/>
  <c r="I5" i="66"/>
  <c r="I4" i="66"/>
  <c r="I3" i="66"/>
  <c r="I10" i="66"/>
  <c r="I21" i="66" s="1"/>
  <c r="F113" i="43"/>
  <c r="G2" i="43"/>
  <c r="H113" i="43" s="1"/>
  <c r="N99" i="43"/>
  <c r="N108" i="43" s="1"/>
  <c r="D99" i="43"/>
  <c r="E99" i="43"/>
  <c r="E108" i="43"/>
  <c r="F99" i="43"/>
  <c r="F108" i="43" s="1"/>
  <c r="G99" i="43"/>
  <c r="G108" i="43" s="1"/>
  <c r="H99" i="43"/>
  <c r="H108" i="43"/>
  <c r="I99" i="43"/>
  <c r="I108" i="43"/>
  <c r="J99" i="43"/>
  <c r="J108" i="43" s="1"/>
  <c r="K99" i="43"/>
  <c r="K108" i="43" s="1"/>
  <c r="L99" i="43"/>
  <c r="L108" i="43"/>
  <c r="M99" i="43"/>
  <c r="M108" i="43"/>
  <c r="C99" i="43"/>
  <c r="C108" i="43"/>
  <c r="N100" i="43"/>
  <c r="L100" i="43"/>
  <c r="E100" i="43"/>
  <c r="I100" i="43"/>
  <c r="K100" i="43"/>
  <c r="M100" i="43"/>
  <c r="B48" i="43"/>
  <c r="B84" i="43"/>
  <c r="B83" i="43"/>
  <c r="B72" i="43"/>
  <c r="B61" i="43"/>
  <c r="B50" i="43"/>
  <c r="D82" i="43"/>
  <c r="D84" i="43"/>
  <c r="D85" i="43"/>
  <c r="D86" i="43"/>
  <c r="D67" i="43"/>
  <c r="D60" i="43"/>
  <c r="D61" i="43"/>
  <c r="D62" i="43"/>
  <c r="D63" i="43"/>
  <c r="D64" i="43"/>
  <c r="D65" i="43"/>
  <c r="D66" i="43"/>
  <c r="D59" i="43"/>
  <c r="M78" i="43"/>
  <c r="N78" i="43" s="1"/>
  <c r="K78" i="43"/>
  <c r="J78" i="43" s="1"/>
  <c r="D78" i="43"/>
  <c r="M77" i="43"/>
  <c r="N77" i="43"/>
  <c r="K77" i="43"/>
  <c r="J77" i="43" s="1"/>
  <c r="D77" i="43"/>
  <c r="M76" i="43"/>
  <c r="N76" i="43"/>
  <c r="K76" i="43"/>
  <c r="J76" i="43" s="1"/>
  <c r="D76" i="43"/>
  <c r="M75" i="43"/>
  <c r="N75" i="43" s="1"/>
  <c r="K75" i="43"/>
  <c r="J75" i="43"/>
  <c r="D75" i="43"/>
  <c r="M74" i="43"/>
  <c r="N74" i="43" s="1"/>
  <c r="K74" i="43"/>
  <c r="J74" i="43" s="1"/>
  <c r="D74" i="43"/>
  <c r="M73" i="43"/>
  <c r="N73" i="43"/>
  <c r="K73" i="43"/>
  <c r="J73" i="43" s="1"/>
  <c r="D73" i="43"/>
  <c r="M72" i="43"/>
  <c r="N72" i="43"/>
  <c r="K72" i="43"/>
  <c r="J72" i="43" s="1"/>
  <c r="D72" i="43"/>
  <c r="M71" i="43"/>
  <c r="N71" i="43" s="1"/>
  <c r="K71" i="43"/>
  <c r="J71" i="43"/>
  <c r="D71" i="43"/>
  <c r="M70" i="43"/>
  <c r="N70" i="43" s="1"/>
  <c r="K70" i="43"/>
  <c r="J70" i="43" s="1"/>
  <c r="D70" i="43"/>
  <c r="M67" i="43"/>
  <c r="N67" i="43"/>
  <c r="K67" i="43"/>
  <c r="J67" i="43" s="1"/>
  <c r="M66" i="43"/>
  <c r="N66" i="43"/>
  <c r="K66" i="43"/>
  <c r="J66" i="43" s="1"/>
  <c r="M65" i="43"/>
  <c r="N65" i="43"/>
  <c r="K65" i="43"/>
  <c r="J65" i="43" s="1"/>
  <c r="M64" i="43"/>
  <c r="N64" i="43"/>
  <c r="K64" i="43"/>
  <c r="J64" i="43"/>
  <c r="M63" i="43"/>
  <c r="N63" i="43"/>
  <c r="K63" i="43"/>
  <c r="J63" i="43" s="1"/>
  <c r="M62" i="43"/>
  <c r="N62" i="43"/>
  <c r="K62" i="43"/>
  <c r="J62" i="43"/>
  <c r="M61" i="43"/>
  <c r="N61" i="43"/>
  <c r="K61" i="43"/>
  <c r="J61" i="43" s="1"/>
  <c r="M60" i="43"/>
  <c r="N60" i="43"/>
  <c r="K60" i="43"/>
  <c r="J60" i="43" s="1"/>
  <c r="M59" i="43"/>
  <c r="N59" i="43"/>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c r="K12" i="31" s="1"/>
  <c r="L12" i="31" s="1"/>
  <c r="M12" i="31" s="1"/>
  <c r="N12" i="31" s="1"/>
  <c r="O12" i="31" s="1"/>
  <c r="P12" i="31" s="1"/>
  <c r="Q12" i="31" s="1"/>
  <c r="R12" i="31" s="1"/>
  <c r="S12" i="31" s="1"/>
  <c r="D10" i="31"/>
  <c r="E10" i="31" s="1"/>
  <c r="F10" i="31"/>
  <c r="G10" i="31"/>
  <c r="H10" i="31" s="1"/>
  <c r="I10" i="31" s="1"/>
  <c r="J10" i="31" s="1"/>
  <c r="K10" i="31" s="1"/>
  <c r="L10" i="31" s="1"/>
  <c r="M10" i="31" s="1"/>
  <c r="N10" i="31" s="1"/>
  <c r="O10" i="31"/>
  <c r="P10" i="31" s="1"/>
  <c r="Q10" i="31" s="1"/>
  <c r="R10" i="31" s="1"/>
  <c r="S10" i="31"/>
  <c r="D8" i="31"/>
  <c r="E8" i="31" s="1"/>
  <c r="F8" i="31" s="1"/>
  <c r="G8" i="31" s="1"/>
  <c r="H8" i="31" s="1"/>
  <c r="I8" i="31" s="1"/>
  <c r="J8" i="31" s="1"/>
  <c r="K8" i="31" s="1"/>
  <c r="L8" i="31" s="1"/>
  <c r="M8" i="31" s="1"/>
  <c r="N8" i="31" s="1"/>
  <c r="O8" i="31" s="1"/>
  <c r="P8" i="31" s="1"/>
  <c r="Q8" i="31" s="1"/>
  <c r="R8" i="31" s="1"/>
  <c r="S8" i="31" s="1"/>
  <c r="D6" i="31"/>
  <c r="E6" i="31" s="1"/>
  <c r="F6" i="31"/>
  <c r="G6" i="31" s="1"/>
  <c r="H6" i="31"/>
  <c r="I6" i="31" s="1"/>
  <c r="J6" i="31" s="1"/>
  <c r="K6" i="31" s="1"/>
  <c r="L6" i="31" s="1"/>
  <c r="M6" i="31" s="1"/>
  <c r="N6" i="31" s="1"/>
  <c r="O6" i="31" s="1"/>
  <c r="P6" i="31" s="1"/>
  <c r="Q6" i="31" s="1"/>
  <c r="R6" i="31" s="1"/>
  <c r="S6" i="31" s="1"/>
  <c r="F15" i="4"/>
  <c r="F9" i="1"/>
  <c r="F10" i="1"/>
  <c r="F11" i="1"/>
  <c r="F12" i="1"/>
  <c r="F13" i="1"/>
  <c r="D6" i="1"/>
  <c r="D9" i="1"/>
  <c r="D10" i="1"/>
  <c r="D11" i="1"/>
  <c r="D12" i="1"/>
  <c r="D13" i="1"/>
  <c r="D7" i="1"/>
  <c r="D8" i="1"/>
  <c r="A7" i="1"/>
  <c r="A8" i="1"/>
  <c r="A9" i="1"/>
  <c r="A10" i="1"/>
  <c r="K10" i="1" s="1"/>
  <c r="A11" i="1"/>
  <c r="B11" i="1" s="1"/>
  <c r="E11" i="1" s="1"/>
  <c r="A12" i="1"/>
  <c r="A13" i="1"/>
  <c r="K13" i="1" s="1"/>
  <c r="A6"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s="1"/>
  <c r="BT111" i="3"/>
  <c r="BS111" i="3"/>
  <c r="BL111" i="3" s="1"/>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A107" i="3" s="1"/>
  <c r="BD107" i="3"/>
  <c r="BC107" i="3"/>
  <c r="BB107" i="3"/>
  <c r="AX107" i="3"/>
  <c r="AW107" i="3"/>
  <c r="AV107" i="3"/>
  <c r="AC107" i="3"/>
  <c r="H107" i="3"/>
  <c r="BT106" i="3"/>
  <c r="BS106" i="3"/>
  <c r="BR106" i="3"/>
  <c r="BQ106" i="3"/>
  <c r="BP106" i="3"/>
  <c r="BO106" i="3"/>
  <c r="BL106" i="3" s="1"/>
  <c r="BN106" i="3"/>
  <c r="BM106" i="3"/>
  <c r="BK106" i="3"/>
  <c r="BJ106" i="3"/>
  <c r="BI106" i="3"/>
  <c r="BH106" i="3"/>
  <c r="BG106" i="3"/>
  <c r="BF106" i="3"/>
  <c r="BE106" i="3"/>
  <c r="BD106" i="3"/>
  <c r="BC106" i="3"/>
  <c r="BA106" i="3" s="1"/>
  <c r="AZ106" i="3" s="1"/>
  <c r="BB106" i="3"/>
  <c r="AX106" i="3"/>
  <c r="AW106" i="3"/>
  <c r="AV106" i="3"/>
  <c r="AC106" i="3"/>
  <c r="H106" i="3"/>
  <c r="G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A94" i="3" s="1"/>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L91" i="3" s="1"/>
  <c r="BO91" i="3"/>
  <c r="BN91" i="3"/>
  <c r="BM91" i="3"/>
  <c r="BK91" i="3"/>
  <c r="BJ91" i="3"/>
  <c r="BI91" i="3"/>
  <c r="BH91" i="3"/>
  <c r="BG91" i="3"/>
  <c r="BF91" i="3"/>
  <c r="BE91" i="3"/>
  <c r="BD91" i="3"/>
  <c r="BC91" i="3"/>
  <c r="BB91" i="3"/>
  <c r="BA91" i="3"/>
  <c r="AX91" i="3"/>
  <c r="AW91" i="3"/>
  <c r="AV91" i="3"/>
  <c r="AC91" i="3"/>
  <c r="H91" i="3"/>
  <c r="G91" i="3" s="1"/>
  <c r="BT90" i="3"/>
  <c r="BS90" i="3"/>
  <c r="BL90" i="3" s="1"/>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L89" i="3" s="1"/>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L87" i="3" s="1"/>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A84" i="3" s="1"/>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L74" i="3" s="1"/>
  <c r="BO74" i="3"/>
  <c r="BN74" i="3"/>
  <c r="BM74" i="3"/>
  <c r="BK74" i="3"/>
  <c r="BJ74" i="3"/>
  <c r="BI74" i="3"/>
  <c r="BH74" i="3"/>
  <c r="BG74" i="3"/>
  <c r="BF74" i="3"/>
  <c r="BE74" i="3"/>
  <c r="BD74" i="3"/>
  <c r="BC74" i="3"/>
  <c r="BB74" i="3"/>
  <c r="BA74" i="3"/>
  <c r="AX74" i="3"/>
  <c r="AW74" i="3"/>
  <c r="AV74" i="3"/>
  <c r="AC74" i="3"/>
  <c r="H74" i="3"/>
  <c r="G74" i="3" s="1"/>
  <c r="BT73" i="3"/>
  <c r="BS73" i="3"/>
  <c r="BR73" i="3"/>
  <c r="BL73" i="3" s="1"/>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A71" i="3" s="1"/>
  <c r="BF71" i="3"/>
  <c r="BE71" i="3"/>
  <c r="BD71" i="3"/>
  <c r="BC71" i="3"/>
  <c r="BB71" i="3"/>
  <c r="AX71" i="3"/>
  <c r="AW71" i="3"/>
  <c r="AV71" i="3"/>
  <c r="AC71" i="3"/>
  <c r="H71" i="3"/>
  <c r="G71" i="3" s="1"/>
  <c r="BT70" i="3"/>
  <c r="BS70" i="3"/>
  <c r="BR70" i="3"/>
  <c r="BQ70" i="3"/>
  <c r="BP70" i="3"/>
  <c r="BO70" i="3"/>
  <c r="BN70" i="3"/>
  <c r="BM70" i="3"/>
  <c r="BK70" i="3"/>
  <c r="BJ70" i="3"/>
  <c r="BI70" i="3"/>
  <c r="BH70" i="3"/>
  <c r="BG70" i="3"/>
  <c r="BA70" i="3" s="1"/>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L68" i="3" s="1"/>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L53" i="3" s="1"/>
  <c r="BQ53" i="3"/>
  <c r="BP53" i="3"/>
  <c r="BO53" i="3"/>
  <c r="BN53" i="3"/>
  <c r="BM53" i="3"/>
  <c r="BK53" i="3"/>
  <c r="BJ53" i="3"/>
  <c r="BI53" i="3"/>
  <c r="BH53" i="3"/>
  <c r="BG53" i="3"/>
  <c r="BF53" i="3"/>
  <c r="BE53" i="3"/>
  <c r="BD53" i="3"/>
  <c r="BC53" i="3"/>
  <c r="BB53" i="3"/>
  <c r="BA53" i="3" s="1"/>
  <c r="AX53" i="3"/>
  <c r="AW53" i="3"/>
  <c r="AV53" i="3"/>
  <c r="AC53" i="3"/>
  <c r="H53" i="3"/>
  <c r="G53" i="3" s="1"/>
  <c r="BT52" i="3"/>
  <c r="BS52" i="3"/>
  <c r="BL52" i="3" s="1"/>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L50" i="3" s="1"/>
  <c r="BO50" i="3"/>
  <c r="BN50" i="3"/>
  <c r="BM50" i="3"/>
  <c r="BK50" i="3"/>
  <c r="BJ50" i="3"/>
  <c r="BI50" i="3"/>
  <c r="BH50" i="3"/>
  <c r="BA50" i="3" s="1"/>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L42" i="3" s="1"/>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L40" i="3" s="1"/>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A29" i="3" s="1"/>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L25" i="3" s="1"/>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A23" i="3" s="1"/>
  <c r="BD23" i="3"/>
  <c r="BC23" i="3"/>
  <c r="BB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A20" i="3" s="1"/>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L207" i="3" s="1"/>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L193" i="3" s="1"/>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L189" i="3" s="1"/>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A174" i="3" s="1"/>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A173" i="3" s="1"/>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A172" i="3" s="1"/>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L170" i="3" s="1"/>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L169" i="3" s="1"/>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L163" i="3" s="1"/>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A142" i="3" s="1"/>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A130" i="3" s="1"/>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L119" i="3" s="1"/>
  <c r="BO119" i="3"/>
  <c r="BN119" i="3"/>
  <c r="BM119" i="3"/>
  <c r="BK119" i="3"/>
  <c r="BJ119" i="3"/>
  <c r="BI119" i="3"/>
  <c r="BH119" i="3"/>
  <c r="BG119" i="3"/>
  <c r="BF119" i="3"/>
  <c r="BE119" i="3"/>
  <c r="BD119" i="3"/>
  <c r="BC119" i="3"/>
  <c r="BB119" i="3"/>
  <c r="AX119" i="3"/>
  <c r="AW119" i="3"/>
  <c r="AV119" i="3"/>
  <c r="AC119" i="3"/>
  <c r="H119" i="3"/>
  <c r="G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L115" i="3" s="1"/>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A300" i="3" s="1"/>
  <c r="BD300" i="3"/>
  <c r="BC300" i="3"/>
  <c r="BB300" i="3"/>
  <c r="AX300" i="3"/>
  <c r="AW300" i="3"/>
  <c r="AV300" i="3"/>
  <c r="AC300" i="3"/>
  <c r="H300" i="3"/>
  <c r="BT299" i="3"/>
  <c r="BS299" i="3"/>
  <c r="BR299" i="3"/>
  <c r="BQ299" i="3"/>
  <c r="BP299" i="3"/>
  <c r="BO299" i="3"/>
  <c r="BL299" i="3" s="1"/>
  <c r="BN299" i="3"/>
  <c r="BM299" i="3"/>
  <c r="BK299" i="3"/>
  <c r="BJ299" i="3"/>
  <c r="BI299" i="3"/>
  <c r="BH299" i="3"/>
  <c r="BG299" i="3"/>
  <c r="BA299" i="3" s="1"/>
  <c r="BF299" i="3"/>
  <c r="BE299" i="3"/>
  <c r="BD299" i="3"/>
  <c r="BC299" i="3"/>
  <c r="BB299" i="3"/>
  <c r="AX299" i="3"/>
  <c r="AW299" i="3"/>
  <c r="AV299" i="3"/>
  <c r="AC299" i="3"/>
  <c r="H299" i="3"/>
  <c r="G299" i="3" s="1"/>
  <c r="BT298" i="3"/>
  <c r="BS298" i="3"/>
  <c r="BR298" i="3"/>
  <c r="BQ298" i="3"/>
  <c r="BL298" i="3" s="1"/>
  <c r="BP298" i="3"/>
  <c r="BO298" i="3"/>
  <c r="BN298" i="3"/>
  <c r="BM298" i="3"/>
  <c r="BK298" i="3"/>
  <c r="BJ298" i="3"/>
  <c r="BI298" i="3"/>
  <c r="BH298" i="3"/>
  <c r="BG298" i="3"/>
  <c r="BF298" i="3"/>
  <c r="BE298" i="3"/>
  <c r="BD298" i="3"/>
  <c r="BC298" i="3"/>
  <c r="BB298" i="3"/>
  <c r="BA298" i="3"/>
  <c r="AZ298" i="3" s="1"/>
  <c r="AX298" i="3"/>
  <c r="AW298" i="3"/>
  <c r="AV298" i="3"/>
  <c r="AC298" i="3"/>
  <c r="H298" i="3"/>
  <c r="G298" i="3" s="1"/>
  <c r="BT297" i="3"/>
  <c r="BS297" i="3"/>
  <c r="BR297" i="3"/>
  <c r="BQ297" i="3"/>
  <c r="BL297" i="3" s="1"/>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A284" i="3" s="1"/>
  <c r="BF284" i="3"/>
  <c r="BE284" i="3"/>
  <c r="BD284" i="3"/>
  <c r="BC284" i="3"/>
  <c r="BB284" i="3"/>
  <c r="AX284" i="3"/>
  <c r="AW284" i="3"/>
  <c r="AV284" i="3"/>
  <c r="AC284" i="3"/>
  <c r="H284" i="3"/>
  <c r="G284" i="3" s="1"/>
  <c r="BT283" i="3"/>
  <c r="BS283" i="3"/>
  <c r="BR283" i="3"/>
  <c r="BQ283" i="3"/>
  <c r="BP283" i="3"/>
  <c r="BL283" i="3" s="1"/>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L268" i="3" s="1"/>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L266" i="3" s="1"/>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A263" i="3" s="1"/>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A256" i="3" s="1"/>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A246" i="3" s="1"/>
  <c r="BG246" i="3"/>
  <c r="BF246" i="3"/>
  <c r="BE246" i="3"/>
  <c r="BD246" i="3"/>
  <c r="BC246" i="3"/>
  <c r="BB246" i="3"/>
  <c r="AX246" i="3"/>
  <c r="AW246" i="3"/>
  <c r="AV246" i="3"/>
  <c r="AC246" i="3"/>
  <c r="H246" i="3"/>
  <c r="G246" i="3"/>
  <c r="BT245" i="3"/>
  <c r="BS245" i="3"/>
  <c r="BL245" i="3" s="1"/>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A239" i="3" s="1"/>
  <c r="BE239" i="3"/>
  <c r="BD239" i="3"/>
  <c r="BC239" i="3"/>
  <c r="BB239" i="3"/>
  <c r="AX239" i="3"/>
  <c r="AW239" i="3"/>
  <c r="AV239" i="3"/>
  <c r="AC239" i="3"/>
  <c r="H239" i="3"/>
  <c r="G239" i="3"/>
  <c r="BT238" i="3"/>
  <c r="BS238" i="3"/>
  <c r="BR238" i="3"/>
  <c r="BQ238" i="3"/>
  <c r="BL238" i="3" s="1"/>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A232" i="3" s="1"/>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A226" i="3" s="1"/>
  <c r="AZ226" i="3" s="1"/>
  <c r="BD226" i="3"/>
  <c r="BC226" i="3"/>
  <c r="BB226" i="3"/>
  <c r="AX226" i="3"/>
  <c r="AW226" i="3"/>
  <c r="AV226" i="3"/>
  <c r="AC226" i="3"/>
  <c r="H226" i="3"/>
  <c r="G226" i="3"/>
  <c r="BT225" i="3"/>
  <c r="BS225" i="3"/>
  <c r="BR225" i="3"/>
  <c r="BQ225" i="3"/>
  <c r="BP225" i="3"/>
  <c r="BL225" i="3" s="1"/>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L214" i="3" s="1"/>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L209" i="3" s="1"/>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A396" i="3" s="1"/>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A395" i="3" s="1"/>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A374" i="3" s="1"/>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A315" i="3" s="1"/>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N491" i="3"/>
  <c r="BL491" i="3" s="1"/>
  <c r="BM491" i="3"/>
  <c r="BK491" i="3"/>
  <c r="BJ491" i="3"/>
  <c r="BI491" i="3"/>
  <c r="BH491" i="3"/>
  <c r="BG491" i="3"/>
  <c r="BF491" i="3"/>
  <c r="BA491" i="3" s="1"/>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A488" i="3" s="1"/>
  <c r="BF488" i="3"/>
  <c r="BE488" i="3"/>
  <c r="BD488" i="3"/>
  <c r="BC488" i="3"/>
  <c r="BB488" i="3"/>
  <c r="AX488" i="3"/>
  <c r="AW488" i="3"/>
  <c r="AV488" i="3"/>
  <c r="AC488" i="3"/>
  <c r="H488" i="3"/>
  <c r="G488" i="3" s="1"/>
  <c r="BT487" i="3"/>
  <c r="BS487" i="3"/>
  <c r="BR487" i="3"/>
  <c r="BQ487" i="3"/>
  <c r="BL487" i="3" s="1"/>
  <c r="BP487" i="3"/>
  <c r="BO487" i="3"/>
  <c r="BN487" i="3"/>
  <c r="BM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L481" i="3" s="1"/>
  <c r="BM481" i="3"/>
  <c r="BK481" i="3"/>
  <c r="BJ481" i="3"/>
  <c r="BI481" i="3"/>
  <c r="BH481" i="3"/>
  <c r="BG481" i="3"/>
  <c r="BA481" i="3" s="1"/>
  <c r="AZ481" i="3" s="1"/>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A478" i="3" s="1"/>
  <c r="AZ478" i="3" s="1"/>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L476" i="3" s="1"/>
  <c r="BQ476" i="3"/>
  <c r="BP476" i="3"/>
  <c r="BO476" i="3"/>
  <c r="BN476" i="3"/>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L467" i="3" s="1"/>
  <c r="BK467" i="3"/>
  <c r="BJ467" i="3"/>
  <c r="BI467" i="3"/>
  <c r="BH467" i="3"/>
  <c r="BG467" i="3"/>
  <c r="BA467" i="3" s="1"/>
  <c r="BF467" i="3"/>
  <c r="BE467" i="3"/>
  <c r="BD467" i="3"/>
  <c r="BC467" i="3"/>
  <c r="BB467" i="3"/>
  <c r="AX467" i="3"/>
  <c r="AW467" i="3"/>
  <c r="AV467" i="3"/>
  <c r="AC467" i="3"/>
  <c r="H467" i="3"/>
  <c r="G467" i="3" s="1"/>
  <c r="BT466" i="3"/>
  <c r="BS466" i="3"/>
  <c r="BR466" i="3"/>
  <c r="BQ466" i="3"/>
  <c r="BL466" i="3" s="1"/>
  <c r="BP466" i="3"/>
  <c r="BO466" i="3"/>
  <c r="BN466" i="3"/>
  <c r="BM466" i="3"/>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A464" i="3" s="1"/>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A454" i="3" s="1"/>
  <c r="AZ454" i="3" s="1"/>
  <c r="BF454" i="3"/>
  <c r="BE454" i="3"/>
  <c r="BD454" i="3"/>
  <c r="BC454" i="3"/>
  <c r="BB454" i="3"/>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A453" i="3" s="1"/>
  <c r="AZ453" i="3" s="1"/>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A451" i="3" s="1"/>
  <c r="AZ451" i="3" s="1"/>
  <c r="BF451" i="3"/>
  <c r="BE451" i="3"/>
  <c r="BD451" i="3"/>
  <c r="BC451" i="3"/>
  <c r="BB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L448" i="3" s="1"/>
  <c r="BK448" i="3"/>
  <c r="BJ448" i="3"/>
  <c r="BI448" i="3"/>
  <c r="BH448" i="3"/>
  <c r="BG448" i="3"/>
  <c r="BA448" i="3" s="1"/>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A443" i="3" s="1"/>
  <c r="AZ443" i="3" s="1"/>
  <c r="BF443" i="3"/>
  <c r="BE443" i="3"/>
  <c r="BD443" i="3"/>
  <c r="BC443" i="3"/>
  <c r="BB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A439" i="3" s="1"/>
  <c r="BF439" i="3"/>
  <c r="BE439" i="3"/>
  <c r="BD439" i="3"/>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A436" i="3" s="1"/>
  <c r="AZ436" i="3" s="1"/>
  <c r="BF436" i="3"/>
  <c r="BE436" i="3"/>
  <c r="BD436" i="3"/>
  <c r="BC436" i="3"/>
  <c r="BB436" i="3"/>
  <c r="AX436" i="3"/>
  <c r="AW436" i="3"/>
  <c r="AV436" i="3"/>
  <c r="AC436" i="3"/>
  <c r="H436" i="3"/>
  <c r="BT435" i="3"/>
  <c r="BS435" i="3"/>
  <c r="BR435" i="3"/>
  <c r="BL435" i="3" s="1"/>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A430" i="3" s="1"/>
  <c r="BD430" i="3"/>
  <c r="BC430" i="3"/>
  <c r="BB430" i="3"/>
  <c r="AX430" i="3"/>
  <c r="AW430" i="3"/>
  <c r="AV430" i="3"/>
  <c r="AC430" i="3"/>
  <c r="G430" i="3" s="1"/>
  <c r="H430" i="3"/>
  <c r="BT429" i="3"/>
  <c r="BS429" i="3"/>
  <c r="BR429" i="3"/>
  <c r="BQ429" i="3"/>
  <c r="BP429" i="3"/>
  <c r="BL429" i="3" s="1"/>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L427" i="3" s="1"/>
  <c r="BQ427" i="3"/>
  <c r="BP427" i="3"/>
  <c r="BO427" i="3"/>
  <c r="BN427" i="3"/>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A424" i="3" s="1"/>
  <c r="BG424" i="3"/>
  <c r="BF424" i="3"/>
  <c r="BE424" i="3"/>
  <c r="BD424" i="3"/>
  <c r="BC424" i="3"/>
  <c r="BB424" i="3"/>
  <c r="AX424" i="3"/>
  <c r="AW424" i="3"/>
  <c r="AV424" i="3"/>
  <c r="AC424" i="3"/>
  <c r="H424" i="3"/>
  <c r="G424" i="3" s="1"/>
  <c r="BT423" i="3"/>
  <c r="BS423" i="3"/>
  <c r="BL423" i="3" s="1"/>
  <c r="BR423" i="3"/>
  <c r="BQ423" i="3"/>
  <c r="BP423" i="3"/>
  <c r="BO423" i="3"/>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A422" i="3" s="1"/>
  <c r="AZ422" i="3" s="1"/>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L420" i="3" s="1"/>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L419" i="3" s="1"/>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A416" i="3" s="1"/>
  <c r="AZ416" i="3" s="1"/>
  <c r="BF416" i="3"/>
  <c r="BE416" i="3"/>
  <c r="BD416" i="3"/>
  <c r="BC416" i="3"/>
  <c r="BB416" i="3"/>
  <c r="AX416" i="3"/>
  <c r="AW416" i="3"/>
  <c r="AV416" i="3"/>
  <c r="AC416" i="3"/>
  <c r="H416" i="3"/>
  <c r="G416" i="3"/>
  <c r="BT415" i="3"/>
  <c r="BS415" i="3"/>
  <c r="BR415" i="3"/>
  <c r="BL415" i="3" s="1"/>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A412" i="3" s="1"/>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A407" i="3" s="1"/>
  <c r="BG407" i="3"/>
  <c r="BF407" i="3"/>
  <c r="BE407" i="3"/>
  <c r="BD407" i="3"/>
  <c r="BC407" i="3"/>
  <c r="BB407" i="3"/>
  <c r="AX407" i="3"/>
  <c r="AW407" i="3"/>
  <c r="AV407" i="3"/>
  <c r="AC407" i="3"/>
  <c r="H407" i="3"/>
  <c r="G407" i="3" s="1"/>
  <c r="BT406" i="3"/>
  <c r="BS406" i="3"/>
  <c r="BL406" i="3" s="1"/>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L403" i="3" s="1"/>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c r="C60" i="40" s="1"/>
  <c r="H59" i="40"/>
  <c r="I59" i="40"/>
  <c r="C59" i="40"/>
  <c r="H58" i="40"/>
  <c r="I58" i="40"/>
  <c r="C58" i="40" s="1"/>
  <c r="H57" i="40"/>
  <c r="I57" i="40" s="1"/>
  <c r="C57" i="40" s="1"/>
  <c r="H56" i="40"/>
  <c r="I56" i="40" s="1"/>
  <c r="C56" i="40" s="1"/>
  <c r="H55" i="40"/>
  <c r="I55" i="40" s="1"/>
  <c r="C55" i="40" s="1"/>
  <c r="H54" i="40"/>
  <c r="I54" i="40" s="1"/>
  <c r="C54" i="40"/>
  <c r="H53" i="40"/>
  <c r="I53" i="40" s="1"/>
  <c r="C53" i="40" s="1"/>
  <c r="H52" i="40"/>
  <c r="I52" i="40"/>
  <c r="C52" i="40" s="1"/>
  <c r="H65" i="39"/>
  <c r="I65" i="39"/>
  <c r="C65" i="39"/>
  <c r="H64" i="39"/>
  <c r="I64" i="39" s="1"/>
  <c r="C64" i="39" s="1"/>
  <c r="H60" i="39"/>
  <c r="I60" i="39" s="1"/>
  <c r="C60" i="39" s="1"/>
  <c r="H59" i="39"/>
  <c r="I59" i="39" s="1"/>
  <c r="C59" i="39" s="1"/>
  <c r="H58" i="39"/>
  <c r="I58" i="39"/>
  <c r="C58" i="39"/>
  <c r="H57" i="39"/>
  <c r="I57" i="39"/>
  <c r="C57" i="39"/>
  <c r="H61" i="39"/>
  <c r="I61" i="39" s="1"/>
  <c r="C61" i="39" s="1"/>
  <c r="H63" i="39"/>
  <c r="I63" i="39"/>
  <c r="C63" i="39" s="1"/>
  <c r="H62" i="39"/>
  <c r="I62" i="39"/>
  <c r="C62" i="39"/>
  <c r="C145" i="21"/>
  <c r="K139" i="21" s="1"/>
  <c r="J142" i="21"/>
  <c r="J140" i="21"/>
  <c r="M87" i="21"/>
  <c r="L87" i="21"/>
  <c r="K87" i="21"/>
  <c r="J87" i="21"/>
  <c r="I87" i="21"/>
  <c r="H87" i="21"/>
  <c r="G87" i="21"/>
  <c r="F87" i="21"/>
  <c r="E87" i="21"/>
  <c r="D87" i="21"/>
  <c r="X7" i="43"/>
  <c r="R26" i="31"/>
  <c r="R27" i="31"/>
  <c r="R28" i="31"/>
  <c r="R29" i="31"/>
  <c r="R30" i="31"/>
  <c r="R31" i="31"/>
  <c r="R32" i="31"/>
  <c r="R33" i="31"/>
  <c r="R34" i="31"/>
  <c r="S34" i="31" s="1"/>
  <c r="R35" i="31"/>
  <c r="R36" i="31"/>
  <c r="R37" i="31"/>
  <c r="R38" i="31"/>
  <c r="R39" i="31"/>
  <c r="R40" i="31"/>
  <c r="R41" i="31"/>
  <c r="R42" i="31"/>
  <c r="S42" i="31" s="1"/>
  <c r="R43" i="31"/>
  <c r="R44" i="31"/>
  <c r="R45" i="31"/>
  <c r="R46" i="31"/>
  <c r="R47" i="31"/>
  <c r="R48" i="31"/>
  <c r="R49" i="31"/>
  <c r="R50" i="31"/>
  <c r="S50" i="31" s="1"/>
  <c r="R51" i="31"/>
  <c r="R52" i="31"/>
  <c r="R53" i="31"/>
  <c r="R54" i="31"/>
  <c r="R55" i="31"/>
  <c r="R56" i="31"/>
  <c r="R57" i="31"/>
  <c r="S57" i="31" s="1"/>
  <c r="R58" i="31"/>
  <c r="S58" i="31" s="1"/>
  <c r="R59" i="31"/>
  <c r="R60" i="31"/>
  <c r="R61" i="31"/>
  <c r="R62" i="31"/>
  <c r="R63" i="31"/>
  <c r="R64" i="31"/>
  <c r="R65" i="31"/>
  <c r="S65" i="31" s="1"/>
  <c r="R66" i="31"/>
  <c r="S66" i="31" s="1"/>
  <c r="R67" i="31"/>
  <c r="R68" i="31"/>
  <c r="R69" i="31"/>
  <c r="R70" i="31"/>
  <c r="R71" i="31"/>
  <c r="R72" i="31"/>
  <c r="R73" i="31"/>
  <c r="S73" i="31" s="1"/>
  <c r="R74" i="31"/>
  <c r="S74" i="31" s="1"/>
  <c r="R75" i="31"/>
  <c r="R76" i="31"/>
  <c r="R77" i="31"/>
  <c r="R78" i="31"/>
  <c r="R79" i="31"/>
  <c r="R80" i="31"/>
  <c r="R81" i="31"/>
  <c r="R82" i="31"/>
  <c r="S82" i="31" s="1"/>
  <c r="R83" i="31"/>
  <c r="R84" i="31"/>
  <c r="R85" i="31"/>
  <c r="R86" i="31"/>
  <c r="R87" i="31"/>
  <c r="R88" i="31"/>
  <c r="R89" i="31"/>
  <c r="R90" i="31"/>
  <c r="S90" i="31" s="1"/>
  <c r="R91" i="31"/>
  <c r="R92" i="31"/>
  <c r="R93" i="31"/>
  <c r="R94" i="31"/>
  <c r="R95" i="31"/>
  <c r="R96" i="31"/>
  <c r="R97" i="31"/>
  <c r="R98" i="31"/>
  <c r="S98" i="31" s="1"/>
  <c r="R99" i="31"/>
  <c r="R100" i="31"/>
  <c r="R101" i="31"/>
  <c r="R102" i="31"/>
  <c r="R103" i="31"/>
  <c r="R104" i="31"/>
  <c r="R105" i="31"/>
  <c r="R106" i="31"/>
  <c r="S106" i="31" s="1"/>
  <c r="R107" i="31"/>
  <c r="R108" i="31"/>
  <c r="R109" i="31"/>
  <c r="R110" i="31"/>
  <c r="R111" i="31"/>
  <c r="R112" i="31"/>
  <c r="R113" i="31"/>
  <c r="R114" i="31"/>
  <c r="S114" i="31" s="1"/>
  <c r="R115" i="31"/>
  <c r="R116" i="31"/>
  <c r="R117" i="31"/>
  <c r="R118" i="31"/>
  <c r="R119" i="31"/>
  <c r="R120" i="31"/>
  <c r="R121" i="31"/>
  <c r="R122" i="31"/>
  <c r="S122" i="31" s="1"/>
  <c r="R123" i="31"/>
  <c r="R124" i="31"/>
  <c r="R125" i="31"/>
  <c r="R126" i="31"/>
  <c r="R127" i="31"/>
  <c r="R128" i="31"/>
  <c r="R129" i="31"/>
  <c r="S129" i="31" s="1"/>
  <c r="R130" i="31"/>
  <c r="R131" i="31"/>
  <c r="R132" i="31"/>
  <c r="R133" i="31"/>
  <c r="R134" i="31"/>
  <c r="R135" i="31"/>
  <c r="R136" i="31"/>
  <c r="R137" i="31"/>
  <c r="S137" i="31" s="1"/>
  <c r="R138" i="31"/>
  <c r="S138" i="31" s="1"/>
  <c r="R139" i="31"/>
  <c r="R140" i="31"/>
  <c r="R141" i="31"/>
  <c r="R142" i="31"/>
  <c r="R143" i="31"/>
  <c r="R144" i="31"/>
  <c r="R145" i="31"/>
  <c r="S145" i="31" s="1"/>
  <c r="R146" i="31"/>
  <c r="S146" i="31" s="1"/>
  <c r="R147" i="31"/>
  <c r="R148" i="31"/>
  <c r="R149" i="31"/>
  <c r="R150" i="31"/>
  <c r="R151" i="31"/>
  <c r="R152" i="31"/>
  <c r="R153" i="31"/>
  <c r="S153" i="31" s="1"/>
  <c r="R154" i="31"/>
  <c r="S154" i="31" s="1"/>
  <c r="R155" i="31"/>
  <c r="R156" i="31"/>
  <c r="R157" i="31"/>
  <c r="R158" i="31"/>
  <c r="R159" i="31"/>
  <c r="R160" i="31"/>
  <c r="R161" i="31"/>
  <c r="S161" i="31" s="1"/>
  <c r="R162" i="31"/>
  <c r="R163" i="31"/>
  <c r="R164" i="31"/>
  <c r="R165" i="31"/>
  <c r="R166" i="31"/>
  <c r="R167" i="31"/>
  <c r="R168" i="31"/>
  <c r="R169" i="31"/>
  <c r="S169" i="31" s="1"/>
  <c r="R170" i="31"/>
  <c r="R171" i="31"/>
  <c r="R172" i="31"/>
  <c r="R173" i="31"/>
  <c r="R174" i="31"/>
  <c r="R175" i="31"/>
  <c r="R176" i="31"/>
  <c r="R177" i="31"/>
  <c r="S177" i="31" s="1"/>
  <c r="R178" i="31"/>
  <c r="R179" i="31"/>
  <c r="R180" i="31"/>
  <c r="R181" i="31"/>
  <c r="R182" i="31"/>
  <c r="R183" i="31"/>
  <c r="R184" i="31"/>
  <c r="R185" i="31"/>
  <c r="S185" i="31" s="1"/>
  <c r="R186" i="31"/>
  <c r="R187" i="31"/>
  <c r="R188" i="31"/>
  <c r="R189" i="31"/>
  <c r="R190" i="31"/>
  <c r="R191" i="31"/>
  <c r="R192" i="31"/>
  <c r="R193" i="31"/>
  <c r="S193" i="31" s="1"/>
  <c r="R194" i="31"/>
  <c r="R195" i="31"/>
  <c r="R196" i="31"/>
  <c r="R197" i="31"/>
  <c r="R198" i="31"/>
  <c r="R199" i="31"/>
  <c r="R200" i="31"/>
  <c r="R201" i="31"/>
  <c r="S201" i="31" s="1"/>
  <c r="R202" i="31"/>
  <c r="S202" i="31" s="1"/>
  <c r="R203" i="31"/>
  <c r="R204" i="31"/>
  <c r="R205" i="31"/>
  <c r="R206" i="31"/>
  <c r="R207" i="31"/>
  <c r="R208" i="31"/>
  <c r="R209" i="31"/>
  <c r="S209" i="31" s="1"/>
  <c r="R210" i="31"/>
  <c r="S210" i="31" s="1"/>
  <c r="R211" i="31"/>
  <c r="R212" i="31"/>
  <c r="R213" i="31"/>
  <c r="R214" i="31"/>
  <c r="R215" i="31"/>
  <c r="R216" i="31"/>
  <c r="R217" i="31"/>
  <c r="S217" i="31" s="1"/>
  <c r="R218" i="31"/>
  <c r="S218" i="31" s="1"/>
  <c r="R219" i="31"/>
  <c r="R220" i="3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c r="R256" i="31"/>
  <c r="R257" i="31"/>
  <c r="S257" i="31" s="1"/>
  <c r="R258" i="31"/>
  <c r="R259" i="31"/>
  <c r="S259" i="31"/>
  <c r="R260" i="31"/>
  <c r="R261" i="31"/>
  <c r="S261" i="31"/>
  <c r="R262" i="31"/>
  <c r="S262" i="31" s="1"/>
  <c r="R263" i="31"/>
  <c r="S263" i="31" s="1"/>
  <c r="R264" i="31"/>
  <c r="R265" i="31"/>
  <c r="S265" i="31" s="1"/>
  <c r="R266" i="31"/>
  <c r="R267" i="31"/>
  <c r="S267" i="31" s="1"/>
  <c r="R268" i="31"/>
  <c r="R269" i="31"/>
  <c r="S269" i="31"/>
  <c r="R270" i="31"/>
  <c r="R271" i="31"/>
  <c r="S271" i="31"/>
  <c r="R272" i="31"/>
  <c r="S272" i="31" s="1"/>
  <c r="R273" i="31"/>
  <c r="S273" i="31" s="1"/>
  <c r="R274" i="31"/>
  <c r="R275" i="31"/>
  <c r="S275" i="31"/>
  <c r="R276" i="31"/>
  <c r="R277" i="31"/>
  <c r="S277" i="31"/>
  <c r="R278" i="31"/>
  <c r="S278" i="31" s="1"/>
  <c r="R279" i="31"/>
  <c r="S279" i="31" s="1"/>
  <c r="R280" i="31"/>
  <c r="R281" i="31"/>
  <c r="S281" i="31" s="1"/>
  <c r="R282" i="31"/>
  <c r="R283" i="31"/>
  <c r="S283" i="31"/>
  <c r="R284" i="31"/>
  <c r="R285" i="31"/>
  <c r="S285" i="31"/>
  <c r="R286" i="31"/>
  <c r="R287" i="31"/>
  <c r="S287" i="31"/>
  <c r="R288" i="31"/>
  <c r="R289" i="31"/>
  <c r="S289" i="31" s="1"/>
  <c r="R290" i="31"/>
  <c r="R291" i="31"/>
  <c r="S291" i="31"/>
  <c r="R292" i="31"/>
  <c r="R293" i="31"/>
  <c r="S293" i="31"/>
  <c r="R294" i="31"/>
  <c r="S294" i="31" s="1"/>
  <c r="R295" i="31"/>
  <c r="S295" i="31" s="1"/>
  <c r="R296" i="31"/>
  <c r="R297" i="31"/>
  <c r="S297" i="31" s="1"/>
  <c r="R298" i="31"/>
  <c r="R299" i="31"/>
  <c r="S299" i="31" s="1"/>
  <c r="R300" i="31"/>
  <c r="R301" i="31"/>
  <c r="S301" i="31"/>
  <c r="R302" i="31"/>
  <c r="R303" i="31"/>
  <c r="S303" i="31"/>
  <c r="R304" i="31"/>
  <c r="R305" i="31"/>
  <c r="S305" i="31" s="1"/>
  <c r="R306" i="31"/>
  <c r="R307" i="31"/>
  <c r="S307" i="31"/>
  <c r="R308" i="31"/>
  <c r="R309" i="31"/>
  <c r="S309" i="31"/>
  <c r="R310" i="31"/>
  <c r="S310" i="31" s="1"/>
  <c r="R311" i="31"/>
  <c r="S311" i="31" s="1"/>
  <c r="R312" i="31"/>
  <c r="R313" i="31"/>
  <c r="S313" i="31" s="1"/>
  <c r="R314" i="31"/>
  <c r="R315" i="31"/>
  <c r="S315" i="31"/>
  <c r="R316" i="31"/>
  <c r="R317" i="31"/>
  <c r="S317" i="31"/>
  <c r="R318" i="31"/>
  <c r="R319" i="31"/>
  <c r="S319" i="31"/>
  <c r="R320" i="31"/>
  <c r="S320" i="31" s="1"/>
  <c r="R321" i="31"/>
  <c r="S321" i="31" s="1"/>
  <c r="R322" i="31"/>
  <c r="R323" i="31"/>
  <c r="S323" i="31"/>
  <c r="R324" i="31"/>
  <c r="R325" i="31"/>
  <c r="S325" i="31"/>
  <c r="R326" i="31"/>
  <c r="S326" i="31" s="1"/>
  <c r="R327" i="31"/>
  <c r="S327" i="31" s="1"/>
  <c r="R328" i="31"/>
  <c r="R329" i="31"/>
  <c r="S329" i="31" s="1"/>
  <c r="R330" i="31"/>
  <c r="R331" i="31"/>
  <c r="S331" i="31"/>
  <c r="R332" i="31"/>
  <c r="R333" i="31"/>
  <c r="S333" i="31"/>
  <c r="R334" i="31"/>
  <c r="R335" i="31"/>
  <c r="S335" i="31"/>
  <c r="R336" i="31"/>
  <c r="S336" i="31" s="1"/>
  <c r="R337" i="31"/>
  <c r="S337" i="31" s="1"/>
  <c r="R338" i="31"/>
  <c r="R339" i="31"/>
  <c r="S339" i="31"/>
  <c r="R340" i="31"/>
  <c r="R341" i="31"/>
  <c r="S341" i="31"/>
  <c r="R342" i="31"/>
  <c r="S342" i="31" s="1"/>
  <c r="R343" i="31"/>
  <c r="S343" i="31" s="1"/>
  <c r="R344" i="31"/>
  <c r="R345" i="31"/>
  <c r="S345" i="31" s="1"/>
  <c r="R346" i="31"/>
  <c r="R347" i="31"/>
  <c r="S347" i="31" s="1"/>
  <c r="R348" i="31"/>
  <c r="R349" i="31"/>
  <c r="S349" i="31"/>
  <c r="R350" i="31"/>
  <c r="R351" i="31"/>
  <c r="S351" i="31"/>
  <c r="R352" i="31"/>
  <c r="S352" i="31" s="1"/>
  <c r="R353" i="31"/>
  <c r="S353" i="31" s="1"/>
  <c r="R354" i="31"/>
  <c r="R355" i="31"/>
  <c r="S355" i="31"/>
  <c r="R356" i="31"/>
  <c r="R357" i="31"/>
  <c r="S357" i="31"/>
  <c r="R358" i="31"/>
  <c r="S358" i="31" s="1"/>
  <c r="R359" i="31"/>
  <c r="S359" i="31" s="1"/>
  <c r="R360" i="31"/>
  <c r="R361" i="31"/>
  <c r="S361" i="31" s="1"/>
  <c r="R362" i="31"/>
  <c r="R363" i="31"/>
  <c r="S363" i="31" s="1"/>
  <c r="R364" i="31"/>
  <c r="R365" i="31"/>
  <c r="S365" i="31"/>
  <c r="R366" i="31"/>
  <c r="R367" i="31"/>
  <c r="S367" i="31"/>
  <c r="R368" i="31"/>
  <c r="S368" i="31" s="1"/>
  <c r="R369" i="31"/>
  <c r="S369" i="31" s="1"/>
  <c r="R370" i="31"/>
  <c r="R371" i="31"/>
  <c r="S371" i="31"/>
  <c r="R372" i="31"/>
  <c r="R373" i="31"/>
  <c r="S373" i="31"/>
  <c r="R374" i="31"/>
  <c r="S374" i="31" s="1"/>
  <c r="R375" i="31"/>
  <c r="S375" i="31" s="1"/>
  <c r="R376" i="31"/>
  <c r="R377" i="31"/>
  <c r="S377" i="31" s="1"/>
  <c r="R378" i="31"/>
  <c r="R379" i="31"/>
  <c r="S379" i="31"/>
  <c r="R380" i="31"/>
  <c r="R381" i="31"/>
  <c r="S381" i="31"/>
  <c r="R382" i="31"/>
  <c r="R383" i="31"/>
  <c r="S383" i="31"/>
  <c r="R384" i="31"/>
  <c r="S384" i="31" s="1"/>
  <c r="R385" i="31"/>
  <c r="S385" i="31" s="1"/>
  <c r="R386" i="31"/>
  <c r="R387" i="31"/>
  <c r="S387" i="31"/>
  <c r="R388" i="31"/>
  <c r="R389" i="31"/>
  <c r="S389" i="31"/>
  <c r="R390" i="31"/>
  <c r="S390" i="31" s="1"/>
  <c r="R391" i="31"/>
  <c r="S391" i="31" s="1"/>
  <c r="R392" i="31"/>
  <c r="R393" i="31"/>
  <c r="S393" i="31" s="1"/>
  <c r="R394" i="31"/>
  <c r="R395" i="31"/>
  <c r="S395" i="31" s="1"/>
  <c r="R396" i="31"/>
  <c r="R397" i="31"/>
  <c r="S397" i="31"/>
  <c r="R398" i="31"/>
  <c r="R399" i="31"/>
  <c r="S399" i="31"/>
  <c r="R400" i="31"/>
  <c r="S400" i="31" s="1"/>
  <c r="R401" i="31"/>
  <c r="S401" i="31" s="1"/>
  <c r="R402" i="31"/>
  <c r="R403" i="31"/>
  <c r="S403" i="31"/>
  <c r="R404" i="31"/>
  <c r="R405" i="31"/>
  <c r="S405" i="31"/>
  <c r="R406" i="31"/>
  <c r="S406" i="31" s="1"/>
  <c r="R407" i="31"/>
  <c r="S407" i="31" s="1"/>
  <c r="R408" i="31"/>
  <c r="R409" i="31"/>
  <c r="S409" i="31" s="1"/>
  <c r="R410" i="31"/>
  <c r="R411" i="31"/>
  <c r="S411" i="31"/>
  <c r="R412" i="31"/>
  <c r="R413" i="31"/>
  <c r="S413" i="31"/>
  <c r="R414" i="31"/>
  <c r="R415" i="31"/>
  <c r="S415" i="31"/>
  <c r="R416" i="31"/>
  <c r="S416" i="31" s="1"/>
  <c r="R417" i="31"/>
  <c r="S417" i="31" s="1"/>
  <c r="R418" i="31"/>
  <c r="R419" i="31"/>
  <c r="S419" i="31"/>
  <c r="R420" i="31"/>
  <c r="R421" i="31"/>
  <c r="S421" i="31"/>
  <c r="R422" i="31"/>
  <c r="S422" i="31" s="1"/>
  <c r="R423" i="31"/>
  <c r="S423" i="31" s="1"/>
  <c r="R424" i="31"/>
  <c r="R425" i="31"/>
  <c r="R426" i="31"/>
  <c r="R427" i="31"/>
  <c r="R428" i="31"/>
  <c r="R429" i="31"/>
  <c r="S429" i="31" s="1"/>
  <c r="R430" i="31"/>
  <c r="R431" i="31"/>
  <c r="R432" i="31"/>
  <c r="R433" i="31"/>
  <c r="R434" i="31"/>
  <c r="R435" i="31"/>
  <c r="R436" i="31"/>
  <c r="R437" i="31"/>
  <c r="S437" i="31" s="1"/>
  <c r="R438" i="31"/>
  <c r="R439" i="31"/>
  <c r="R440" i="31"/>
  <c r="R441" i="31"/>
  <c r="R442" i="31"/>
  <c r="R443" i="31"/>
  <c r="R444" i="31"/>
  <c r="R445" i="31"/>
  <c r="S445" i="31" s="1"/>
  <c r="R446" i="31"/>
  <c r="R447" i="31"/>
  <c r="R448" i="31"/>
  <c r="R449" i="31"/>
  <c r="R450" i="31"/>
  <c r="R451" i="31"/>
  <c r="R452" i="31"/>
  <c r="R453" i="31"/>
  <c r="S453" i="31" s="1"/>
  <c r="R454" i="31"/>
  <c r="R455" i="31"/>
  <c r="R456" i="31"/>
  <c r="R457" i="31"/>
  <c r="R458" i="31"/>
  <c r="R459" i="31"/>
  <c r="R460" i="31"/>
  <c r="R461" i="31"/>
  <c r="S461" i="31" s="1"/>
  <c r="R462" i="31"/>
  <c r="R463" i="31"/>
  <c r="R464" i="31"/>
  <c r="R465" i="31"/>
  <c r="R466" i="31"/>
  <c r="R467" i="31"/>
  <c r="R468" i="31"/>
  <c r="S468" i="31" s="1"/>
  <c r="R469" i="31"/>
  <c r="R470" i="31"/>
  <c r="R471" i="31"/>
  <c r="R472" i="31"/>
  <c r="R473" i="31"/>
  <c r="R474" i="31"/>
  <c r="R475" i="31"/>
  <c r="R476" i="31"/>
  <c r="S476" i="31" s="1"/>
  <c r="R477" i="31"/>
  <c r="S477" i="31" s="1"/>
  <c r="R478" i="31"/>
  <c r="R479" i="31"/>
  <c r="R480" i="31"/>
  <c r="R481" i="31"/>
  <c r="R482" i="31"/>
  <c r="R483" i="31"/>
  <c r="R484" i="31"/>
  <c r="S484" i="31" s="1"/>
  <c r="R485" i="31"/>
  <c r="S485" i="31" s="1"/>
  <c r="R486" i="31"/>
  <c r="R487" i="31"/>
  <c r="R488" i="31"/>
  <c r="R489" i="31"/>
  <c r="R490" i="31"/>
  <c r="R491" i="31"/>
  <c r="R492" i="31"/>
  <c r="S492" i="31" s="1"/>
  <c r="R493" i="31"/>
  <c r="S493" i="31" s="1"/>
  <c r="R494" i="31"/>
  <c r="R495" i="31"/>
  <c r="R496" i="31"/>
  <c r="R497" i="31"/>
  <c r="R498" i="31"/>
  <c r="R499" i="31"/>
  <c r="R500" i="31"/>
  <c r="S500" i="31" s="1"/>
  <c r="R501" i="31"/>
  <c r="R502" i="31"/>
  <c r="R503" i="31"/>
  <c r="R504" i="31"/>
  <c r="R505" i="31"/>
  <c r="R506" i="31"/>
  <c r="R507" i="31"/>
  <c r="R508" i="31"/>
  <c r="S508" i="31" s="1"/>
  <c r="R509" i="31"/>
  <c r="S509" i="31" s="1"/>
  <c r="R510" i="31"/>
  <c r="R511" i="31"/>
  <c r="R512" i="31"/>
  <c r="R513" i="31"/>
  <c r="R514" i="31"/>
  <c r="R515" i="31"/>
  <c r="R516" i="31"/>
  <c r="S516" i="31" s="1"/>
  <c r="R517" i="31"/>
  <c r="R518" i="31"/>
  <c r="R519" i="31"/>
  <c r="R520" i="3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B61" i="72"/>
  <c r="A5" i="62"/>
  <c r="B72" i="72"/>
  <c r="A4" i="62"/>
  <c r="B70" i="72"/>
  <c r="F33" i="9"/>
  <c r="B37" i="48"/>
  <c r="B2" i="72"/>
  <c r="B13" i="53"/>
  <c r="B29" i="72" s="1"/>
  <c r="R35" i="4"/>
  <c r="Q35" i="4"/>
  <c r="P35" i="4"/>
  <c r="O35" i="4"/>
  <c r="N35" i="4"/>
  <c r="M35" i="4"/>
  <c r="L35" i="4"/>
  <c r="K34" i="4"/>
  <c r="T34" i="4"/>
  <c r="T35" i="4" s="1"/>
  <c r="G13" i="1"/>
  <c r="G11" i="1"/>
  <c r="H15" i="4"/>
  <c r="G15" i="4"/>
  <c r="E15" i="4"/>
  <c r="D15" i="4"/>
  <c r="F19" i="4"/>
  <c r="F2" i="52"/>
  <c r="B50" i="72" s="1"/>
  <c r="D2" i="52"/>
  <c r="B46" i="72" s="1"/>
  <c r="B8" i="53"/>
  <c r="B23" i="72"/>
  <c r="L4" i="9"/>
  <c r="B17" i="72"/>
  <c r="B15" i="72"/>
  <c r="A3" i="51"/>
  <c r="C8" i="11"/>
  <c r="B2" i="49"/>
  <c r="B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M10" i="1"/>
  <c r="O10" i="1"/>
  <c r="B23" i="1"/>
  <c r="D78" i="9"/>
  <c r="BQ16" i="3"/>
  <c r="BQ17" i="3"/>
  <c r="BS16" i="3"/>
  <c r="BS17" i="3"/>
  <c r="BR16" i="3"/>
  <c r="BR17" i="3"/>
  <c r="BT16" i="3"/>
  <c r="BT17" i="3"/>
  <c r="BM16" i="3"/>
  <c r="BM17" i="3"/>
  <c r="BO16" i="3"/>
  <c r="BO17" i="3"/>
  <c r="BN16" i="3"/>
  <c r="BN17" i="3"/>
  <c r="BP16" i="3"/>
  <c r="BP17" i="3"/>
  <c r="E19" i="6"/>
  <c r="E20" i="6"/>
  <c r="E21" i="6"/>
  <c r="K8" i="1"/>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G15" i="3" s="1"/>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s="1"/>
  <c r="O53" i="9" s="1"/>
  <c r="D89" i="9"/>
  <c r="C89" i="9"/>
  <c r="C87" i="9" s="1"/>
  <c r="G12" i="1"/>
  <c r="J55" i="9"/>
  <c r="B31" i="1"/>
  <c r="M20" i="15"/>
  <c r="T4" i="1"/>
  <c r="F15" i="15"/>
  <c r="F17" i="15"/>
  <c r="F18" i="15"/>
  <c r="F20" i="15"/>
  <c r="F21" i="15"/>
  <c r="D3" i="35"/>
  <c r="E59" i="9"/>
  <c r="N55" i="9" s="1"/>
  <c r="K55" i="9"/>
  <c r="F59" i="9"/>
  <c r="O55" i="9" s="1"/>
  <c r="N54" i="9"/>
  <c r="N53" i="9"/>
  <c r="E48" i="9"/>
  <c r="N52" i="9"/>
  <c r="F56" i="9"/>
  <c r="O54" i="9"/>
  <c r="D101" i="9"/>
  <c r="C101" i="9"/>
  <c r="H104"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4" i="31"/>
  <c r="S412" i="31"/>
  <c r="S410" i="31"/>
  <c r="S408" i="31"/>
  <c r="S404" i="31"/>
  <c r="S402" i="31"/>
  <c r="S398" i="31"/>
  <c r="S396" i="31"/>
  <c r="S394" i="31"/>
  <c r="S392" i="31"/>
  <c r="S388" i="31"/>
  <c r="S386" i="31"/>
  <c r="S382" i="31"/>
  <c r="S380" i="31"/>
  <c r="S378" i="31"/>
  <c r="S376" i="31"/>
  <c r="S372" i="31"/>
  <c r="S370" i="31"/>
  <c r="S366" i="31"/>
  <c r="S364" i="31"/>
  <c r="S362" i="31"/>
  <c r="S360" i="31"/>
  <c r="S356" i="31"/>
  <c r="S354" i="31"/>
  <c r="S350" i="31"/>
  <c r="S348" i="31"/>
  <c r="S346" i="31"/>
  <c r="S344" i="31"/>
  <c r="S340" i="31"/>
  <c r="S338" i="31"/>
  <c r="S334" i="31"/>
  <c r="S332" i="31"/>
  <c r="S330" i="31"/>
  <c r="S328" i="31"/>
  <c r="S324" i="31"/>
  <c r="S322" i="31"/>
  <c r="S424" i="31"/>
  <c r="S318" i="31"/>
  <c r="S316" i="31"/>
  <c r="S314" i="31"/>
  <c r="S312" i="31"/>
  <c r="S308" i="31"/>
  <c r="S306" i="31"/>
  <c r="S304" i="31"/>
  <c r="S302" i="31"/>
  <c r="S300" i="31"/>
  <c r="S298" i="31"/>
  <c r="S296" i="31"/>
  <c r="S292" i="31"/>
  <c r="S290" i="31"/>
  <c r="S288" i="31"/>
  <c r="S286" i="31"/>
  <c r="S284" i="31"/>
  <c r="S282" i="31"/>
  <c r="S280" i="31"/>
  <c r="S276" i="31"/>
  <c r="S274" i="31"/>
  <c r="S270" i="31"/>
  <c r="S268" i="31"/>
  <c r="S266" i="31"/>
  <c r="S264" i="31"/>
  <c r="S260" i="31"/>
  <c r="S258"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20" i="31"/>
  <c r="S219" i="31"/>
  <c r="S216" i="31"/>
  <c r="S215" i="31"/>
  <c r="S214" i="31"/>
  <c r="S213" i="31"/>
  <c r="S212" i="31"/>
  <c r="S211" i="31"/>
  <c r="S208" i="31"/>
  <c r="S207" i="31"/>
  <c r="S206" i="31"/>
  <c r="S205" i="31"/>
  <c r="S204" i="31"/>
  <c r="S203" i="31"/>
  <c r="S200" i="31"/>
  <c r="S199" i="31"/>
  <c r="S198" i="31"/>
  <c r="S197" i="31"/>
  <c r="S196" i="31"/>
  <c r="S195" i="31"/>
  <c r="S194" i="31"/>
  <c r="S192" i="31"/>
  <c r="S191" i="31"/>
  <c r="S190" i="31"/>
  <c r="S189" i="31"/>
  <c r="S188" i="31"/>
  <c r="S187" i="31"/>
  <c r="S186" i="31"/>
  <c r="S184" i="31"/>
  <c r="S183" i="31"/>
  <c r="S182" i="31"/>
  <c r="S181" i="31"/>
  <c r="S180" i="31"/>
  <c r="S179" i="31"/>
  <c r="S178" i="31"/>
  <c r="S176" i="31"/>
  <c r="S175" i="31"/>
  <c r="S174" i="31"/>
  <c r="S173" i="31"/>
  <c r="S172" i="31"/>
  <c r="S171" i="31"/>
  <c r="S170" i="31"/>
  <c r="S168" i="31"/>
  <c r="S167" i="31"/>
  <c r="S166" i="31"/>
  <c r="S165" i="31"/>
  <c r="S164" i="31"/>
  <c r="S163" i="31"/>
  <c r="S162" i="31"/>
  <c r="S160" i="31"/>
  <c r="S159" i="31"/>
  <c r="S158" i="31"/>
  <c r="S157" i="31"/>
  <c r="S156" i="31"/>
  <c r="S155" i="31"/>
  <c r="S152" i="31"/>
  <c r="S151" i="31"/>
  <c r="S150" i="31"/>
  <c r="S149" i="31"/>
  <c r="S148" i="31"/>
  <c r="S147" i="31"/>
  <c r="S144" i="31"/>
  <c r="S143" i="31"/>
  <c r="S142" i="31"/>
  <c r="S141" i="31"/>
  <c r="S140" i="31"/>
  <c r="S139" i="31"/>
  <c r="S136" i="31"/>
  <c r="S135" i="31"/>
  <c r="S134" i="31"/>
  <c r="S133" i="31"/>
  <c r="S132" i="31"/>
  <c r="S131" i="31"/>
  <c r="S130" i="31"/>
  <c r="S128" i="31"/>
  <c r="S127" i="31"/>
  <c r="S126" i="31"/>
  <c r="S125" i="31"/>
  <c r="S124" i="31"/>
  <c r="S123" i="31"/>
  <c r="S497" i="31"/>
  <c r="S496" i="31"/>
  <c r="S495" i="31"/>
  <c r="S494" i="31"/>
  <c r="S491" i="31"/>
  <c r="S490" i="31"/>
  <c r="S489" i="31"/>
  <c r="S488" i="31"/>
  <c r="S487" i="31"/>
  <c r="S486" i="31"/>
  <c r="S483" i="31"/>
  <c r="S482" i="31"/>
  <c r="S481" i="31"/>
  <c r="S480" i="31"/>
  <c r="S479" i="31"/>
  <c r="S478" i="31"/>
  <c r="S475" i="31"/>
  <c r="S474" i="31"/>
  <c r="S473" i="31"/>
  <c r="S472" i="31"/>
  <c r="S471" i="31"/>
  <c r="S470" i="31"/>
  <c r="S469" i="31"/>
  <c r="S444" i="31"/>
  <c r="S443" i="31"/>
  <c r="S442" i="31"/>
  <c r="S441" i="31"/>
  <c r="S440" i="31"/>
  <c r="S439" i="31"/>
  <c r="S438" i="31"/>
  <c r="S436" i="31"/>
  <c r="S435" i="31"/>
  <c r="S434" i="31"/>
  <c r="S433" i="31"/>
  <c r="S432" i="31"/>
  <c r="S431" i="31"/>
  <c r="S430" i="31"/>
  <c r="S121" i="31"/>
  <c r="S120" i="31"/>
  <c r="S119" i="31"/>
  <c r="S118" i="31"/>
  <c r="S117" i="31"/>
  <c r="S116" i="31"/>
  <c r="S115" i="31"/>
  <c r="S113" i="31"/>
  <c r="S112" i="31"/>
  <c r="S506" i="31"/>
  <c r="S504" i="31"/>
  <c r="S502" i="31"/>
  <c r="S498" i="31"/>
  <c r="S467" i="31"/>
  <c r="S466" i="31"/>
  <c r="S465" i="31"/>
  <c r="S464" i="31"/>
  <c r="S463" i="31"/>
  <c r="S462" i="31"/>
  <c r="S460" i="31"/>
  <c r="S459" i="31"/>
  <c r="S458" i="31"/>
  <c r="S457" i="31"/>
  <c r="S456" i="31"/>
  <c r="S455" i="31"/>
  <c r="S454" i="31"/>
  <c r="S452" i="31"/>
  <c r="S451" i="31"/>
  <c r="S450" i="31"/>
  <c r="S54" i="31"/>
  <c r="S53" i="31"/>
  <c r="S52" i="31"/>
  <c r="S51" i="31"/>
  <c r="S49" i="31"/>
  <c r="S48" i="31"/>
  <c r="S47" i="31"/>
  <c r="S46" i="31"/>
  <c r="S45" i="31"/>
  <c r="S44" i="31"/>
  <c r="S43" i="31"/>
  <c r="S41" i="31"/>
  <c r="S40" i="31"/>
  <c r="S39" i="31"/>
  <c r="S38" i="31"/>
  <c r="S37" i="31"/>
  <c r="S36" i="31"/>
  <c r="S35" i="31"/>
  <c r="S33" i="31"/>
  <c r="S32" i="31"/>
  <c r="S77" i="31"/>
  <c r="S76" i="31"/>
  <c r="S75" i="31"/>
  <c r="S72" i="31"/>
  <c r="S71" i="31"/>
  <c r="S70" i="31"/>
  <c r="S69" i="31"/>
  <c r="S68" i="31"/>
  <c r="S67" i="31"/>
  <c r="S64" i="31"/>
  <c r="S63" i="31"/>
  <c r="S62" i="31"/>
  <c r="S61" i="31"/>
  <c r="S60" i="31"/>
  <c r="S59" i="31"/>
  <c r="S56" i="31"/>
  <c r="S55" i="31"/>
  <c r="S24" i="31"/>
  <c r="S97" i="31"/>
  <c r="S96" i="31"/>
  <c r="S95" i="31"/>
  <c r="S94" i="31"/>
  <c r="S93" i="31"/>
  <c r="S92" i="31"/>
  <c r="S91" i="31"/>
  <c r="S89" i="31"/>
  <c r="S88" i="31"/>
  <c r="S87" i="31"/>
  <c r="S86" i="31"/>
  <c r="S85" i="31"/>
  <c r="S84" i="31"/>
  <c r="S83" i="31"/>
  <c r="S81" i="31"/>
  <c r="S80" i="31"/>
  <c r="S79" i="31"/>
  <c r="S78" i="31"/>
  <c r="S31" i="31"/>
  <c r="S30" i="31"/>
  <c r="S29" i="31"/>
  <c r="S99" i="31"/>
  <c r="S100" i="31"/>
  <c r="S101" i="31"/>
  <c r="S102" i="31"/>
  <c r="S103" i="31"/>
  <c r="S104" i="31"/>
  <c r="S105" i="31"/>
  <c r="S107" i="31"/>
  <c r="S108" i="31"/>
  <c r="S109" i="31"/>
  <c r="S110" i="31"/>
  <c r="S111" i="31"/>
  <c r="S446" i="31"/>
  <c r="S447" i="31"/>
  <c r="S448" i="31"/>
  <c r="S449" i="31"/>
  <c r="S507"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H54" i="33" s="1"/>
  <c r="E54" i="33"/>
  <c r="H493" i="3"/>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N5"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A496" i="3" s="1"/>
  <c r="BG496" i="3"/>
  <c r="BH496" i="3"/>
  <c r="BI496" i="3"/>
  <c r="BJ496" i="3"/>
  <c r="BK496" i="3"/>
  <c r="BM496" i="3"/>
  <c r="BN496" i="3"/>
  <c r="BO496" i="3"/>
  <c r="BP496" i="3"/>
  <c r="BQ496" i="3"/>
  <c r="BR496" i="3"/>
  <c r="BS496" i="3"/>
  <c r="BT496" i="3"/>
  <c r="H497" i="3"/>
  <c r="AC497" i="3"/>
  <c r="BB497" i="3"/>
  <c r="BB5" i="3" s="1"/>
  <c r="BC497" i="3"/>
  <c r="BD497" i="3"/>
  <c r="BE497" i="3"/>
  <c r="BF497" i="3"/>
  <c r="BG497" i="3"/>
  <c r="BH497" i="3"/>
  <c r="BI497" i="3"/>
  <c r="BJ497" i="3"/>
  <c r="BK497" i="3"/>
  <c r="BM497" i="3"/>
  <c r="BN497" i="3"/>
  <c r="BO497" i="3"/>
  <c r="BP497" i="3"/>
  <c r="BR497" i="3"/>
  <c r="BS497" i="3"/>
  <c r="BT497" i="3"/>
  <c r="BT5" i="3" s="1"/>
  <c r="H498" i="3"/>
  <c r="AC498" i="3"/>
  <c r="BB498" i="3"/>
  <c r="BC498" i="3"/>
  <c r="BD498" i="3"/>
  <c r="BE498" i="3"/>
  <c r="BF498" i="3"/>
  <c r="BG498" i="3"/>
  <c r="BA498" i="3" s="1"/>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L502" i="3" s="1"/>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A507" i="3" s="1"/>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A510" i="3" s="1"/>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G519" i="3"/>
  <c r="BH519" i="3"/>
  <c r="BI519" i="3"/>
  <c r="BJ519" i="3"/>
  <c r="BK519" i="3"/>
  <c r="BM519" i="3"/>
  <c r="BN519" i="3"/>
  <c r="BO519" i="3"/>
  <c r="BL519" i="3" s="1"/>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L523" i="3" s="1"/>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A544" i="3" s="1"/>
  <c r="BI544" i="3"/>
  <c r="BJ544" i="3"/>
  <c r="BK544" i="3"/>
  <c r="BM544" i="3"/>
  <c r="BN544" i="3"/>
  <c r="BO544" i="3"/>
  <c r="BP544" i="3"/>
  <c r="BQ544" i="3"/>
  <c r="BL544" i="3" s="1"/>
  <c r="BR544" i="3"/>
  <c r="BS544" i="3"/>
  <c r="BT544" i="3"/>
  <c r="H545" i="3"/>
  <c r="AC545" i="3"/>
  <c r="BB545" i="3"/>
  <c r="BC545" i="3"/>
  <c r="BD545" i="3"/>
  <c r="BA545" i="3" s="1"/>
  <c r="BE545" i="3"/>
  <c r="BF545" i="3"/>
  <c r="BG545" i="3"/>
  <c r="BH545" i="3"/>
  <c r="BI545" i="3"/>
  <c r="BJ545" i="3"/>
  <c r="BK545" i="3"/>
  <c r="BM545" i="3"/>
  <c r="BL545" i="3" s="1"/>
  <c r="BN545" i="3"/>
  <c r="BO545" i="3"/>
  <c r="BP545" i="3"/>
  <c r="BR545" i="3"/>
  <c r="BS545" i="3"/>
  <c r="BT545" i="3"/>
  <c r="H546" i="3"/>
  <c r="AC546" i="3"/>
  <c r="BB546" i="3"/>
  <c r="BC546" i="3"/>
  <c r="BD546" i="3"/>
  <c r="BE546" i="3"/>
  <c r="BF546" i="3"/>
  <c r="BG546" i="3"/>
  <c r="BH546" i="3"/>
  <c r="BI546" i="3"/>
  <c r="BA546" i="3" s="1"/>
  <c r="AZ546" i="3" s="1"/>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Q5" i="3" s="1"/>
  <c r="F28" i="6"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A550" i="3" s="1"/>
  <c r="BI550" i="3"/>
  <c r="BJ550" i="3"/>
  <c r="BK550" i="3"/>
  <c r="BM550" i="3"/>
  <c r="BN550" i="3"/>
  <c r="BO550" i="3"/>
  <c r="BP550" i="3"/>
  <c r="BQ550" i="3"/>
  <c r="BR550" i="3"/>
  <c r="BS550" i="3"/>
  <c r="BT550" i="3"/>
  <c r="H551" i="3"/>
  <c r="G551" i="3" s="1"/>
  <c r="AC551" i="3"/>
  <c r="BB551" i="3"/>
  <c r="BC551" i="3"/>
  <c r="BD551" i="3"/>
  <c r="BA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L553" i="3" s="1"/>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L569" i="3" s="1"/>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A574" i="3" s="1"/>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A576" i="3" s="1"/>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L580" i="3" s="1"/>
  <c r="BT580" i="3"/>
  <c r="H581" i="3"/>
  <c r="AC581" i="3"/>
  <c r="BB581" i="3"/>
  <c r="BC581" i="3"/>
  <c r="BD581" i="3"/>
  <c r="BE581" i="3"/>
  <c r="BF581" i="3"/>
  <c r="BA581" i="3" s="1"/>
  <c r="BG581" i="3"/>
  <c r="BH581" i="3"/>
  <c r="BI581" i="3"/>
  <c r="BJ581" i="3"/>
  <c r="BK581" i="3"/>
  <c r="BM581" i="3"/>
  <c r="BN581" i="3"/>
  <c r="BO581" i="3"/>
  <c r="BL581" i="3" s="1"/>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BL584" i="3" s="1"/>
  <c r="H7" i="12"/>
  <c r="I7" i="12"/>
  <c r="J7" i="12"/>
  <c r="K7" i="12"/>
  <c r="H111" i="21"/>
  <c r="B110" i="39"/>
  <c r="B112" i="39"/>
  <c r="J30" i="36"/>
  <c r="H30" i="36"/>
  <c r="F30" i="36"/>
  <c r="AA30" i="36"/>
  <c r="C26" i="35"/>
  <c r="C79" i="35"/>
  <c r="J31" i="35"/>
  <c r="AC31" i="35" s="1"/>
  <c r="W31" i="35"/>
  <c r="H31" i="35"/>
  <c r="F31" i="35"/>
  <c r="D87" i="35"/>
  <c r="E87" i="35"/>
  <c r="F87" i="35" s="1"/>
  <c r="G87" i="35"/>
  <c r="H87" i="35" s="1"/>
  <c r="I87" i="35"/>
  <c r="J87" i="35" s="1"/>
  <c r="K87" i="35" s="1"/>
  <c r="L87" i="35" s="1"/>
  <c r="M87" i="35" s="1"/>
  <c r="H34" i="37"/>
  <c r="D101" i="37"/>
  <c r="F34" i="37"/>
  <c r="D99" i="37"/>
  <c r="E99" i="37"/>
  <c r="F99" i="37"/>
  <c r="G99" i="37" s="1"/>
  <c r="H99" i="37" s="1"/>
  <c r="I99" i="37" s="1"/>
  <c r="J99" i="37" s="1"/>
  <c r="K99" i="37" s="1"/>
  <c r="L99" i="37" s="1"/>
  <c r="M99" i="37" s="1"/>
  <c r="H42" i="34"/>
  <c r="J42" i="34"/>
  <c r="W42" i="34"/>
  <c r="F42" i="34"/>
  <c r="J38" i="34"/>
  <c r="W38" i="34"/>
  <c r="D114" i="34"/>
  <c r="F38" i="34"/>
  <c r="S38" i="34" s="1"/>
  <c r="D112" i="34"/>
  <c r="E112" i="34"/>
  <c r="F112" i="34" s="1"/>
  <c r="G112" i="34"/>
  <c r="H112" i="34" s="1"/>
  <c r="I112" i="34" s="1"/>
  <c r="J112" i="34" s="1"/>
  <c r="K112" i="34" s="1"/>
  <c r="L112" i="34" s="1"/>
  <c r="M112" i="34" s="1"/>
  <c r="F40" i="33"/>
  <c r="J41" i="33"/>
  <c r="AC41" i="33" s="1"/>
  <c r="D113" i="33"/>
  <c r="F37" i="33"/>
  <c r="D111" i="33"/>
  <c r="E111" i="33"/>
  <c r="F111" i="33" s="1"/>
  <c r="S515" i="31"/>
  <c r="S517" i="31"/>
  <c r="S518" i="31"/>
  <c r="S519" i="31"/>
  <c r="S520" i="31"/>
  <c r="S521" i="31"/>
  <c r="S522" i="31"/>
  <c r="S523" i="31"/>
  <c r="F41" i="21"/>
  <c r="J41" i="21"/>
  <c r="AC41" i="21"/>
  <c r="H41" i="21"/>
  <c r="U41" i="21" s="1"/>
  <c r="D81" i="39"/>
  <c r="E81" i="39"/>
  <c r="F81" i="39" s="1"/>
  <c r="G81" i="39"/>
  <c r="H81" i="39"/>
  <c r="I81" i="39" s="1"/>
  <c r="J81" i="39" s="1"/>
  <c r="K81" i="39"/>
  <c r="L81" i="39" s="1"/>
  <c r="M81" i="39" s="1"/>
  <c r="D76" i="40"/>
  <c r="E76" i="40"/>
  <c r="F76" i="40"/>
  <c r="G76" i="40"/>
  <c r="H76" i="40" s="1"/>
  <c r="I76" i="40"/>
  <c r="J76" i="40" s="1"/>
  <c r="K76" i="40" s="1"/>
  <c r="L76" i="40" s="1"/>
  <c r="M76" i="40" s="1"/>
  <c r="B120" i="40"/>
  <c r="F40" i="40" s="1"/>
  <c r="B118" i="40"/>
  <c r="J39"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W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s="1"/>
  <c r="AA40" i="40"/>
  <c r="Q39" i="40"/>
  <c r="Z39" i="40"/>
  <c r="H39" i="40"/>
  <c r="U39" i="40" s="1"/>
  <c r="Q38" i="40"/>
  <c r="Z38" i="40"/>
  <c r="Q37" i="40"/>
  <c r="Z37" i="40"/>
  <c r="Q36" i="40"/>
  <c r="Z36" i="40" s="1"/>
  <c r="Q35" i="40"/>
  <c r="Z35" i="40"/>
  <c r="Q34" i="40"/>
  <c r="Z34" i="40"/>
  <c r="J34" i="40"/>
  <c r="AC34" i="40" s="1"/>
  <c r="H34" i="40"/>
  <c r="AB34" i="40" s="1"/>
  <c r="F34" i="40"/>
  <c r="AA34" i="40"/>
  <c r="Q33" i="40"/>
  <c r="Z33" i="40"/>
  <c r="Q32" i="40"/>
  <c r="Z32" i="40"/>
  <c r="Q31" i="40"/>
  <c r="Z31" i="40" s="1"/>
  <c r="Q30" i="40"/>
  <c r="Z30" i="40"/>
  <c r="Q28" i="40"/>
  <c r="Z28" i="40"/>
  <c r="Q27" i="40"/>
  <c r="Z27" i="40"/>
  <c r="Q23" i="40"/>
  <c r="Z23" i="40" s="1"/>
  <c r="Q21" i="40"/>
  <c r="Z21" i="40"/>
  <c r="Q19" i="40"/>
  <c r="Z19" i="40"/>
  <c r="Q17" i="40"/>
  <c r="Z17" i="40" s="1"/>
  <c r="Q15" i="40"/>
  <c r="Z15" i="40" s="1"/>
  <c r="Q14" i="40"/>
  <c r="Z14" i="40"/>
  <c r="Q13" i="40"/>
  <c r="Z13" i="40"/>
  <c r="Q12" i="40"/>
  <c r="Z12" i="40"/>
  <c r="Q11" i="40"/>
  <c r="Z11" i="40" s="1"/>
  <c r="Q10" i="40"/>
  <c r="Z10" i="40"/>
  <c r="Q9" i="40"/>
  <c r="Z9" i="40"/>
  <c r="J9" i="40"/>
  <c r="W9" i="40" s="1"/>
  <c r="H9" i="40"/>
  <c r="AB9" i="40" s="1"/>
  <c r="F9" i="40"/>
  <c r="S9" i="40"/>
  <c r="J8" i="40"/>
  <c r="AC8" i="40"/>
  <c r="H8" i="40"/>
  <c r="F8" i="40"/>
  <c r="AA8" i="40" s="1"/>
  <c r="J38" i="39"/>
  <c r="W38" i="39"/>
  <c r="H38" i="39"/>
  <c r="AB38" i="39"/>
  <c r="F38" i="39"/>
  <c r="D124" i="39"/>
  <c r="E124" i="39" s="1"/>
  <c r="F124" i="39" s="1"/>
  <c r="G124" i="39" s="1"/>
  <c r="H124" i="39" s="1"/>
  <c r="I124" i="39" s="1"/>
  <c r="J124" i="39" s="1"/>
  <c r="K124" i="39" s="1"/>
  <c r="L124" i="39" s="1"/>
  <c r="M124" i="39" s="1"/>
  <c r="D120" i="39"/>
  <c r="E120" i="39"/>
  <c r="F120" i="39"/>
  <c r="G120" i="39" s="1"/>
  <c r="H120" i="39" s="1"/>
  <c r="I120" i="39" s="1"/>
  <c r="J120" i="39" s="1"/>
  <c r="K120" i="39" s="1"/>
  <c r="L120" i="39" s="1"/>
  <c r="M120" i="39" s="1"/>
  <c r="B114" i="39"/>
  <c r="J37" i="39"/>
  <c r="D109" i="39"/>
  <c r="F34" i="39"/>
  <c r="S34" i="39" s="1"/>
  <c r="D107" i="39"/>
  <c r="E107" i="39" s="1"/>
  <c r="F107" i="39" s="1"/>
  <c r="D105" i="39"/>
  <c r="E105" i="39" s="1"/>
  <c r="F105" i="39" s="1"/>
  <c r="G105" i="39" s="1"/>
  <c r="H105" i="39" s="1"/>
  <c r="I105" i="39" s="1"/>
  <c r="J105" i="39" s="1"/>
  <c r="K105" i="39" s="1"/>
  <c r="L105" i="39" s="1"/>
  <c r="M105" i="39" s="1"/>
  <c r="D101" i="39"/>
  <c r="D99" i="39"/>
  <c r="E99" i="39"/>
  <c r="F99" i="39" s="1"/>
  <c r="G99" i="39" s="1"/>
  <c r="Q39" i="39"/>
  <c r="Z39" i="39"/>
  <c r="Q40" i="39"/>
  <c r="Z40" i="39" s="1"/>
  <c r="Q41" i="39"/>
  <c r="Z41" i="39"/>
  <c r="Q42" i="39"/>
  <c r="Z42" i="39"/>
  <c r="Q43" i="39"/>
  <c r="Z43" i="39"/>
  <c r="Q44" i="39"/>
  <c r="Z44" i="39" s="1"/>
  <c r="Q45" i="39"/>
  <c r="Z45" i="39"/>
  <c r="Q38" i="39"/>
  <c r="Z38" i="39"/>
  <c r="Q36" i="39"/>
  <c r="Z36" i="39"/>
  <c r="Q37" i="39"/>
  <c r="Z37" i="39" s="1"/>
  <c r="B131" i="39"/>
  <c r="H45" i="39"/>
  <c r="B129" i="39"/>
  <c r="F44" i="39" s="1"/>
  <c r="AA44" i="39" s="1"/>
  <c r="H44" i="39"/>
  <c r="B127" i="39"/>
  <c r="J43" i="39"/>
  <c r="AC43" i="39" s="1"/>
  <c r="D126" i="39"/>
  <c r="E126" i="39" s="1"/>
  <c r="F126" i="39" s="1"/>
  <c r="G126" i="39" s="1"/>
  <c r="H126" i="39" s="1"/>
  <c r="I126" i="39" s="1"/>
  <c r="J126" i="39" s="1"/>
  <c r="K126" i="39" s="1"/>
  <c r="L126" i="39" s="1"/>
  <c r="M126" i="39" s="1"/>
  <c r="D122" i="39"/>
  <c r="E122" i="39"/>
  <c r="F122" i="39"/>
  <c r="G122" i="39" s="1"/>
  <c r="H122" i="39" s="1"/>
  <c r="I122" i="39"/>
  <c r="J122" i="39" s="1"/>
  <c r="K122" i="39" s="1"/>
  <c r="L122" i="39" s="1"/>
  <c r="M122" i="39" s="1"/>
  <c r="B104" i="39"/>
  <c r="D97" i="39"/>
  <c r="J23" i="39"/>
  <c r="AC23" i="39" s="1"/>
  <c r="D95" i="39"/>
  <c r="E95" i="39" s="1"/>
  <c r="F95" i="39" s="1"/>
  <c r="D93" i="39"/>
  <c r="E93" i="39" s="1"/>
  <c r="F93" i="39" s="1"/>
  <c r="G93" i="39"/>
  <c r="D91" i="39"/>
  <c r="E91" i="39" s="1"/>
  <c r="F91" i="39" s="1"/>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c r="Q32" i="39"/>
  <c r="Z32" i="39" s="1"/>
  <c r="Q31" i="39"/>
  <c r="Z31" i="39" s="1"/>
  <c r="Q27" i="39"/>
  <c r="Z27" i="39" s="1"/>
  <c r="Q25" i="39"/>
  <c r="Z25" i="39"/>
  <c r="Q23" i="39"/>
  <c r="Z23" i="39" s="1"/>
  <c r="Q21" i="39"/>
  <c r="Z21" i="39"/>
  <c r="Q19" i="39"/>
  <c r="Z19" i="39" s="1"/>
  <c r="Q17" i="39"/>
  <c r="Z17" i="39"/>
  <c r="Q15" i="39"/>
  <c r="Z15" i="39" s="1"/>
  <c r="Q14" i="39"/>
  <c r="Z14" i="39" s="1"/>
  <c r="Q13" i="39"/>
  <c r="Z13" i="39" s="1"/>
  <c r="Q12" i="39"/>
  <c r="Z12" i="39"/>
  <c r="Q11" i="39"/>
  <c r="Z11" i="39" s="1"/>
  <c r="Q10" i="39"/>
  <c r="Z10" i="39" s="1"/>
  <c r="Q9" i="39"/>
  <c r="Z9" i="39" s="1"/>
  <c r="J9" i="39"/>
  <c r="AC9" i="39"/>
  <c r="H9" i="39"/>
  <c r="AB9" i="39" s="1"/>
  <c r="F9" i="39"/>
  <c r="AA9" i="39" s="1"/>
  <c r="J8" i="39"/>
  <c r="AC8" i="39" s="1"/>
  <c r="H8" i="39"/>
  <c r="U8" i="39"/>
  <c r="F8" i="39"/>
  <c r="AA8" i="39" s="1"/>
  <c r="C20" i="36"/>
  <c r="C20" i="35"/>
  <c r="C16" i="36"/>
  <c r="C16" i="35"/>
  <c r="C14" i="36"/>
  <c r="C14" i="35"/>
  <c r="B80" i="37"/>
  <c r="J25" i="37" s="1"/>
  <c r="B110" i="37"/>
  <c r="J39" i="37"/>
  <c r="AC39" i="37" s="1"/>
  <c r="B108" i="37"/>
  <c r="C23" i="37"/>
  <c r="C19" i="37"/>
  <c r="C17" i="37"/>
  <c r="C15" i="37"/>
  <c r="B112" i="37"/>
  <c r="D107" i="37"/>
  <c r="E107" i="37" s="1"/>
  <c r="F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F26" i="37" s="1"/>
  <c r="S26" i="37" s="1"/>
  <c r="D79" i="37"/>
  <c r="E79" i="37"/>
  <c r="D75" i="37"/>
  <c r="E75" i="37" s="1"/>
  <c r="D73" i="37"/>
  <c r="E73" i="37"/>
  <c r="F73" i="37"/>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c r="Q36" i="37"/>
  <c r="Z36" i="37"/>
  <c r="Q35" i="37"/>
  <c r="Z35" i="37" s="1"/>
  <c r="Q34" i="37"/>
  <c r="Z34" i="37"/>
  <c r="Q33" i="37"/>
  <c r="Z33" i="37"/>
  <c r="Q32" i="37"/>
  <c r="Z32" i="37"/>
  <c r="Q31" i="37"/>
  <c r="Z31" i="37" s="1"/>
  <c r="J31" i="37"/>
  <c r="AC31" i="37" s="1"/>
  <c r="Q30" i="37"/>
  <c r="Z30" i="37"/>
  <c r="J30" i="37"/>
  <c r="AC30" i="37"/>
  <c r="H30" i="37"/>
  <c r="AB30" i="37" s="1"/>
  <c r="F30" i="37"/>
  <c r="AA30" i="37"/>
  <c r="Q29" i="37"/>
  <c r="Z29" i="37"/>
  <c r="H29" i="37"/>
  <c r="AB29" i="37" s="1"/>
  <c r="Q28" i="37"/>
  <c r="Z28" i="37" s="1"/>
  <c r="Q27" i="37"/>
  <c r="Z27" i="37" s="1"/>
  <c r="Q26" i="37"/>
  <c r="Z26" i="37"/>
  <c r="AA26" i="37"/>
  <c r="Q25" i="37"/>
  <c r="Z25" i="37"/>
  <c r="F25" i="37"/>
  <c r="AA25" i="37" s="1"/>
  <c r="Q23" i="37"/>
  <c r="Z23" i="37" s="1"/>
  <c r="Q19" i="37"/>
  <c r="Z19" i="37"/>
  <c r="Q17" i="37"/>
  <c r="Z17" i="37" s="1"/>
  <c r="Q15" i="37"/>
  <c r="Z15" i="37" s="1"/>
  <c r="Q14" i="37"/>
  <c r="Z14" i="37" s="1"/>
  <c r="Q13" i="37"/>
  <c r="Z13" i="37"/>
  <c r="Q12" i="37"/>
  <c r="Z12" i="37" s="1"/>
  <c r="Q11" i="37"/>
  <c r="Z11" i="37" s="1"/>
  <c r="Q10" i="37"/>
  <c r="Z10" i="37" s="1"/>
  <c r="F10" i="37"/>
  <c r="AA10" i="37"/>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c r="L78" i="36" s="1"/>
  <c r="M78" i="36" s="1"/>
  <c r="B75" i="36"/>
  <c r="B73" i="36"/>
  <c r="J24" i="36"/>
  <c r="AC24" i="36"/>
  <c r="B71" i="36"/>
  <c r="D70" i="36"/>
  <c r="H22" i="36"/>
  <c r="AB22" i="36"/>
  <c r="D68" i="36"/>
  <c r="E68" i="36" s="1"/>
  <c r="F68" i="36" s="1"/>
  <c r="G68" i="36" s="1"/>
  <c r="D64" i="36"/>
  <c r="E64" i="36"/>
  <c r="F64" i="36" s="1"/>
  <c r="G64" i="36" s="1"/>
  <c r="J16" i="36"/>
  <c r="W16" i="36" s="1"/>
  <c r="D62" i="36"/>
  <c r="E62" i="36"/>
  <c r="F62" i="36" s="1"/>
  <c r="G62" i="36" s="1"/>
  <c r="B59" i="36"/>
  <c r="B57" i="36"/>
  <c r="B55" i="36"/>
  <c r="F54" i="36"/>
  <c r="G54" i="36"/>
  <c r="H54" i="36" s="1"/>
  <c r="I54" i="36"/>
  <c r="C51" i="36"/>
  <c r="H9" i="36" s="1"/>
  <c r="AB9" i="36" s="1"/>
  <c r="P37" i="36"/>
  <c r="P36" i="36"/>
  <c r="V35" i="36"/>
  <c r="T35" i="36"/>
  <c r="R35" i="36"/>
  <c r="P35" i="36"/>
  <c r="Q34" i="36"/>
  <c r="Z34" i="36" s="1"/>
  <c r="Q33" i="36"/>
  <c r="Z33" i="36"/>
  <c r="Q32" i="36"/>
  <c r="Z32" i="36" s="1"/>
  <c r="Q31" i="36"/>
  <c r="Z31" i="36" s="1"/>
  <c r="Q30" i="36"/>
  <c r="Z30" i="36"/>
  <c r="Q29" i="36"/>
  <c r="Z29" i="36" s="1"/>
  <c r="Q28" i="36"/>
  <c r="Z28" i="36" s="1"/>
  <c r="J28" i="36"/>
  <c r="AC28" i="36"/>
  <c r="Q27" i="36"/>
  <c r="Z27" i="36" s="1"/>
  <c r="Q26" i="36"/>
  <c r="Z26" i="36" s="1"/>
  <c r="H26" i="36"/>
  <c r="AB26" i="36" s="1"/>
  <c r="Q25" i="36"/>
  <c r="Z25" i="36"/>
  <c r="Q24" i="36"/>
  <c r="Z24" i="36" s="1"/>
  <c r="H24" i="36"/>
  <c r="AB24" i="36" s="1"/>
  <c r="Q23" i="36"/>
  <c r="Z23" i="36" s="1"/>
  <c r="J23" i="36"/>
  <c r="AC23" i="36"/>
  <c r="H23" i="36"/>
  <c r="AB23" i="36" s="1"/>
  <c r="F23" i="36"/>
  <c r="Q22" i="36"/>
  <c r="Z22" i="36" s="1"/>
  <c r="J22" i="36"/>
  <c r="AC22" i="36"/>
  <c r="Q20" i="36"/>
  <c r="Z20" i="36" s="1"/>
  <c r="Q16" i="36"/>
  <c r="Z16" i="36" s="1"/>
  <c r="Q14" i="36"/>
  <c r="Z14" i="36" s="1"/>
  <c r="Q13" i="36"/>
  <c r="Z13" i="36"/>
  <c r="Q12" i="36"/>
  <c r="Z12" i="36" s="1"/>
  <c r="Q11" i="36"/>
  <c r="Z11" i="36" s="1"/>
  <c r="Q10" i="36"/>
  <c r="Z10" i="36"/>
  <c r="F10" i="36"/>
  <c r="AA10" i="36" s="1"/>
  <c r="Q9" i="36"/>
  <c r="Z9" i="36" s="1"/>
  <c r="J9" i="36"/>
  <c r="AC9" i="36" s="1"/>
  <c r="J8" i="36"/>
  <c r="AC8" i="36"/>
  <c r="H8" i="36"/>
  <c r="AB8" i="36" s="1"/>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F34" i="35" s="1"/>
  <c r="AA34" i="35" s="1"/>
  <c r="B77" i="35"/>
  <c r="J25" i="35" s="1"/>
  <c r="B75" i="35"/>
  <c r="J24" i="35"/>
  <c r="AC24" i="35"/>
  <c r="B73" i="35"/>
  <c r="H23" i="35" s="1"/>
  <c r="U23" i="35" s="1"/>
  <c r="B57" i="35"/>
  <c r="B61" i="35"/>
  <c r="H13" i="35" s="1"/>
  <c r="B59" i="35"/>
  <c r="B131" i="34"/>
  <c r="B129" i="34"/>
  <c r="B127" i="34"/>
  <c r="B99" i="34"/>
  <c r="B97" i="34"/>
  <c r="J31" i="34" s="1"/>
  <c r="B95" i="34"/>
  <c r="H30" i="34" s="1"/>
  <c r="B93" i="34"/>
  <c r="H29" i="34" s="1"/>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c r="K94" i="35" s="1"/>
  <c r="L94" i="35" s="1"/>
  <c r="M94" i="35" s="1"/>
  <c r="D84" i="35"/>
  <c r="E84" i="35"/>
  <c r="F84" i="35"/>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c r="F70" i="35" s="1"/>
  <c r="G70" i="35" s="1"/>
  <c r="D66" i="35"/>
  <c r="E66" i="35" s="1"/>
  <c r="F66" i="35"/>
  <c r="G66" i="35" s="1"/>
  <c r="D64" i="35"/>
  <c r="E64" i="35" s="1"/>
  <c r="F64" i="35" s="1"/>
  <c r="G64" i="35" s="1"/>
  <c r="J14" i="35"/>
  <c r="W14" i="35" s="1"/>
  <c r="F56" i="35"/>
  <c r="G56" i="35"/>
  <c r="H56" i="35" s="1"/>
  <c r="I56" i="35"/>
  <c r="C53" i="35"/>
  <c r="P39" i="35"/>
  <c r="P38" i="35"/>
  <c r="V37" i="35"/>
  <c r="T37" i="35"/>
  <c r="R37" i="35"/>
  <c r="P37" i="35"/>
  <c r="Q36" i="35"/>
  <c r="Z36" i="35" s="1"/>
  <c r="J36" i="35"/>
  <c r="AC36" i="35" s="1"/>
  <c r="Q35" i="35"/>
  <c r="Z35" i="35" s="1"/>
  <c r="Q34" i="35"/>
  <c r="Z34" i="35" s="1"/>
  <c r="H34" i="35"/>
  <c r="Q33" i="35"/>
  <c r="Z33" i="35"/>
  <c r="Q32" i="35"/>
  <c r="Z32" i="35"/>
  <c r="H32" i="35"/>
  <c r="AB32" i="35" s="1"/>
  <c r="F32" i="35"/>
  <c r="AA32" i="35" s="1"/>
  <c r="Q31" i="35"/>
  <c r="Z31" i="35" s="1"/>
  <c r="AA31" i="35"/>
  <c r="Q30" i="35"/>
  <c r="Z30" i="35"/>
  <c r="Q29" i="35"/>
  <c r="Z29" i="35"/>
  <c r="Q28" i="35"/>
  <c r="Z28" i="35"/>
  <c r="J28" i="35"/>
  <c r="AC28" i="35"/>
  <c r="H28" i="35"/>
  <c r="AB28" i="35"/>
  <c r="F28" i="35"/>
  <c r="AA28" i="35" s="1"/>
  <c r="Q27" i="35"/>
  <c r="Z27" i="35"/>
  <c r="Q26" i="35"/>
  <c r="Z26" i="35"/>
  <c r="Q25" i="35"/>
  <c r="Z25" i="35"/>
  <c r="Q24" i="35"/>
  <c r="Z24" i="35" s="1"/>
  <c r="Q23" i="35"/>
  <c r="Z23" i="35"/>
  <c r="Q22" i="35"/>
  <c r="Z22" i="35"/>
  <c r="Q20" i="35"/>
  <c r="Z20" i="35" s="1"/>
  <c r="Q16" i="35"/>
  <c r="Z16" i="35"/>
  <c r="Q14" i="35"/>
  <c r="Z14" i="35"/>
  <c r="Q13" i="35"/>
  <c r="Z13" i="35"/>
  <c r="Q12" i="35"/>
  <c r="Z12" i="35" s="1"/>
  <c r="J12" i="35"/>
  <c r="W12" i="35"/>
  <c r="H12" i="35"/>
  <c r="U12" i="35"/>
  <c r="F12" i="35"/>
  <c r="S12" i="35"/>
  <c r="Q11" i="35"/>
  <c r="Z11" i="35" s="1"/>
  <c r="Q10" i="35"/>
  <c r="Z10" i="35"/>
  <c r="Q9" i="35"/>
  <c r="Z9" i="35"/>
  <c r="J8" i="35"/>
  <c r="W8" i="35"/>
  <c r="H8" i="35"/>
  <c r="AB8" i="35" s="1"/>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c r="C15" i="34"/>
  <c r="F67" i="34"/>
  <c r="G67" i="34" s="1"/>
  <c r="H67" i="34" s="1"/>
  <c r="D126" i="34"/>
  <c r="E126" i="34" s="1"/>
  <c r="F126" i="34" s="1"/>
  <c r="G126" i="34" s="1"/>
  <c r="D124" i="34"/>
  <c r="E124" i="34"/>
  <c r="F124" i="34"/>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c r="K107" i="34" s="1"/>
  <c r="L107" i="34"/>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c r="G88" i="34" s="1"/>
  <c r="H88" i="34" s="1"/>
  <c r="I88" i="34" s="1"/>
  <c r="J88" i="34" s="1"/>
  <c r="K88" i="34" s="1"/>
  <c r="L88" i="34" s="1"/>
  <c r="M88" i="34" s="1"/>
  <c r="D86" i="34"/>
  <c r="E86" i="34"/>
  <c r="F86" i="34" s="1"/>
  <c r="G86" i="34"/>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s="1"/>
  <c r="Q29" i="34"/>
  <c r="Z29" i="34"/>
  <c r="Q28" i="34"/>
  <c r="Z28" i="34"/>
  <c r="Q27" i="34"/>
  <c r="Z27" i="34" s="1"/>
  <c r="Q25" i="34"/>
  <c r="Z25" i="34" s="1"/>
  <c r="Q23" i="34"/>
  <c r="Z23" i="34" s="1"/>
  <c r="C23" i="34"/>
  <c r="Q19" i="34"/>
  <c r="Z19" i="34"/>
  <c r="C19" i="34"/>
  <c r="Q17" i="34"/>
  <c r="Z17" i="34" s="1"/>
  <c r="C17" i="34"/>
  <c r="Q15" i="34"/>
  <c r="Z15" i="34" s="1"/>
  <c r="Q14" i="34"/>
  <c r="Z14" i="34" s="1"/>
  <c r="Q13" i="34"/>
  <c r="Z13" i="34"/>
  <c r="Q12" i="34"/>
  <c r="Z12" i="34"/>
  <c r="J12" i="34"/>
  <c r="W12" i="34" s="1"/>
  <c r="H12" i="34"/>
  <c r="F12" i="34"/>
  <c r="S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F26" i="33" s="1"/>
  <c r="J26" i="33"/>
  <c r="AC26" i="33" s="1"/>
  <c r="C23" i="33"/>
  <c r="C19" i="33"/>
  <c r="C17" i="33"/>
  <c r="C15" i="33"/>
  <c r="C15" i="21"/>
  <c r="D125" i="33"/>
  <c r="D123" i="33"/>
  <c r="E123" i="33" s="1"/>
  <c r="F123" i="33" s="1"/>
  <c r="D117" i="33"/>
  <c r="E117" i="33" s="1"/>
  <c r="F117" i="33" s="1"/>
  <c r="G117" i="33" s="1"/>
  <c r="D115" i="33"/>
  <c r="E115" i="33"/>
  <c r="F115" i="33" s="1"/>
  <c r="G115" i="33" s="1"/>
  <c r="H115" i="33" s="1"/>
  <c r="I115" i="33" s="1"/>
  <c r="J115" i="33" s="1"/>
  <c r="K115" i="33" s="1"/>
  <c r="L115" i="33" s="1"/>
  <c r="M115" i="33" s="1"/>
  <c r="D108" i="33"/>
  <c r="E108" i="33"/>
  <c r="F108" i="33"/>
  <c r="G108" i="33" s="1"/>
  <c r="H108" i="33" s="1"/>
  <c r="D106" i="33"/>
  <c r="E106" i="33" s="1"/>
  <c r="M102" i="33"/>
  <c r="L102" i="33"/>
  <c r="K102" i="33"/>
  <c r="J102" i="33"/>
  <c r="I102" i="33"/>
  <c r="H102" i="33"/>
  <c r="G102" i="33"/>
  <c r="F102" i="33"/>
  <c r="E102" i="33"/>
  <c r="D102" i="33"/>
  <c r="C102" i="33"/>
  <c r="D101" i="33"/>
  <c r="E101" i="33"/>
  <c r="B92" i="33"/>
  <c r="B90" i="33"/>
  <c r="F27" i="33" s="1"/>
  <c r="AA27" i="33" s="1"/>
  <c r="D87" i="33"/>
  <c r="E87" i="33" s="1"/>
  <c r="D85" i="33"/>
  <c r="E85" i="33" s="1"/>
  <c r="D81" i="33"/>
  <c r="E81" i="33"/>
  <c r="D79" i="33"/>
  <c r="E79" i="33"/>
  <c r="F79" i="33" s="1"/>
  <c r="D77" i="33"/>
  <c r="E77" i="33" s="1"/>
  <c r="F77" i="33" s="1"/>
  <c r="G77" i="33" s="1"/>
  <c r="D69" i="33"/>
  <c r="E69" i="33"/>
  <c r="F69" i="33"/>
  <c r="G69" i="33"/>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s="1"/>
  <c r="Q44" i="33"/>
  <c r="Z44" i="33"/>
  <c r="Q43" i="33"/>
  <c r="Z43" i="33" s="1"/>
  <c r="Q42" i="33"/>
  <c r="Z42" i="33"/>
  <c r="J42" i="33"/>
  <c r="AC42" i="33" s="1"/>
  <c r="Q41" i="33"/>
  <c r="Z41" i="33" s="1"/>
  <c r="Q40" i="33"/>
  <c r="Z40" i="33"/>
  <c r="J40" i="33"/>
  <c r="AC40" i="33" s="1"/>
  <c r="H40" i="33"/>
  <c r="U40" i="33" s="1"/>
  <c r="AA40" i="33"/>
  <c r="Q39" i="33"/>
  <c r="Z39" i="33" s="1"/>
  <c r="J39" i="33"/>
  <c r="AC39" i="33" s="1"/>
  <c r="Q38" i="33"/>
  <c r="Z38" i="33" s="1"/>
  <c r="J38" i="33"/>
  <c r="AC38" i="33" s="1"/>
  <c r="H38" i="33"/>
  <c r="AB38" i="33" s="1"/>
  <c r="F38" i="33"/>
  <c r="AA38" i="33"/>
  <c r="Q37" i="33"/>
  <c r="Z37" i="33"/>
  <c r="Q36" i="33"/>
  <c r="Z36" i="33"/>
  <c r="Q35" i="33"/>
  <c r="Z35" i="33" s="1"/>
  <c r="H35" i="33"/>
  <c r="AB35" i="33" s="1"/>
  <c r="Q34" i="33"/>
  <c r="Z34" i="33" s="1"/>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C18" i="20"/>
  <c r="C17" i="20"/>
  <c r="B59" i="43" s="1"/>
  <c r="C16" i="20"/>
  <c r="C17" i="39"/>
  <c r="C15" i="20"/>
  <c r="B70" i="43" s="1"/>
  <c r="E54" i="21"/>
  <c r="F54" i="21" s="1"/>
  <c r="I54" i="21"/>
  <c r="J54" i="21" s="1"/>
  <c r="G54" i="21"/>
  <c r="H54" i="21" s="1"/>
  <c r="D125" i="21"/>
  <c r="E125" i="21" s="1"/>
  <c r="F125" i="21" s="1"/>
  <c r="G125" i="21" s="1"/>
  <c r="D123" i="21"/>
  <c r="E123" i="21" s="1"/>
  <c r="F123" i="21" s="1"/>
  <c r="F42" i="21"/>
  <c r="S42" i="21" s="1"/>
  <c r="AA42" i="21"/>
  <c r="D119" i="21"/>
  <c r="F40" i="21"/>
  <c r="AA40" i="21" s="1"/>
  <c r="D117" i="21"/>
  <c r="E117" i="21" s="1"/>
  <c r="F117" i="21" s="1"/>
  <c r="G117" i="21" s="1"/>
  <c r="D115" i="21"/>
  <c r="E115" i="21" s="1"/>
  <c r="F115" i="21"/>
  <c r="G115" i="21" s="1"/>
  <c r="H115" i="21" s="1"/>
  <c r="I115" i="21" s="1"/>
  <c r="J115" i="21"/>
  <c r="K115" i="21" s="1"/>
  <c r="L115" i="21" s="1"/>
  <c r="M115" i="21" s="1"/>
  <c r="D113" i="21"/>
  <c r="E113" i="21" s="1"/>
  <c r="F113" i="21" s="1"/>
  <c r="G113" i="21" s="1"/>
  <c r="H113" i="21" s="1"/>
  <c r="D110" i="21"/>
  <c r="E110" i="21" s="1"/>
  <c r="F110" i="21" s="1"/>
  <c r="G110" i="21" s="1"/>
  <c r="H110" i="21" s="1"/>
  <c r="I110" i="21" s="1"/>
  <c r="J110" i="21" s="1"/>
  <c r="K110" i="21" s="1"/>
  <c r="L110" i="21"/>
  <c r="M110" i="21" s="1"/>
  <c r="J36" i="21"/>
  <c r="AC36" i="21"/>
  <c r="D108" i="21"/>
  <c r="E108" i="21"/>
  <c r="F108" i="21" s="1"/>
  <c r="G108" i="2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c r="F66" i="21" s="1"/>
  <c r="G66" i="21" s="1"/>
  <c r="H66" i="21" s="1"/>
  <c r="I66" i="21" s="1"/>
  <c r="D111" i="21"/>
  <c r="E111" i="21"/>
  <c r="F111" i="21"/>
  <c r="C111" i="21"/>
  <c r="D79" i="21"/>
  <c r="E79" i="21"/>
  <c r="F79" i="21"/>
  <c r="G79" i="21" s="1"/>
  <c r="D85" i="21"/>
  <c r="F19" i="21"/>
  <c r="AA19" i="21" s="1"/>
  <c r="E81" i="21"/>
  <c r="F81" i="21" s="1"/>
  <c r="G81" i="21" s="1"/>
  <c r="D77" i="21"/>
  <c r="E77" i="21" s="1"/>
  <c r="F77" i="21" s="1"/>
  <c r="B130" i="21"/>
  <c r="B128" i="21"/>
  <c r="B126" i="21"/>
  <c r="B98" i="21"/>
  <c r="F31" i="21" s="1"/>
  <c r="B96" i="21"/>
  <c r="J30" i="21" s="1"/>
  <c r="AC30" i="21" s="1"/>
  <c r="B94" i="21"/>
  <c r="J29" i="21"/>
  <c r="AC29" i="21" s="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A586" i="3" s="1"/>
  <c r="BI586" i="3"/>
  <c r="BJ586" i="3"/>
  <c r="BK586" i="3"/>
  <c r="BM586" i="3"/>
  <c r="BN586" i="3"/>
  <c r="BO586" i="3"/>
  <c r="BP586" i="3"/>
  <c r="BL586" i="3" s="1"/>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s="1"/>
  <c r="H34" i="21"/>
  <c r="AB34" i="21"/>
  <c r="F43" i="21"/>
  <c r="S43" i="21"/>
  <c r="H38" i="21"/>
  <c r="U38" i="21"/>
  <c r="H43" i="21"/>
  <c r="AB43" i="21" s="1"/>
  <c r="F38" i="21"/>
  <c r="S38" i="21"/>
  <c r="F36" i="21"/>
  <c r="S36" i="21"/>
  <c r="F39" i="21"/>
  <c r="AA39" i="21"/>
  <c r="J40" i="21"/>
  <c r="W40" i="21" s="1"/>
  <c r="H35" i="21"/>
  <c r="AB35" i="21"/>
  <c r="J8" i="21"/>
  <c r="AC8" i="21"/>
  <c r="H8" i="21"/>
  <c r="U8" i="21"/>
  <c r="H10" i="21"/>
  <c r="AB10" i="21" s="1"/>
  <c r="H39" i="21"/>
  <c r="U39" i="21"/>
  <c r="J34" i="21"/>
  <c r="W34" i="21"/>
  <c r="H36" i="21"/>
  <c r="U36" i="21"/>
  <c r="F35" i="21"/>
  <c r="AA35" i="21" s="1"/>
  <c r="J10" i="21"/>
  <c r="AC10" i="21"/>
  <c r="H26" i="21"/>
  <c r="AB26" i="21"/>
  <c r="AB19" i="21"/>
  <c r="J19" i="21"/>
  <c r="W19" i="21"/>
  <c r="J12" i="21"/>
  <c r="AC12" i="21" s="1"/>
  <c r="H12" i="21"/>
  <c r="AB12" i="21" s="1"/>
  <c r="J26" i="21"/>
  <c r="W26" i="21" s="1"/>
  <c r="F26" i="21"/>
  <c r="S41" i="21"/>
  <c r="AA41" i="21"/>
  <c r="F45" i="39"/>
  <c r="S45" i="39"/>
  <c r="J45" i="39"/>
  <c r="W45" i="39"/>
  <c r="J44" i="39"/>
  <c r="W44" i="39" s="1"/>
  <c r="F35" i="39"/>
  <c r="AA35" i="39"/>
  <c r="U9" i="39"/>
  <c r="W40" i="39"/>
  <c r="U30" i="37"/>
  <c r="W31" i="37"/>
  <c r="E103" i="37"/>
  <c r="F103" i="37" s="1"/>
  <c r="G103" i="37" s="1"/>
  <c r="H103" i="37" s="1"/>
  <c r="I103" i="37" s="1"/>
  <c r="J103" i="37" s="1"/>
  <c r="K103" i="37"/>
  <c r="L103" i="37"/>
  <c r="M103" i="37" s="1"/>
  <c r="F29" i="36"/>
  <c r="AA29" i="36" s="1"/>
  <c r="W8" i="36"/>
  <c r="F16" i="36"/>
  <c r="AA16" i="36" s="1"/>
  <c r="U9" i="36"/>
  <c r="W28" i="36"/>
  <c r="S30" i="36"/>
  <c r="AA31" i="36"/>
  <c r="AC31" i="36"/>
  <c r="W31" i="36"/>
  <c r="U31" i="36"/>
  <c r="J33" i="36"/>
  <c r="W33" i="36" s="1"/>
  <c r="H22" i="35"/>
  <c r="AC27" i="35"/>
  <c r="W28" i="35"/>
  <c r="S34" i="35"/>
  <c r="W36" i="35"/>
  <c r="W22" i="35"/>
  <c r="S31" i="35"/>
  <c r="F36" i="34"/>
  <c r="J35" i="34"/>
  <c r="W9" i="34"/>
  <c r="S34" i="34"/>
  <c r="U34" i="34"/>
  <c r="H39" i="33"/>
  <c r="AB39" i="33" s="1"/>
  <c r="S9" i="33"/>
  <c r="U33" i="33"/>
  <c r="U35" i="33"/>
  <c r="S40" i="33"/>
  <c r="W33" i="33"/>
  <c r="W39" i="33"/>
  <c r="S27" i="35"/>
  <c r="F11" i="40"/>
  <c r="AA11" i="40" s="1"/>
  <c r="H11" i="40"/>
  <c r="AB11" i="40"/>
  <c r="W8" i="40"/>
  <c r="AB39" i="40"/>
  <c r="AC40" i="40"/>
  <c r="AA9" i="40"/>
  <c r="U9" i="40"/>
  <c r="S34" i="40"/>
  <c r="S40" i="40"/>
  <c r="W31" i="40"/>
  <c r="U34" i="40"/>
  <c r="U40" i="40"/>
  <c r="F42" i="39"/>
  <c r="AA42" i="39" s="1"/>
  <c r="F41" i="39"/>
  <c r="H40" i="39"/>
  <c r="AB40" i="39" s="1"/>
  <c r="H39" i="39"/>
  <c r="U39" i="39" s="1"/>
  <c r="H34" i="39"/>
  <c r="U34" i="39" s="1"/>
  <c r="E109" i="39"/>
  <c r="H31" i="39"/>
  <c r="AB31" i="39"/>
  <c r="F31" i="39"/>
  <c r="AA31" i="39" s="1"/>
  <c r="E101" i="39"/>
  <c r="H19" i="39"/>
  <c r="AB19" i="39" s="1"/>
  <c r="F19" i="39"/>
  <c r="AA19" i="39"/>
  <c r="H17" i="39"/>
  <c r="AB17" i="39"/>
  <c r="F17" i="39"/>
  <c r="J23" i="40"/>
  <c r="AC23" i="40" s="1"/>
  <c r="F21" i="40"/>
  <c r="AA21" i="40"/>
  <c r="J21" i="40"/>
  <c r="W21" i="40"/>
  <c r="H42" i="39"/>
  <c r="AB42" i="39" s="1"/>
  <c r="J34" i="39"/>
  <c r="AC34" i="39" s="1"/>
  <c r="F109" i="39"/>
  <c r="G109" i="39"/>
  <c r="H109" i="39"/>
  <c r="I109" i="39" s="1"/>
  <c r="J109" i="39" s="1"/>
  <c r="K109" i="39" s="1"/>
  <c r="L109" i="39" s="1"/>
  <c r="M109" i="39" s="1"/>
  <c r="J31" i="39"/>
  <c r="F101" i="39"/>
  <c r="H27" i="39"/>
  <c r="U27" i="39"/>
  <c r="J19" i="39"/>
  <c r="AC19" i="39" s="1"/>
  <c r="J17" i="39"/>
  <c r="J27" i="39"/>
  <c r="AC27" i="39"/>
  <c r="F27" i="39"/>
  <c r="F11" i="21"/>
  <c r="S40" i="21"/>
  <c r="U34" i="21"/>
  <c r="S34" i="21"/>
  <c r="H11" i="39"/>
  <c r="S40" i="39"/>
  <c r="C15" i="39"/>
  <c r="H32" i="33"/>
  <c r="AB32" i="33"/>
  <c r="H11" i="21"/>
  <c r="U11" i="21"/>
  <c r="J11" i="21"/>
  <c r="W11" i="21"/>
  <c r="H37" i="40"/>
  <c r="U37" i="40" s="1"/>
  <c r="H36" i="40"/>
  <c r="AB36" i="40"/>
  <c r="F35" i="40"/>
  <c r="AA35" i="40"/>
  <c r="H23" i="40"/>
  <c r="AB23" i="40"/>
  <c r="H17" i="40"/>
  <c r="U17" i="40" s="1"/>
  <c r="J15" i="40"/>
  <c r="W15" i="40"/>
  <c r="J11" i="40"/>
  <c r="W11" i="40"/>
  <c r="AB8" i="39"/>
  <c r="AC12" i="34"/>
  <c r="AA12" i="34"/>
  <c r="AB12" i="35"/>
  <c r="S44" i="39"/>
  <c r="F37" i="39"/>
  <c r="AA37" i="39"/>
  <c r="J34" i="36"/>
  <c r="W34" i="36"/>
  <c r="U30" i="36"/>
  <c r="J30" i="35"/>
  <c r="H30" i="35"/>
  <c r="AB30" i="35"/>
  <c r="F22" i="35"/>
  <c r="AA22" i="35" s="1"/>
  <c r="H10" i="35"/>
  <c r="U10" i="35" s="1"/>
  <c r="AC16" i="36"/>
  <c r="F33" i="36"/>
  <c r="AA33" i="36"/>
  <c r="H16" i="36"/>
  <c r="E85" i="36"/>
  <c r="F85" i="36" s="1"/>
  <c r="G85" i="36" s="1"/>
  <c r="H85" i="36" s="1"/>
  <c r="I85" i="36" s="1"/>
  <c r="J85" i="36" s="1"/>
  <c r="K85" i="36" s="1"/>
  <c r="L85" i="36" s="1"/>
  <c r="M85" i="36" s="1"/>
  <c r="J29" i="36"/>
  <c r="AC29" i="36"/>
  <c r="F24" i="36"/>
  <c r="AA24" i="36"/>
  <c r="F34" i="36"/>
  <c r="S34" i="36"/>
  <c r="S10" i="36"/>
  <c r="S8" i="36"/>
  <c r="U8" i="35"/>
  <c r="F14" i="35"/>
  <c r="AA14" i="35"/>
  <c r="F23" i="35"/>
  <c r="AA23" i="35" s="1"/>
  <c r="J32" i="35"/>
  <c r="AC32" i="35" s="1"/>
  <c r="J16" i="35"/>
  <c r="AC16" i="35" s="1"/>
  <c r="H16" i="35"/>
  <c r="U16" i="35" s="1"/>
  <c r="F16" i="35"/>
  <c r="S16" i="35"/>
  <c r="H14" i="35"/>
  <c r="AB14" i="35" s="1"/>
  <c r="J29" i="35"/>
  <c r="H33" i="35"/>
  <c r="AB33" i="35"/>
  <c r="AC8" i="35"/>
  <c r="J20" i="35"/>
  <c r="W20" i="35"/>
  <c r="F35" i="37"/>
  <c r="E101" i="37"/>
  <c r="F101" i="37" s="1"/>
  <c r="G101" i="37" s="1"/>
  <c r="H101" i="37" s="1"/>
  <c r="I101" i="37" s="1"/>
  <c r="J101" i="37" s="1"/>
  <c r="K101" i="37" s="1"/>
  <c r="L101" i="37" s="1"/>
  <c r="M101" i="37" s="1"/>
  <c r="J34" i="37"/>
  <c r="W34" i="37"/>
  <c r="S10" i="37"/>
  <c r="AB34" i="37"/>
  <c r="J33" i="37"/>
  <c r="AC33" i="37" s="1"/>
  <c r="U42" i="34"/>
  <c r="H40" i="34"/>
  <c r="U40" i="34"/>
  <c r="E114" i="34"/>
  <c r="H36" i="34"/>
  <c r="U36" i="34" s="1"/>
  <c r="F37" i="34"/>
  <c r="AA37" i="34" s="1"/>
  <c r="S35" i="34"/>
  <c r="F27" i="34"/>
  <c r="AA27" i="34"/>
  <c r="F25" i="34"/>
  <c r="S25" i="34"/>
  <c r="H23" i="34"/>
  <c r="U23" i="34"/>
  <c r="J23" i="34"/>
  <c r="F19" i="34"/>
  <c r="H17" i="34"/>
  <c r="AB17" i="34" s="1"/>
  <c r="U17" i="34"/>
  <c r="F15" i="34"/>
  <c r="S15" i="34" s="1"/>
  <c r="J15" i="34"/>
  <c r="W15" i="34" s="1"/>
  <c r="H15" i="34"/>
  <c r="AB15" i="34"/>
  <c r="W8" i="34"/>
  <c r="J28" i="34"/>
  <c r="W28" i="34"/>
  <c r="F41" i="33"/>
  <c r="AA41" i="33"/>
  <c r="S38" i="33"/>
  <c r="E113" i="33"/>
  <c r="F113" i="33" s="1"/>
  <c r="F32" i="33"/>
  <c r="AA32" i="33"/>
  <c r="J19" i="33"/>
  <c r="AC19" i="33" s="1"/>
  <c r="J15" i="33"/>
  <c r="AC15" i="33"/>
  <c r="F11" i="33"/>
  <c r="AA11" i="33"/>
  <c r="W40" i="33"/>
  <c r="U8" i="33"/>
  <c r="S8" i="33"/>
  <c r="F37" i="40"/>
  <c r="AA37" i="40" s="1"/>
  <c r="F36" i="40"/>
  <c r="AA36" i="40" s="1"/>
  <c r="H28" i="40"/>
  <c r="U28" i="40"/>
  <c r="F23" i="40"/>
  <c r="AA23" i="40"/>
  <c r="F17" i="40"/>
  <c r="AA17" i="40" s="1"/>
  <c r="J17" i="40"/>
  <c r="W17" i="40" s="1"/>
  <c r="F15" i="40"/>
  <c r="S15" i="40"/>
  <c r="H15" i="40"/>
  <c r="AB15" i="40"/>
  <c r="AC11" i="40"/>
  <c r="AB30" i="36"/>
  <c r="AC34" i="36"/>
  <c r="U30" i="35"/>
  <c r="U33" i="35"/>
  <c r="F29" i="35"/>
  <c r="AA29" i="35" s="1"/>
  <c r="S29" i="35"/>
  <c r="H29" i="35"/>
  <c r="AB29" i="35"/>
  <c r="H33" i="37"/>
  <c r="AB33" i="37"/>
  <c r="F33" i="37"/>
  <c r="AA33" i="37"/>
  <c r="U34" i="37"/>
  <c r="W33" i="37"/>
  <c r="S34" i="37"/>
  <c r="AA34" i="37"/>
  <c r="J43" i="34"/>
  <c r="AB42" i="34"/>
  <c r="J40" i="34"/>
  <c r="F114" i="34"/>
  <c r="G114" i="34"/>
  <c r="H114" i="34"/>
  <c r="I114" i="34" s="1"/>
  <c r="J114" i="34"/>
  <c r="K114" i="34" s="1"/>
  <c r="L114" i="34"/>
  <c r="M114" i="34" s="1"/>
  <c r="H38" i="34"/>
  <c r="AB38" i="34" s="1"/>
  <c r="J36" i="34"/>
  <c r="W36" i="34" s="1"/>
  <c r="H37" i="34"/>
  <c r="U37" i="34" s="1"/>
  <c r="H25" i="34"/>
  <c r="AB25" i="34" s="1"/>
  <c r="J25" i="34"/>
  <c r="AB23" i="34"/>
  <c r="F23" i="34"/>
  <c r="AA23" i="34"/>
  <c r="J19" i="34"/>
  <c r="AC19" i="34"/>
  <c r="F17" i="34"/>
  <c r="J17" i="34"/>
  <c r="W17" i="34" s="1"/>
  <c r="S41" i="33"/>
  <c r="G113" i="33"/>
  <c r="H113" i="33" s="1"/>
  <c r="I113" i="33" s="1"/>
  <c r="J113" i="33" s="1"/>
  <c r="K113" i="33" s="1"/>
  <c r="L113" i="33" s="1"/>
  <c r="M113" i="33" s="1"/>
  <c r="H37" i="33"/>
  <c r="AB37" i="33"/>
  <c r="H15" i="33"/>
  <c r="AB15" i="33"/>
  <c r="H11" i="33"/>
  <c r="AB11" i="33"/>
  <c r="F28" i="40"/>
  <c r="AA28" i="40"/>
  <c r="AA42" i="34"/>
  <c r="S42" i="34"/>
  <c r="AC38" i="34"/>
  <c r="AA38" i="34"/>
  <c r="J37" i="34"/>
  <c r="J11" i="33"/>
  <c r="W11" i="33" s="1"/>
  <c r="S28" i="34"/>
  <c r="U23" i="40"/>
  <c r="G123" i="21"/>
  <c r="H123" i="21" s="1"/>
  <c r="I123" i="21"/>
  <c r="J123" i="21" s="1"/>
  <c r="K123" i="21" s="1"/>
  <c r="L123" i="21" s="1"/>
  <c r="M123" i="21" s="1"/>
  <c r="J42" i="21"/>
  <c r="AC42" i="21" s="1"/>
  <c r="H42" i="21"/>
  <c r="U42" i="21"/>
  <c r="J44" i="34"/>
  <c r="F44" i="34"/>
  <c r="S44" i="34" s="1"/>
  <c r="AA44" i="34"/>
  <c r="J10" i="35"/>
  <c r="W10" i="35" s="1"/>
  <c r="H14" i="21"/>
  <c r="U14" i="21"/>
  <c r="H28" i="21"/>
  <c r="F28" i="21"/>
  <c r="AA28" i="21"/>
  <c r="J28" i="21"/>
  <c r="W28" i="21"/>
  <c r="H30" i="21"/>
  <c r="AB30" i="21" s="1"/>
  <c r="U30" i="21"/>
  <c r="F30" i="21"/>
  <c r="J44" i="21"/>
  <c r="AC44" i="21"/>
  <c r="H44" i="21"/>
  <c r="U44" i="21"/>
  <c r="F44" i="21"/>
  <c r="AA44" i="21" s="1"/>
  <c r="H46" i="21"/>
  <c r="U46" i="21"/>
  <c r="J46" i="21"/>
  <c r="W46" i="21"/>
  <c r="F46" i="21"/>
  <c r="AA46" i="21"/>
  <c r="E119" i="21"/>
  <c r="F119" i="21" s="1"/>
  <c r="G119" i="21" s="1"/>
  <c r="H119" i="21" s="1"/>
  <c r="I119" i="21" s="1"/>
  <c r="J119" i="21" s="1"/>
  <c r="K119" i="21" s="1"/>
  <c r="L119" i="21" s="1"/>
  <c r="M119" i="21" s="1"/>
  <c r="H26" i="33"/>
  <c r="H28" i="33"/>
  <c r="U28" i="33" s="1"/>
  <c r="F33" i="35"/>
  <c r="S33" i="35" s="1"/>
  <c r="J33" i="35"/>
  <c r="F30" i="35"/>
  <c r="S30" i="35" s="1"/>
  <c r="E89" i="35"/>
  <c r="F89" i="35" s="1"/>
  <c r="G89" i="35" s="1"/>
  <c r="H89" i="35" s="1"/>
  <c r="I89" i="35" s="1"/>
  <c r="J89" i="35" s="1"/>
  <c r="K89" i="35" s="1"/>
  <c r="L89" i="35"/>
  <c r="M89" i="35"/>
  <c r="H10" i="36"/>
  <c r="AB10" i="36" s="1"/>
  <c r="J14" i="36"/>
  <c r="AC14" i="36"/>
  <c r="H14" i="36"/>
  <c r="U14" i="36"/>
  <c r="F28" i="36"/>
  <c r="AA28" i="36" s="1"/>
  <c r="J13" i="21"/>
  <c r="AC13" i="21" s="1"/>
  <c r="H27" i="21"/>
  <c r="AB27" i="21"/>
  <c r="F27" i="21"/>
  <c r="AA27" i="21"/>
  <c r="H29" i="21"/>
  <c r="J31" i="21"/>
  <c r="AC31" i="21" s="1"/>
  <c r="J13" i="33"/>
  <c r="H13" i="33"/>
  <c r="AB13" i="33" s="1"/>
  <c r="F13" i="33"/>
  <c r="S13" i="33" s="1"/>
  <c r="J29" i="33"/>
  <c r="H29" i="33"/>
  <c r="U29" i="33" s="1"/>
  <c r="F29" i="33"/>
  <c r="S29" i="33" s="1"/>
  <c r="J31" i="33"/>
  <c r="W31" i="33" s="1"/>
  <c r="H31" i="33"/>
  <c r="AB31" i="33" s="1"/>
  <c r="F31" i="33"/>
  <c r="AA31" i="33" s="1"/>
  <c r="H45" i="33"/>
  <c r="U45" i="33" s="1"/>
  <c r="J45" i="33"/>
  <c r="W45" i="33" s="1"/>
  <c r="F45" i="33"/>
  <c r="AA45" i="33" s="1"/>
  <c r="J14" i="34"/>
  <c r="W14" i="34"/>
  <c r="F14" i="34"/>
  <c r="AA14" i="34" s="1"/>
  <c r="H14" i="34"/>
  <c r="U14" i="34" s="1"/>
  <c r="F30" i="34"/>
  <c r="S30" i="34" s="1"/>
  <c r="J30" i="34"/>
  <c r="AC30" i="34" s="1"/>
  <c r="H32" i="34"/>
  <c r="F32" i="34"/>
  <c r="J32" i="34"/>
  <c r="H46" i="34"/>
  <c r="F46" i="34"/>
  <c r="J46" i="34"/>
  <c r="H11" i="35"/>
  <c r="U11" i="35" s="1"/>
  <c r="J11" i="35"/>
  <c r="F11" i="35"/>
  <c r="J26" i="36"/>
  <c r="AC26" i="36" s="1"/>
  <c r="W26" i="36"/>
  <c r="H28" i="36"/>
  <c r="H32" i="36"/>
  <c r="AB32" i="36" s="1"/>
  <c r="J32" i="36"/>
  <c r="W32" i="36" s="1"/>
  <c r="J11" i="36"/>
  <c r="AC11" i="36"/>
  <c r="H11" i="36"/>
  <c r="U11" i="36"/>
  <c r="F11"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c r="J40" i="37"/>
  <c r="AC40" i="37"/>
  <c r="F40" i="37"/>
  <c r="AA40" i="37" s="1"/>
  <c r="H14" i="33"/>
  <c r="U14" i="33" s="1"/>
  <c r="F14" i="33"/>
  <c r="AA14" i="33" s="1"/>
  <c r="S14" i="33"/>
  <c r="J14" i="33"/>
  <c r="W14" i="33" s="1"/>
  <c r="J30" i="33"/>
  <c r="AC30" i="33" s="1"/>
  <c r="H44" i="33"/>
  <c r="J44" i="33"/>
  <c r="AC44" i="33" s="1"/>
  <c r="F44" i="33"/>
  <c r="S44" i="33" s="1"/>
  <c r="J46" i="33"/>
  <c r="AC46" i="33" s="1"/>
  <c r="F46" i="33"/>
  <c r="H46" i="33"/>
  <c r="AB46" i="33" s="1"/>
  <c r="H13" i="34"/>
  <c r="U13" i="34" s="1"/>
  <c r="J13" i="34"/>
  <c r="W13" i="34" s="1"/>
  <c r="F13" i="34"/>
  <c r="AA13" i="34"/>
  <c r="J29" i="34"/>
  <c r="AC29" i="34" s="1"/>
  <c r="F29" i="34"/>
  <c r="AB29" i="34"/>
  <c r="AC31" i="34"/>
  <c r="H31" i="34"/>
  <c r="AB31" i="34"/>
  <c r="F31" i="34"/>
  <c r="AA31" i="34" s="1"/>
  <c r="H45" i="34"/>
  <c r="U45" i="34"/>
  <c r="J45" i="34"/>
  <c r="W45" i="34"/>
  <c r="F45" i="34"/>
  <c r="S45" i="34"/>
  <c r="H47" i="34"/>
  <c r="U47" i="34" s="1"/>
  <c r="F47" i="34"/>
  <c r="S47" i="34"/>
  <c r="J47" i="34"/>
  <c r="AC47" i="34"/>
  <c r="F13" i="35"/>
  <c r="S13" i="35"/>
  <c r="J13" i="35"/>
  <c r="AC13" i="35" s="1"/>
  <c r="U13" i="35"/>
  <c r="W25" i="35"/>
  <c r="F25" i="35"/>
  <c r="S25" i="35" s="1"/>
  <c r="H25" i="35"/>
  <c r="AB25" i="35"/>
  <c r="H35" i="35"/>
  <c r="AB35" i="35"/>
  <c r="J25" i="36"/>
  <c r="W25" i="36" s="1"/>
  <c r="F25" i="36"/>
  <c r="S25" i="36"/>
  <c r="H25" i="36"/>
  <c r="AB25" i="36"/>
  <c r="H13" i="37"/>
  <c r="AB13" i="37" s="1"/>
  <c r="F13" i="37"/>
  <c r="S13" i="37" s="1"/>
  <c r="J13" i="37"/>
  <c r="W13" i="37"/>
  <c r="F28" i="37"/>
  <c r="AA28" i="37"/>
  <c r="J28" i="37"/>
  <c r="H28" i="37"/>
  <c r="U28" i="37" s="1"/>
  <c r="H38" i="37"/>
  <c r="AB38" i="37"/>
  <c r="J38" i="37"/>
  <c r="AC38" i="37"/>
  <c r="F38" i="37"/>
  <c r="AA38" i="37" s="1"/>
  <c r="S38" i="37"/>
  <c r="F43" i="39"/>
  <c r="AA43" i="39" s="1"/>
  <c r="H43" i="39"/>
  <c r="J14" i="39"/>
  <c r="AC14" i="39" s="1"/>
  <c r="F14" i="39"/>
  <c r="AA14" i="39" s="1"/>
  <c r="H14" i="39"/>
  <c r="AB14" i="39"/>
  <c r="F12" i="40"/>
  <c r="H30" i="40"/>
  <c r="AB30" i="40"/>
  <c r="F33" i="40"/>
  <c r="AA33" i="40"/>
  <c r="H33" i="40"/>
  <c r="AB33" i="40" s="1"/>
  <c r="J35" i="40"/>
  <c r="AC35" i="40"/>
  <c r="J37" i="40"/>
  <c r="AC37" i="40"/>
  <c r="H13" i="40"/>
  <c r="U13" i="40"/>
  <c r="J13" i="40"/>
  <c r="W13" i="40" s="1"/>
  <c r="F13" i="40"/>
  <c r="AA13" i="40"/>
  <c r="F27" i="37"/>
  <c r="AA27" i="37"/>
  <c r="F13" i="39"/>
  <c r="J13" i="39"/>
  <c r="W13" i="39" s="1"/>
  <c r="H13" i="39"/>
  <c r="H14" i="40"/>
  <c r="AB14" i="40"/>
  <c r="J14" i="40"/>
  <c r="W14" i="40"/>
  <c r="F14" i="40"/>
  <c r="AA14" i="40" s="1"/>
  <c r="J27" i="37"/>
  <c r="AC27" i="37"/>
  <c r="AA13" i="35"/>
  <c r="U31" i="34"/>
  <c r="U46" i="33"/>
  <c r="J36" i="37"/>
  <c r="AB11" i="36"/>
  <c r="AB11" i="35"/>
  <c r="J10" i="36"/>
  <c r="AC10" i="36" s="1"/>
  <c r="W31" i="34"/>
  <c r="W11" i="36"/>
  <c r="S45" i="33"/>
  <c r="AB45" i="33"/>
  <c r="U31" i="33"/>
  <c r="U13" i="33"/>
  <c r="AC28" i="21"/>
  <c r="F17" i="21"/>
  <c r="S17" i="21" s="1"/>
  <c r="H17" i="21"/>
  <c r="AB17" i="21"/>
  <c r="F15" i="21"/>
  <c r="S15" i="21"/>
  <c r="AB11" i="21"/>
  <c r="J41" i="39"/>
  <c r="W41" i="39"/>
  <c r="AC45" i="39"/>
  <c r="S35" i="39"/>
  <c r="G540" i="3"/>
  <c r="G536" i="3"/>
  <c r="G532" i="3"/>
  <c r="G531" i="3"/>
  <c r="G528" i="3"/>
  <c r="G527" i="3"/>
  <c r="G518" i="3"/>
  <c r="G510" i="3"/>
  <c r="G508" i="3"/>
  <c r="G504" i="3"/>
  <c r="G500" i="3"/>
  <c r="G496" i="3"/>
  <c r="G584" i="3"/>
  <c r="G580" i="3"/>
  <c r="G568" i="3"/>
  <c r="G564" i="3"/>
  <c r="G560" i="3"/>
  <c r="G554" i="3"/>
  <c r="BL568" i="3"/>
  <c r="BL564" i="3"/>
  <c r="BL560" i="3"/>
  <c r="BL554" i="3"/>
  <c r="BL546" i="3"/>
  <c r="BL534" i="3"/>
  <c r="BL530" i="3"/>
  <c r="BL526" i="3"/>
  <c r="BL522" i="3"/>
  <c r="AZ522" i="3" s="1"/>
  <c r="BL516" i="3"/>
  <c r="AZ516" i="3" s="1"/>
  <c r="BL512" i="3"/>
  <c r="BL506" i="3"/>
  <c r="BL578" i="3"/>
  <c r="BL574" i="3"/>
  <c r="BL570" i="3"/>
  <c r="BL566" i="3"/>
  <c r="BL540" i="3"/>
  <c r="BL536" i="3"/>
  <c r="AZ536" i="3" s="1"/>
  <c r="G533" i="3"/>
  <c r="BL532" i="3"/>
  <c r="G529" i="3"/>
  <c r="BL528" i="3"/>
  <c r="AZ528" i="3" s="1"/>
  <c r="G525" i="3"/>
  <c r="BL514" i="3"/>
  <c r="BL510" i="3"/>
  <c r="BL504" i="3"/>
  <c r="BL496" i="3"/>
  <c r="G493" i="3"/>
  <c r="BA580" i="3"/>
  <c r="AZ580" i="3" s="1"/>
  <c r="BA578" i="3"/>
  <c r="AZ578" i="3"/>
  <c r="BA572" i="3"/>
  <c r="BA570" i="3"/>
  <c r="AZ570" i="3"/>
  <c r="BA564" i="3"/>
  <c r="AZ564" i="3" s="1"/>
  <c r="BA562" i="3"/>
  <c r="AZ562" i="3"/>
  <c r="BA554" i="3"/>
  <c r="AZ554" i="3" s="1"/>
  <c r="BA552" i="3"/>
  <c r="AZ544" i="3"/>
  <c r="BA542" i="3"/>
  <c r="AZ542" i="3"/>
  <c r="BA540" i="3"/>
  <c r="AZ540" i="3" s="1"/>
  <c r="BA538" i="3"/>
  <c r="AZ538" i="3" s="1"/>
  <c r="BA536" i="3"/>
  <c r="BA534" i="3"/>
  <c r="AZ534" i="3" s="1"/>
  <c r="BA532" i="3"/>
  <c r="BA530" i="3"/>
  <c r="BA528" i="3"/>
  <c r="BA526" i="3"/>
  <c r="AZ526" i="3" s="1"/>
  <c r="BA524" i="3"/>
  <c r="AZ524" i="3"/>
  <c r="BA522" i="3"/>
  <c r="BA516" i="3"/>
  <c r="BA514" i="3"/>
  <c r="AZ514" i="3" s="1"/>
  <c r="BA512" i="3"/>
  <c r="AZ512" i="3" s="1"/>
  <c r="BA506" i="3"/>
  <c r="AZ506" i="3" s="1"/>
  <c r="BA504" i="3"/>
  <c r="AZ504" i="3"/>
  <c r="BA502" i="3"/>
  <c r="BA500" i="3"/>
  <c r="BA494" i="3"/>
  <c r="BA587" i="3"/>
  <c r="AZ587" i="3"/>
  <c r="BA583" i="3"/>
  <c r="BA575" i="3"/>
  <c r="AZ575" i="3" s="1"/>
  <c r="BA573" i="3"/>
  <c r="BA571" i="3"/>
  <c r="BA569" i="3"/>
  <c r="BA559" i="3"/>
  <c r="BA555" i="3"/>
  <c r="BA553" i="3"/>
  <c r="AZ553" i="3" s="1"/>
  <c r="BA547" i="3"/>
  <c r="BA541" i="3"/>
  <c r="AZ541" i="3" s="1"/>
  <c r="BA539" i="3"/>
  <c r="BA537" i="3"/>
  <c r="BA535" i="3"/>
  <c r="BA533" i="3"/>
  <c r="AZ533" i="3" s="1"/>
  <c r="BA531" i="3"/>
  <c r="BA529" i="3"/>
  <c r="BA527" i="3"/>
  <c r="BA523" i="3"/>
  <c r="BA519" i="3"/>
  <c r="BA517" i="3"/>
  <c r="BA515" i="3"/>
  <c r="AZ515" i="3" s="1"/>
  <c r="BA513" i="3"/>
  <c r="BA503" i="3"/>
  <c r="BA501" i="3"/>
  <c r="BA499" i="3"/>
  <c r="BA497" i="3"/>
  <c r="AZ497" i="3" s="1"/>
  <c r="BA495" i="3"/>
  <c r="G583" i="3"/>
  <c r="G581" i="3"/>
  <c r="G579" i="3"/>
  <c r="G577" i="3"/>
  <c r="G575" i="3"/>
  <c r="G573" i="3"/>
  <c r="G571" i="3"/>
  <c r="G565" i="3"/>
  <c r="G563" i="3"/>
  <c r="G561" i="3"/>
  <c r="BL558" i="3"/>
  <c r="AC557" i="3"/>
  <c r="G557" i="3"/>
  <c r="BQ557" i="3"/>
  <c r="BL557" i="3"/>
  <c r="BQ583" i="3"/>
  <c r="BL583" i="3" s="1"/>
  <c r="BQ581" i="3"/>
  <c r="BQ579" i="3"/>
  <c r="BL579" i="3"/>
  <c r="AZ579" i="3" s="1"/>
  <c r="BQ577" i="3"/>
  <c r="BL577" i="3"/>
  <c r="BQ575" i="3"/>
  <c r="BQ573" i="3"/>
  <c r="BL573" i="3"/>
  <c r="AZ573" i="3"/>
  <c r="BQ571" i="3"/>
  <c r="BL571" i="3" s="1"/>
  <c r="BQ569" i="3"/>
  <c r="AZ569" i="3"/>
  <c r="BQ567" i="3"/>
  <c r="BL567" i="3" s="1"/>
  <c r="BQ565" i="3"/>
  <c r="BL565" i="3" s="1"/>
  <c r="BQ563" i="3"/>
  <c r="BL563" i="3"/>
  <c r="BQ561" i="3"/>
  <c r="BL561" i="3" s="1"/>
  <c r="BQ559" i="3"/>
  <c r="G559" i="3"/>
  <c r="G555" i="3"/>
  <c r="G553" i="3"/>
  <c r="G549" i="3"/>
  <c r="G547" i="3"/>
  <c r="G545" i="3"/>
  <c r="G543" i="3"/>
  <c r="G541" i="3"/>
  <c r="G539" i="3"/>
  <c r="G537" i="3"/>
  <c r="BQ555" i="3"/>
  <c r="BL555" i="3"/>
  <c r="BQ553" i="3"/>
  <c r="BQ551" i="3"/>
  <c r="BQ549" i="3"/>
  <c r="BQ547" i="3"/>
  <c r="BL547" i="3"/>
  <c r="AZ547" i="3" s="1"/>
  <c r="BQ545" i="3"/>
  <c r="BQ543" i="3"/>
  <c r="BL543" i="3" s="1"/>
  <c r="AZ543" i="3"/>
  <c r="BQ541" i="3"/>
  <c r="BL541" i="3" s="1"/>
  <c r="BQ539" i="3"/>
  <c r="BL539" i="3"/>
  <c r="AZ539" i="3"/>
  <c r="BQ537" i="3"/>
  <c r="BL537" i="3" s="1"/>
  <c r="AZ537" i="3" s="1"/>
  <c r="BQ535" i="3"/>
  <c r="BL535" i="3" s="1"/>
  <c r="BQ533" i="3"/>
  <c r="BL533" i="3"/>
  <c r="BQ531" i="3"/>
  <c r="BL531" i="3"/>
  <c r="AZ531" i="3" s="1"/>
  <c r="BQ529" i="3"/>
  <c r="BL529" i="3" s="1"/>
  <c r="AZ529" i="3" s="1"/>
  <c r="BQ527" i="3"/>
  <c r="BL527" i="3"/>
  <c r="AZ527" i="3" s="1"/>
  <c r="BQ525" i="3"/>
  <c r="BL525" i="3" s="1"/>
  <c r="BQ523" i="3"/>
  <c r="AZ523" i="3"/>
  <c r="BA521" i="3"/>
  <c r="AC521" i="3"/>
  <c r="G521" i="3" s="1"/>
  <c r="BQ521" i="3"/>
  <c r="BL521" i="3" s="1"/>
  <c r="AZ520" i="3"/>
  <c r="G519" i="3"/>
  <c r="G517" i="3"/>
  <c r="G515" i="3"/>
  <c r="G513" i="3"/>
  <c r="G511" i="3"/>
  <c r="BQ519" i="3"/>
  <c r="AZ519" i="3"/>
  <c r="BQ517" i="3"/>
  <c r="BL517" i="3" s="1"/>
  <c r="AZ517" i="3" s="1"/>
  <c r="BQ515" i="3"/>
  <c r="BQ513" i="3"/>
  <c r="BL513" i="3"/>
  <c r="AZ513" i="3" s="1"/>
  <c r="BQ511" i="3"/>
  <c r="BL511" i="3" s="1"/>
  <c r="AC509" i="3"/>
  <c r="BQ509" i="3"/>
  <c r="BL509" i="3"/>
  <c r="BL508" i="3"/>
  <c r="AZ508" i="3" s="1"/>
  <c r="G507" i="3"/>
  <c r="G505" i="3"/>
  <c r="G503" i="3"/>
  <c r="G501" i="3"/>
  <c r="G499" i="3"/>
  <c r="G497" i="3"/>
  <c r="G495" i="3"/>
  <c r="BQ507" i="3"/>
  <c r="BL507" i="3" s="1"/>
  <c r="BQ505" i="3"/>
  <c r="BQ503" i="3"/>
  <c r="BL503" i="3" s="1"/>
  <c r="BQ501" i="3"/>
  <c r="BL501" i="3" s="1"/>
  <c r="BQ499" i="3"/>
  <c r="BL499" i="3" s="1"/>
  <c r="BQ497" i="3"/>
  <c r="BL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H43" i="33"/>
  <c r="AB43" i="33"/>
  <c r="H17" i="37"/>
  <c r="U17" i="37" s="1"/>
  <c r="AB27" i="37"/>
  <c r="U32" i="33"/>
  <c r="F39" i="33"/>
  <c r="AA39" i="33" s="1"/>
  <c r="F42" i="33"/>
  <c r="AA42" i="33"/>
  <c r="H28" i="34"/>
  <c r="F14" i="36"/>
  <c r="AA14" i="36" s="1"/>
  <c r="F22" i="36"/>
  <c r="S22" i="36"/>
  <c r="F26" i="36"/>
  <c r="S26" i="36" s="1"/>
  <c r="H27" i="34"/>
  <c r="AB27" i="34"/>
  <c r="H35" i="34"/>
  <c r="U35" i="34" s="1"/>
  <c r="F41" i="34"/>
  <c r="S41" i="34"/>
  <c r="H41" i="34"/>
  <c r="J41" i="34"/>
  <c r="AC41" i="34"/>
  <c r="F10" i="35"/>
  <c r="S10" i="35" s="1"/>
  <c r="F24" i="35"/>
  <c r="AA24" i="35"/>
  <c r="H24" i="35"/>
  <c r="AB24" i="35"/>
  <c r="H23" i="37"/>
  <c r="AB23" i="37" s="1"/>
  <c r="J32" i="37"/>
  <c r="AC32" i="37" s="1"/>
  <c r="F36" i="37"/>
  <c r="AA36" i="37"/>
  <c r="F37" i="37"/>
  <c r="AA37" i="37" s="1"/>
  <c r="F31" i="40"/>
  <c r="AA31" i="40" s="1"/>
  <c r="H31" i="40"/>
  <c r="U31" i="40" s="1"/>
  <c r="F32" i="40"/>
  <c r="S32" i="40"/>
  <c r="H32" i="40"/>
  <c r="J36" i="40"/>
  <c r="W36" i="40"/>
  <c r="AA41" i="34"/>
  <c r="H19" i="37"/>
  <c r="AB19" i="37" s="1"/>
  <c r="G123" i="33"/>
  <c r="H123" i="33"/>
  <c r="I123" i="33" s="1"/>
  <c r="J123" i="33" s="1"/>
  <c r="K123" i="33" s="1"/>
  <c r="L123" i="33" s="1"/>
  <c r="M123" i="33" s="1"/>
  <c r="H42" i="33"/>
  <c r="AB42" i="33"/>
  <c r="G125" i="33"/>
  <c r="J43" i="33"/>
  <c r="AC43" i="33" s="1"/>
  <c r="U43" i="33"/>
  <c r="S28" i="31"/>
  <c r="S27" i="31"/>
  <c r="S26" i="31"/>
  <c r="U14" i="40"/>
  <c r="AC32" i="36"/>
  <c r="AC33" i="36"/>
  <c r="U35" i="35"/>
  <c r="AA12" i="35"/>
  <c r="U33" i="37"/>
  <c r="AC8" i="37"/>
  <c r="W47" i="34"/>
  <c r="AB13" i="34"/>
  <c r="AB37" i="34"/>
  <c r="AC36"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AB37" i="21" s="1"/>
  <c r="U37" i="21"/>
  <c r="H19" i="34"/>
  <c r="AB19" i="34" s="1"/>
  <c r="F36" i="35"/>
  <c r="S36" i="35"/>
  <c r="J9" i="37"/>
  <c r="AC9" i="37" s="1"/>
  <c r="W9" i="37"/>
  <c r="H9" i="37"/>
  <c r="AB9" i="37" s="1"/>
  <c r="F9" i="37"/>
  <c r="S9" i="37" s="1"/>
  <c r="J12" i="37"/>
  <c r="W12" i="37"/>
  <c r="H12" i="37"/>
  <c r="AB12" i="37" s="1"/>
  <c r="F12" i="37"/>
  <c r="E71" i="37"/>
  <c r="F15" i="37"/>
  <c r="AA15" i="37"/>
  <c r="E94" i="37"/>
  <c r="F94" i="37" s="1"/>
  <c r="G94" i="37" s="1"/>
  <c r="H94" i="37" s="1"/>
  <c r="I94" i="37" s="1"/>
  <c r="J94" i="37" s="1"/>
  <c r="K94" i="37" s="1"/>
  <c r="L94" i="37" s="1"/>
  <c r="F31" i="37"/>
  <c r="S31" i="37" s="1"/>
  <c r="F12" i="39"/>
  <c r="S12" i="39" s="1"/>
  <c r="J42" i="39"/>
  <c r="AC42" i="39" s="1"/>
  <c r="H21" i="40"/>
  <c r="AB21" i="40"/>
  <c r="AC12" i="37"/>
  <c r="M94" i="37"/>
  <c r="H31" i="37"/>
  <c r="F71" i="37"/>
  <c r="G71" i="37" s="1"/>
  <c r="J15" i="37"/>
  <c r="W15" i="37"/>
  <c r="U12" i="37"/>
  <c r="AT6" i="3"/>
  <c r="H5" i="3"/>
  <c r="AA25" i="21"/>
  <c r="C12" i="43"/>
  <c r="H19" i="40"/>
  <c r="U19" i="40" s="1"/>
  <c r="F88" i="40"/>
  <c r="G88" i="40" s="1"/>
  <c r="F19" i="40"/>
  <c r="S19" i="40" s="1"/>
  <c r="S14" i="40"/>
  <c r="AC13" i="40"/>
  <c r="W23" i="39"/>
  <c r="W43" i="39"/>
  <c r="U45" i="39"/>
  <c r="AB45" i="39"/>
  <c r="AB44" i="39"/>
  <c r="U44" i="39"/>
  <c r="G101" i="39"/>
  <c r="H37" i="39"/>
  <c r="AB37" i="39"/>
  <c r="AC37" i="39"/>
  <c r="W37" i="39"/>
  <c r="H25" i="39"/>
  <c r="AB25" i="39" s="1"/>
  <c r="J25" i="39"/>
  <c r="W25" i="39" s="1"/>
  <c r="F25" i="39"/>
  <c r="AA25" i="39" s="1"/>
  <c r="F15" i="39"/>
  <c r="S15" i="39" s="1"/>
  <c r="H15" i="39"/>
  <c r="U15" i="39" s="1"/>
  <c r="J15" i="39"/>
  <c r="AC15" i="39" s="1"/>
  <c r="H41" i="39"/>
  <c r="W27" i="39"/>
  <c r="AB34" i="39"/>
  <c r="U40" i="39"/>
  <c r="S42" i="39"/>
  <c r="W14" i="39"/>
  <c r="W9" i="39"/>
  <c r="W8" i="39"/>
  <c r="J19" i="40"/>
  <c r="AC19" i="40"/>
  <c r="J50" i="40"/>
  <c r="B54" i="72"/>
  <c r="H103" i="9"/>
  <c r="D8" i="53"/>
  <c r="D9" i="53" s="1"/>
  <c r="B16" i="53"/>
  <c r="B33" i="72" s="1"/>
  <c r="C7" i="37"/>
  <c r="C7" i="34"/>
  <c r="C59" i="34" s="1"/>
  <c r="C7" i="36"/>
  <c r="W35" i="40"/>
  <c r="A118" i="9"/>
  <c r="A4" i="52"/>
  <c r="B41" i="72"/>
  <c r="J11" i="39"/>
  <c r="W11" i="39" s="1"/>
  <c r="F11" i="39"/>
  <c r="AA11" i="39"/>
  <c r="A12" i="52"/>
  <c r="B56" i="72" s="1"/>
  <c r="S11" i="39"/>
  <c r="G4" i="4"/>
  <c r="I4" i="4"/>
  <c r="K5" i="4"/>
  <c r="B47" i="48"/>
  <c r="A2" i="9"/>
  <c r="F59" i="43"/>
  <c r="H62" i="43" s="1"/>
  <c r="AZ20" i="3"/>
  <c r="AZ32" i="3"/>
  <c r="AZ502" i="3"/>
  <c r="AZ530" i="3"/>
  <c r="G546" i="3"/>
  <c r="G524" i="3"/>
  <c r="G303" i="3"/>
  <c r="BL304" i="3"/>
  <c r="AZ304" i="3" s="1"/>
  <c r="G305" i="3"/>
  <c r="BL306" i="3"/>
  <c r="BA308" i="3"/>
  <c r="BA309" i="3"/>
  <c r="BL309" i="3"/>
  <c r="G310" i="3"/>
  <c r="BA311" i="3"/>
  <c r="AZ311" i="3" s="1"/>
  <c r="G319" i="3"/>
  <c r="BL320" i="3"/>
  <c r="AZ320" i="3" s="1"/>
  <c r="G321" i="3"/>
  <c r="BL322" i="3"/>
  <c r="BA324" i="3"/>
  <c r="BA325" i="3"/>
  <c r="BL325" i="3"/>
  <c r="AZ325" i="3" s="1"/>
  <c r="G326" i="3"/>
  <c r="BA327" i="3"/>
  <c r="AZ327" i="3" s="1"/>
  <c r="G335" i="3"/>
  <c r="BL336" i="3"/>
  <c r="G337" i="3"/>
  <c r="BL338" i="3"/>
  <c r="BA340" i="3"/>
  <c r="BA341" i="3"/>
  <c r="AZ341" i="3" s="1"/>
  <c r="BL341" i="3"/>
  <c r="BA343" i="3"/>
  <c r="AZ343" i="3" s="1"/>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AZ378" i="3" s="1"/>
  <c r="G379" i="3"/>
  <c r="BA380" i="3"/>
  <c r="G388" i="3"/>
  <c r="BL389" i="3"/>
  <c r="G390" i="3"/>
  <c r="BL391" i="3"/>
  <c r="BA393" i="3"/>
  <c r="BA394" i="3"/>
  <c r="BL394" i="3"/>
  <c r="G113" i="3"/>
  <c r="BA115" i="3"/>
  <c r="AZ115" i="3"/>
  <c r="BL116" i="3"/>
  <c r="AZ116" i="3"/>
  <c r="G117" i="3"/>
  <c r="BA119" i="3"/>
  <c r="AZ119" i="3" s="1"/>
  <c r="BL120" i="3"/>
  <c r="G121" i="3"/>
  <c r="BA123" i="3"/>
  <c r="AZ123" i="3"/>
  <c r="BL124" i="3"/>
  <c r="G125" i="3"/>
  <c r="BA127" i="3"/>
  <c r="AZ127" i="3"/>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G149" i="3"/>
  <c r="BA151" i="3"/>
  <c r="BL152" i="3"/>
  <c r="AZ152" i="3" s="1"/>
  <c r="G153" i="3"/>
  <c r="BA155" i="3"/>
  <c r="BL156" i="3"/>
  <c r="G157" i="3"/>
  <c r="BA159" i="3"/>
  <c r="AZ159" i="3" s="1"/>
  <c r="BL160" i="3"/>
  <c r="G161" i="3"/>
  <c r="BA163" i="3"/>
  <c r="AZ163" i="3"/>
  <c r="BL164" i="3"/>
  <c r="G165" i="3"/>
  <c r="BA167" i="3"/>
  <c r="BL168" i="3"/>
  <c r="G169" i="3"/>
  <c r="BA171" i="3"/>
  <c r="BL172" i="3"/>
  <c r="AZ172" i="3" s="1"/>
  <c r="G173" i="3"/>
  <c r="BA175" i="3"/>
  <c r="BL176" i="3"/>
  <c r="G177" i="3"/>
  <c r="BA179" i="3"/>
  <c r="BL180" i="3"/>
  <c r="AZ180" i="3" s="1"/>
  <c r="G181" i="3"/>
  <c r="BA183" i="3"/>
  <c r="BL184" i="3"/>
  <c r="G185" i="3"/>
  <c r="BA187" i="3"/>
  <c r="AZ187" i="3"/>
  <c r="BL188" i="3"/>
  <c r="AZ188" i="3" s="1"/>
  <c r="G189" i="3"/>
  <c r="BA191" i="3"/>
  <c r="BL192" i="3"/>
  <c r="G193" i="3"/>
  <c r="BA195" i="3"/>
  <c r="AZ195" i="3" s="1"/>
  <c r="BL196" i="3"/>
  <c r="AZ196" i="3" s="1"/>
  <c r="G197" i="3"/>
  <c r="BA199" i="3"/>
  <c r="AZ199" i="3" s="1"/>
  <c r="BL200" i="3"/>
  <c r="G201" i="3"/>
  <c r="BA203" i="3"/>
  <c r="AZ203" i="3"/>
  <c r="BL204" i="3"/>
  <c r="AZ67" i="3"/>
  <c r="AZ176" i="3"/>
  <c r="AZ184" i="3"/>
  <c r="AZ120" i="3"/>
  <c r="G534" i="3"/>
  <c r="G530" i="3"/>
  <c r="G522" i="3"/>
  <c r="G516" i="3"/>
  <c r="G512" i="3"/>
  <c r="G506" i="3"/>
  <c r="G498" i="3"/>
  <c r="G494" i="3"/>
  <c r="G16" i="3"/>
  <c r="BA304" i="3"/>
  <c r="BA305" i="3"/>
  <c r="AZ305" i="3"/>
  <c r="BL305" i="3"/>
  <c r="G306" i="3"/>
  <c r="G309" i="3"/>
  <c r="BL310" i="3"/>
  <c r="BA312" i="3"/>
  <c r="BA313" i="3"/>
  <c r="BL313" i="3"/>
  <c r="AZ313" i="3"/>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AZ351" i="3" s="1"/>
  <c r="G352" i="3"/>
  <c r="G354" i="3"/>
  <c r="BA355" i="3"/>
  <c r="AZ355" i="3"/>
  <c r="BA356" i="3"/>
  <c r="BL356" i="3"/>
  <c r="G357" i="3"/>
  <c r="G360" i="3"/>
  <c r="BL361" i="3"/>
  <c r="BA363" i="3"/>
  <c r="BA364" i="3"/>
  <c r="BL364" i="3"/>
  <c r="G365" i="3"/>
  <c r="G368" i="3"/>
  <c r="BL369" i="3"/>
  <c r="AZ369" i="3" s="1"/>
  <c r="BA371" i="3"/>
  <c r="BA372" i="3"/>
  <c r="BL372" i="3"/>
  <c r="AZ372" i="3" s="1"/>
  <c r="G373" i="3"/>
  <c r="G376" i="3"/>
  <c r="BL377" i="3"/>
  <c r="BL379" i="3"/>
  <c r="AZ379" i="3" s="1"/>
  <c r="BA381" i="3"/>
  <c r="BA382" i="3"/>
  <c r="AZ382" i="3" s="1"/>
  <c r="BL382" i="3"/>
  <c r="G383" i="3"/>
  <c r="G386" i="3"/>
  <c r="BL387" i="3"/>
  <c r="BA389" i="3"/>
  <c r="BA390" i="3"/>
  <c r="BL390" i="3"/>
  <c r="AZ390" i="3" s="1"/>
  <c r="G391" i="3"/>
  <c r="G394" i="3"/>
  <c r="AZ142" i="3"/>
  <c r="AZ146" i="3"/>
  <c r="AZ158" i="3"/>
  <c r="AZ170" i="3"/>
  <c r="AZ500" i="3"/>
  <c r="BA16" i="3"/>
  <c r="BL303" i="3"/>
  <c r="AZ303" i="3" s="1"/>
  <c r="G304" i="3"/>
  <c r="BA306" i="3"/>
  <c r="AZ306" i="3" s="1"/>
  <c r="BL307" i="3"/>
  <c r="G308" i="3"/>
  <c r="BA310" i="3"/>
  <c r="AZ310" i="3"/>
  <c r="BL311" i="3"/>
  <c r="G312" i="3"/>
  <c r="BA314" i="3"/>
  <c r="BL315" i="3"/>
  <c r="AZ315" i="3" s="1"/>
  <c r="G316" i="3"/>
  <c r="BA318" i="3"/>
  <c r="AZ318" i="3" s="1"/>
  <c r="BL319" i="3"/>
  <c r="G320" i="3"/>
  <c r="BA322" i="3"/>
  <c r="AZ322" i="3" s="1"/>
  <c r="BL323" i="3"/>
  <c r="G324" i="3"/>
  <c r="BA326" i="3"/>
  <c r="AZ326" i="3" s="1"/>
  <c r="BL327" i="3"/>
  <c r="G328" i="3"/>
  <c r="BA330" i="3"/>
  <c r="BL331" i="3"/>
  <c r="AZ331" i="3"/>
  <c r="G332" i="3"/>
  <c r="BA334" i="3"/>
  <c r="AZ334" i="3" s="1"/>
  <c r="BL335" i="3"/>
  <c r="G336" i="3"/>
  <c r="BA338" i="3"/>
  <c r="AZ338" i="3" s="1"/>
  <c r="BL339" i="3"/>
  <c r="G340" i="3"/>
  <c r="BL343" i="3"/>
  <c r="G344" i="3"/>
  <c r="G348" i="3"/>
  <c r="G355" i="3"/>
  <c r="AZ209" i="3"/>
  <c r="AZ214" i="3"/>
  <c r="G342" i="3"/>
  <c r="BL345" i="3"/>
  <c r="AZ345" i="3" s="1"/>
  <c r="G346" i="3"/>
  <c r="AZ348" i="3"/>
  <c r="BL349" i="3"/>
  <c r="AZ349" i="3" s="1"/>
  <c r="BL352" i="3"/>
  <c r="G353" i="3"/>
  <c r="BA357" i="3"/>
  <c r="AZ357" i="3"/>
  <c r="BL358" i="3"/>
  <c r="G359" i="3"/>
  <c r="BA361" i="3"/>
  <c r="BL362" i="3"/>
  <c r="AZ362" i="3" s="1"/>
  <c r="G363" i="3"/>
  <c r="BA365" i="3"/>
  <c r="BL366" i="3"/>
  <c r="G367" i="3"/>
  <c r="BA369" i="3"/>
  <c r="BL370" i="3"/>
  <c r="AZ370" i="3" s="1"/>
  <c r="G371" i="3"/>
  <c r="BA373" i="3"/>
  <c r="AZ373" i="3" s="1"/>
  <c r="BL374" i="3"/>
  <c r="AZ374" i="3" s="1"/>
  <c r="G375" i="3"/>
  <c r="BA377" i="3"/>
  <c r="AZ377" i="3"/>
  <c r="AZ229" i="3"/>
  <c r="AZ245" i="3"/>
  <c r="AZ249" i="3"/>
  <c r="AZ269" i="3"/>
  <c r="BA379" i="3"/>
  <c r="BL380" i="3"/>
  <c r="AZ380" i="3" s="1"/>
  <c r="G381" i="3"/>
  <c r="BA383" i="3"/>
  <c r="AZ383" i="3"/>
  <c r="BL384" i="3"/>
  <c r="AZ384" i="3" s="1"/>
  <c r="G385" i="3"/>
  <c r="BA387" i="3"/>
  <c r="AZ387" i="3"/>
  <c r="BL388" i="3"/>
  <c r="G389" i="3"/>
  <c r="BA391" i="3"/>
  <c r="AZ391" i="3"/>
  <c r="BL392" i="3"/>
  <c r="G393" i="3"/>
  <c r="AZ279" i="3"/>
  <c r="AZ283" i="3"/>
  <c r="AZ295" i="3"/>
  <c r="AZ299" i="3"/>
  <c r="BJ5" i="3"/>
  <c r="BH5" i="3"/>
  <c r="BF5" i="3"/>
  <c r="AZ317" i="3"/>
  <c r="AZ333" i="3"/>
  <c r="G548" i="3"/>
  <c r="G538" i="3"/>
  <c r="G520" i="3"/>
  <c r="G502" i="3"/>
  <c r="BS5" i="3"/>
  <c r="BP5" i="3"/>
  <c r="G29" i="6" s="1"/>
  <c r="BK5" i="3"/>
  <c r="BI5" i="3"/>
  <c r="BG5" i="3"/>
  <c r="BE5" i="3"/>
  <c r="BC5" i="3"/>
  <c r="G17" i="3"/>
  <c r="BA17" i="3"/>
  <c r="AZ356" i="3"/>
  <c r="AZ364" i="3"/>
  <c r="AZ396" i="3"/>
  <c r="AZ394" i="3"/>
  <c r="AZ509" i="3"/>
  <c r="G509" i="3"/>
  <c r="BL493" i="3"/>
  <c r="AZ491" i="3"/>
  <c r="AZ493" i="3"/>
  <c r="U36" i="40"/>
  <c r="F36" i="43"/>
  <c r="N9" i="43"/>
  <c r="F81" i="43"/>
  <c r="F48" i="43"/>
  <c r="H52" i="43"/>
  <c r="F70" i="43"/>
  <c r="H75" i="43" s="1"/>
  <c r="H73" i="43"/>
  <c r="M11" i="43"/>
  <c r="D17" i="43"/>
  <c r="F39" i="43"/>
  <c r="I17" i="43"/>
  <c r="F35" i="43"/>
  <c r="J17" i="43"/>
  <c r="U17" i="39"/>
  <c r="S14" i="35"/>
  <c r="U43" i="21"/>
  <c r="U35" i="21"/>
  <c r="AC35" i="21"/>
  <c r="U10" i="21"/>
  <c r="G8" i="1"/>
  <c r="G9" i="1"/>
  <c r="G10" i="1"/>
  <c r="F48" i="9"/>
  <c r="O52" i="9"/>
  <c r="AC11" i="39"/>
  <c r="W37" i="37"/>
  <c r="W44" i="34"/>
  <c r="AC44" i="34"/>
  <c r="S15" i="37"/>
  <c r="U13" i="37"/>
  <c r="J37" i="33"/>
  <c r="W37" i="33" s="1"/>
  <c r="AC17" i="34"/>
  <c r="F106" i="33"/>
  <c r="G106" i="33"/>
  <c r="H106" i="33" s="1"/>
  <c r="I106" i="33"/>
  <c r="J106" i="33" s="1"/>
  <c r="K106" i="33" s="1"/>
  <c r="L106" i="33" s="1"/>
  <c r="M106" i="33" s="1"/>
  <c r="J34" i="33"/>
  <c r="AC34" i="33" s="1"/>
  <c r="W34" i="33"/>
  <c r="F33" i="34"/>
  <c r="S33" i="34"/>
  <c r="H20" i="36"/>
  <c r="U20" i="36"/>
  <c r="J20" i="36"/>
  <c r="W20" i="36" s="1"/>
  <c r="W24" i="36"/>
  <c r="J27" i="36"/>
  <c r="W27" i="36"/>
  <c r="AC33" i="40"/>
  <c r="H35" i="40"/>
  <c r="AB35" i="40" s="1"/>
  <c r="AC29" i="35"/>
  <c r="W29" i="35"/>
  <c r="H35" i="37"/>
  <c r="U35" i="37" s="1"/>
  <c r="AC14" i="35"/>
  <c r="H20" i="35"/>
  <c r="U20" i="35"/>
  <c r="F20" i="35"/>
  <c r="AA20" i="35"/>
  <c r="AB23" i="35"/>
  <c r="AB29" i="36"/>
  <c r="U29" i="36"/>
  <c r="H32" i="37"/>
  <c r="AB32" i="37"/>
  <c r="F96" i="37"/>
  <c r="H27" i="40"/>
  <c r="U27" i="40"/>
  <c r="J27" i="40"/>
  <c r="AC27" i="40"/>
  <c r="F27" i="40"/>
  <c r="J30" i="40"/>
  <c r="AC30" i="40"/>
  <c r="F30" i="40"/>
  <c r="AA30" i="40" s="1"/>
  <c r="AC21" i="40"/>
  <c r="S11" i="40"/>
  <c r="E98" i="40"/>
  <c r="F98" i="40"/>
  <c r="G98" i="40"/>
  <c r="H98" i="40"/>
  <c r="I98" i="40" s="1"/>
  <c r="J98" i="40"/>
  <c r="K98" i="40" s="1"/>
  <c r="L98" i="40" s="1"/>
  <c r="M98" i="40" s="1"/>
  <c r="F10" i="33"/>
  <c r="S10" i="33"/>
  <c r="F34" i="33"/>
  <c r="S34" i="33"/>
  <c r="H34" i="33"/>
  <c r="U34" i="33"/>
  <c r="F35" i="33"/>
  <c r="F39" i="34"/>
  <c r="S39" i="34"/>
  <c r="J39" i="34"/>
  <c r="F40" i="34"/>
  <c r="S40" i="34" s="1"/>
  <c r="F43" i="34"/>
  <c r="AA43" i="34" s="1"/>
  <c r="H44" i="34"/>
  <c r="AB44" i="34"/>
  <c r="AC38" i="39"/>
  <c r="F39" i="39"/>
  <c r="J39" i="39"/>
  <c r="AC39" i="39" s="1"/>
  <c r="E97" i="39"/>
  <c r="F97" i="39"/>
  <c r="G97" i="39"/>
  <c r="C40" i="11"/>
  <c r="AZ232" i="3"/>
  <c r="AZ256" i="3"/>
  <c r="AZ268" i="3"/>
  <c r="AZ280" i="3"/>
  <c r="AZ130" i="3"/>
  <c r="AZ29" i="3"/>
  <c r="AZ37" i="3"/>
  <c r="AZ50" i="3"/>
  <c r="AZ53" i="3"/>
  <c r="AZ74" i="3"/>
  <c r="AZ82" i="3"/>
  <c r="AZ94" i="3"/>
  <c r="H50" i="43"/>
  <c r="F23" i="39"/>
  <c r="H27" i="36"/>
  <c r="F27" i="36"/>
  <c r="AA27" i="36" s="1"/>
  <c r="H33" i="34"/>
  <c r="U33" i="34"/>
  <c r="F32" i="37"/>
  <c r="AA32" i="37" s="1"/>
  <c r="G96" i="37"/>
  <c r="H96" i="37" s="1"/>
  <c r="I96" i="37" s="1"/>
  <c r="J96" i="37" s="1"/>
  <c r="K96" i="37" s="1"/>
  <c r="L96" i="37" s="1"/>
  <c r="M96" i="37"/>
  <c r="F20" i="36"/>
  <c r="S20" i="36" s="1"/>
  <c r="J33" i="34"/>
  <c r="AC33" i="34"/>
  <c r="H23" i="39"/>
  <c r="U23" i="39" s="1"/>
  <c r="D48" i="9"/>
  <c r="M52" i="9"/>
  <c r="H86" i="43"/>
  <c r="G86" i="43" s="1"/>
  <c r="K9" i="1"/>
  <c r="M9" i="1"/>
  <c r="O9" i="1"/>
  <c r="P9" i="1"/>
  <c r="AE9" i="1"/>
  <c r="D93" i="9"/>
  <c r="K6" i="1"/>
  <c r="W26" i="33"/>
  <c r="W27" i="34"/>
  <c r="AC27" i="34"/>
  <c r="AB33" i="36"/>
  <c r="U33" i="36"/>
  <c r="AC12" i="39"/>
  <c r="W12" i="39"/>
  <c r="AC39" i="40"/>
  <c r="W39" i="40"/>
  <c r="AZ412" i="3"/>
  <c r="AZ586" i="3"/>
  <c r="F22" i="43"/>
  <c r="B113" i="43"/>
  <c r="B115" i="43"/>
  <c r="C115" i="43"/>
  <c r="K101" i="43"/>
  <c r="K109" i="43" s="1"/>
  <c r="K103" i="43"/>
  <c r="F101" i="43"/>
  <c r="F103" i="43" s="1"/>
  <c r="F104" i="43"/>
  <c r="N101" i="43"/>
  <c r="E22" i="43"/>
  <c r="G101" i="43"/>
  <c r="G105" i="43"/>
  <c r="C101" i="43"/>
  <c r="C104" i="43"/>
  <c r="J101" i="43"/>
  <c r="J104" i="43"/>
  <c r="N104" i="46"/>
  <c r="AA32" i="36"/>
  <c r="S32" i="36"/>
  <c r="AZ457" i="3"/>
  <c r="AZ490" i="3"/>
  <c r="AA39" i="34"/>
  <c r="AZ266" i="3"/>
  <c r="AC13" i="34"/>
  <c r="AA47" i="34"/>
  <c r="S19" i="39"/>
  <c r="F12" i="33"/>
  <c r="AA12" i="33" s="1"/>
  <c r="H12" i="39"/>
  <c r="U12" i="39" s="1"/>
  <c r="AB12" i="39"/>
  <c r="F39" i="40"/>
  <c r="AZ238" i="3"/>
  <c r="AZ250" i="3"/>
  <c r="AZ286" i="3"/>
  <c r="AZ297" i="3"/>
  <c r="AZ189" i="3"/>
  <c r="S12" i="1"/>
  <c r="R12" i="1"/>
  <c r="B12" i="1"/>
  <c r="E12" i="1"/>
  <c r="S10" i="1"/>
  <c r="R10" i="1"/>
  <c r="B10" i="1"/>
  <c r="E10" i="1"/>
  <c r="D1" i="66"/>
  <c r="E10" i="66" s="1"/>
  <c r="AZ107" i="3"/>
  <c r="AZ111" i="3"/>
  <c r="K12" i="1"/>
  <c r="M12" i="1" s="1"/>
  <c r="O12" i="1"/>
  <c r="P12" i="1"/>
  <c r="S13" i="1"/>
  <c r="T13" i="1" s="1"/>
  <c r="AR13" i="1"/>
  <c r="R13" i="1"/>
  <c r="S11" i="1"/>
  <c r="AQ11" i="1"/>
  <c r="R11" i="1"/>
  <c r="S9" i="1"/>
  <c r="AR9" i="1"/>
  <c r="R9" i="1"/>
  <c r="J51" i="67"/>
  <c r="F31" i="12"/>
  <c r="H100" i="43"/>
  <c r="C30" i="66"/>
  <c r="E26" i="66" s="1"/>
  <c r="AA34" i="33"/>
  <c r="D117" i="43"/>
  <c r="E117" i="43"/>
  <c r="F117" i="43" s="1"/>
  <c r="G117" i="43" s="1"/>
  <c r="H117" i="43" s="1"/>
  <c r="F53" i="9"/>
  <c r="J100" i="43"/>
  <c r="AB37" i="40"/>
  <c r="S35" i="40"/>
  <c r="U35" i="40"/>
  <c r="AC36" i="40"/>
  <c r="AA32" i="40"/>
  <c r="S23" i="40"/>
  <c r="AC17" i="40"/>
  <c r="AC15" i="40"/>
  <c r="AB27" i="40"/>
  <c r="S30" i="40"/>
  <c r="AA19" i="40"/>
  <c r="S28" i="40"/>
  <c r="U21" i="40"/>
  <c r="AB19" i="40"/>
  <c r="W42" i="39"/>
  <c r="U37" i="39"/>
  <c r="S43" i="39"/>
  <c r="S37" i="39"/>
  <c r="F32" i="39"/>
  <c r="G107" i="39"/>
  <c r="U25" i="39"/>
  <c r="AB27" i="39"/>
  <c r="U31" i="39"/>
  <c r="S25" i="39"/>
  <c r="J21" i="39"/>
  <c r="F21" i="39"/>
  <c r="G95" i="39"/>
  <c r="H21" i="39"/>
  <c r="W19" i="39"/>
  <c r="U19" i="39"/>
  <c r="AB15" i="39"/>
  <c r="AA12" i="39"/>
  <c r="S9" i="39"/>
  <c r="U14" i="39"/>
  <c r="AC13" i="39"/>
  <c r="AC27" i="36"/>
  <c r="U26" i="36"/>
  <c r="S33" i="36"/>
  <c r="S27" i="36"/>
  <c r="AA26" i="36"/>
  <c r="AA34" i="36"/>
  <c r="S29" i="36"/>
  <c r="AA22" i="36"/>
  <c r="W14" i="36"/>
  <c r="AB14" i="36"/>
  <c r="U22" i="36"/>
  <c r="S16" i="36"/>
  <c r="AA25" i="36"/>
  <c r="S24" i="36"/>
  <c r="U24" i="36"/>
  <c r="U23" i="36"/>
  <c r="AB20" i="36"/>
  <c r="S14" i="36"/>
  <c r="U10" i="36"/>
  <c r="W10" i="36"/>
  <c r="S23" i="35"/>
  <c r="W24" i="35"/>
  <c r="AB13" i="35"/>
  <c r="U29" i="35"/>
  <c r="U28" i="35"/>
  <c r="AB27" i="35"/>
  <c r="U36" i="35"/>
  <c r="U32" i="35"/>
  <c r="AA33" i="35"/>
  <c r="S32" i="35"/>
  <c r="AA36" i="35"/>
  <c r="W32" i="35"/>
  <c r="S28" i="35"/>
  <c r="AB16" i="35"/>
  <c r="S20" i="35"/>
  <c r="AC20" i="35"/>
  <c r="S22" i="35"/>
  <c r="U14" i="35"/>
  <c r="AC10" i="35"/>
  <c r="AA10" i="35"/>
  <c r="AB10" i="35"/>
  <c r="S8" i="35"/>
  <c r="AC12" i="35"/>
  <c r="W13" i="35"/>
  <c r="F9" i="35"/>
  <c r="F26" i="35"/>
  <c r="AA26" i="35"/>
  <c r="J26" i="35"/>
  <c r="W26" i="35" s="1"/>
  <c r="H26" i="35"/>
  <c r="AB26" i="35" s="1"/>
  <c r="AB40" i="37"/>
  <c r="S25" i="37"/>
  <c r="W27" i="37"/>
  <c r="AC29" i="37"/>
  <c r="U29" i="37"/>
  <c r="W30" i="37"/>
  <c r="S36" i="37"/>
  <c r="U32" i="37"/>
  <c r="W38" i="37"/>
  <c r="AC35" i="37"/>
  <c r="W39" i="37"/>
  <c r="S30" i="37"/>
  <c r="S37" i="37"/>
  <c r="AC15" i="37"/>
  <c r="J17" i="37"/>
  <c r="W17" i="37"/>
  <c r="G73" i="37"/>
  <c r="F17" i="37"/>
  <c r="AA17" i="37" s="1"/>
  <c r="AB17" i="37"/>
  <c r="F75" i="37"/>
  <c r="F19" i="37"/>
  <c r="AA19" i="37" s="1"/>
  <c r="F79" i="37"/>
  <c r="F23" i="37"/>
  <c r="S23" i="37"/>
  <c r="U23" i="37"/>
  <c r="U15" i="37"/>
  <c r="AC13" i="37"/>
  <c r="U9" i="37"/>
  <c r="AA13" i="37"/>
  <c r="AA9" i="37"/>
  <c r="H10" i="37"/>
  <c r="H60" i="37"/>
  <c r="F63" i="37"/>
  <c r="F11" i="37"/>
  <c r="AA11" i="37" s="1"/>
  <c r="S11" i="37"/>
  <c r="S27" i="34"/>
  <c r="AB8" i="34"/>
  <c r="AA33" i="34"/>
  <c r="U44" i="34"/>
  <c r="U43" i="34"/>
  <c r="W41" i="34"/>
  <c r="AC42" i="34"/>
  <c r="U39" i="34"/>
  <c r="S43" i="34"/>
  <c r="AA45" i="34"/>
  <c r="W34" i="34"/>
  <c r="AA25" i="34"/>
  <c r="U27" i="34"/>
  <c r="S23" i="34"/>
  <c r="U15" i="34"/>
  <c r="S10" i="34"/>
  <c r="S13" i="34"/>
  <c r="H10" i="34"/>
  <c r="F11" i="34"/>
  <c r="S11" i="34"/>
  <c r="F70" i="34"/>
  <c r="W42" i="33"/>
  <c r="S27" i="33"/>
  <c r="S32" i="33"/>
  <c r="AA29" i="33"/>
  <c r="AB29" i="33"/>
  <c r="W38" i="33"/>
  <c r="H41" i="33"/>
  <c r="F121" i="33"/>
  <c r="G121" i="33" s="1"/>
  <c r="H121" i="33" s="1"/>
  <c r="I121" i="33" s="1"/>
  <c r="J121" i="33" s="1"/>
  <c r="K121" i="33" s="1"/>
  <c r="L121" i="33"/>
  <c r="M121" i="33" s="1"/>
  <c r="U42" i="33"/>
  <c r="S42" i="33"/>
  <c r="F36" i="33"/>
  <c r="AA36" i="33" s="1"/>
  <c r="G111" i="33"/>
  <c r="I108" i="33"/>
  <c r="J108" i="33" s="1"/>
  <c r="K108" i="33" s="1"/>
  <c r="L108" i="33" s="1"/>
  <c r="M108" i="33" s="1"/>
  <c r="J35" i="33"/>
  <c r="S37" i="33"/>
  <c r="AA37" i="33"/>
  <c r="S39" i="33"/>
  <c r="F101" i="33"/>
  <c r="G101" i="33"/>
  <c r="H101" i="33"/>
  <c r="I101" i="33" s="1"/>
  <c r="J101" i="33" s="1"/>
  <c r="K101" i="33" s="1"/>
  <c r="L101" i="33" s="1"/>
  <c r="M101" i="33" s="1"/>
  <c r="J32" i="33"/>
  <c r="W43" i="33"/>
  <c r="S43" i="33"/>
  <c r="F91" i="33"/>
  <c r="H27" i="33"/>
  <c r="F87" i="33"/>
  <c r="H25" i="33"/>
  <c r="U25" i="33" s="1"/>
  <c r="F25" i="33"/>
  <c r="J23" i="33"/>
  <c r="F85" i="33"/>
  <c r="G85" i="33" s="1"/>
  <c r="H23" i="33"/>
  <c r="F81" i="33"/>
  <c r="G81" i="33" s="1"/>
  <c r="F19" i="33"/>
  <c r="S19" i="33"/>
  <c r="W19" i="33"/>
  <c r="J17" i="33"/>
  <c r="S15" i="33"/>
  <c r="W15" i="33"/>
  <c r="U9" i="33"/>
  <c r="I66" i="33"/>
  <c r="J10" i="33"/>
  <c r="H10" i="33"/>
  <c r="AB10" i="33" s="1"/>
  <c r="AA10" i="33"/>
  <c r="AC11" i="33"/>
  <c r="AB14" i="33"/>
  <c r="W43" i="21"/>
  <c r="W36" i="21"/>
  <c r="W41" i="21"/>
  <c r="AB39" i="21"/>
  <c r="AA43" i="21"/>
  <c r="S39" i="21"/>
  <c r="AA38" i="21"/>
  <c r="AA36" i="21"/>
  <c r="AC40" i="21"/>
  <c r="J15" i="21"/>
  <c r="G77" i="21"/>
  <c r="F23" i="21"/>
  <c r="S23" i="21"/>
  <c r="E85" i="21"/>
  <c r="AC11" i="21"/>
  <c r="AB8" i="21"/>
  <c r="S8" i="21"/>
  <c r="M3" i="43"/>
  <c r="M1" i="43"/>
  <c r="N8" i="43"/>
  <c r="D120" i="9"/>
  <c r="C18" i="9"/>
  <c r="D18" i="9" s="1"/>
  <c r="F34" i="67"/>
  <c r="F62" i="67"/>
  <c r="M20" i="67"/>
  <c r="F34" i="15"/>
  <c r="F62" i="15"/>
  <c r="BL17" i="3"/>
  <c r="AZ17" i="3"/>
  <c r="J56" i="9"/>
  <c r="J57" i="9" s="1"/>
  <c r="J59" i="9" s="1"/>
  <c r="A24" i="51"/>
  <c r="B18" i="72"/>
  <c r="U29" i="34"/>
  <c r="C106" i="43"/>
  <c r="E5" i="6"/>
  <c r="J105" i="43"/>
  <c r="I115" i="43"/>
  <c r="J115" i="43" s="1"/>
  <c r="K115" i="43" s="1"/>
  <c r="L115" i="43" s="1"/>
  <c r="M115" i="43" s="1"/>
  <c r="P10" i="1"/>
  <c r="H22" i="43"/>
  <c r="L101" i="43"/>
  <c r="L109" i="43"/>
  <c r="H101" i="43"/>
  <c r="D101" i="43"/>
  <c r="D105" i="43" s="1"/>
  <c r="M101" i="43"/>
  <c r="M109" i="43"/>
  <c r="I101" i="43"/>
  <c r="E101" i="43"/>
  <c r="G22" i="43"/>
  <c r="D22" i="43"/>
  <c r="E32" i="6"/>
  <c r="L19" i="6"/>
  <c r="G1" i="68"/>
  <c r="K1" i="12"/>
  <c r="N103" i="43"/>
  <c r="N105" i="43"/>
  <c r="J103" i="43"/>
  <c r="J102" i="43"/>
  <c r="F107" i="43"/>
  <c r="F102" i="43"/>
  <c r="F106" i="43"/>
  <c r="C107" i="43"/>
  <c r="K107" i="43"/>
  <c r="K102" i="43"/>
  <c r="K104" i="43"/>
  <c r="G103" i="43"/>
  <c r="G104" i="43"/>
  <c r="I118" i="43"/>
  <c r="J118" i="43"/>
  <c r="K118" i="43"/>
  <c r="L118" i="43" s="1"/>
  <c r="M118" i="43" s="1"/>
  <c r="D116" i="43"/>
  <c r="E116" i="43"/>
  <c r="D118" i="43"/>
  <c r="E118" i="43" s="1"/>
  <c r="F118" i="43" s="1"/>
  <c r="G118" i="43"/>
  <c r="H118" i="43"/>
  <c r="B116" i="43"/>
  <c r="C116" i="43" s="1"/>
  <c r="B118" i="43"/>
  <c r="C118" i="43"/>
  <c r="I117" i="43"/>
  <c r="J117" i="43" s="1"/>
  <c r="K117" i="43"/>
  <c r="L117" i="43" s="1"/>
  <c r="M117" i="43" s="1"/>
  <c r="B117" i="43"/>
  <c r="C117" i="43"/>
  <c r="I116" i="43"/>
  <c r="J116" i="43"/>
  <c r="K116" i="43" s="1"/>
  <c r="L116" i="43" s="1"/>
  <c r="M116" i="43" s="1"/>
  <c r="D115" i="43"/>
  <c r="E115" i="43"/>
  <c r="F115" i="43"/>
  <c r="G115" i="43" s="1"/>
  <c r="H115" i="43" s="1"/>
  <c r="K106" i="43"/>
  <c r="K105" i="43"/>
  <c r="H102" i="43"/>
  <c r="L102" i="43"/>
  <c r="M102" i="43"/>
  <c r="H103" i="43"/>
  <c r="L103" i="43"/>
  <c r="M103" i="43"/>
  <c r="L104" i="43"/>
  <c r="M104" i="43"/>
  <c r="N104" i="43"/>
  <c r="F105" i="43"/>
  <c r="L105" i="43"/>
  <c r="M105" i="43"/>
  <c r="D106" i="43"/>
  <c r="H106" i="43"/>
  <c r="M106" i="43"/>
  <c r="H107" i="43"/>
  <c r="M107" i="43"/>
  <c r="AR12" i="1"/>
  <c r="AQ12" i="1"/>
  <c r="T12" i="1"/>
  <c r="AR10" i="1"/>
  <c r="E19" i="69"/>
  <c r="E19" i="68"/>
  <c r="E19" i="11"/>
  <c r="G41" i="69"/>
  <c r="G22" i="69"/>
  <c r="G41" i="68"/>
  <c r="G22" i="68"/>
  <c r="G27" i="12"/>
  <c r="G26" i="12"/>
  <c r="G41" i="11"/>
  <c r="G22" i="11"/>
  <c r="G25" i="12"/>
  <c r="C109" i="43"/>
  <c r="J109" i="43"/>
  <c r="C100" i="43"/>
  <c r="E11" i="43"/>
  <c r="E10" i="43"/>
  <c r="E9" i="43"/>
  <c r="E8" i="43"/>
  <c r="C7" i="43"/>
  <c r="F109" i="43"/>
  <c r="AJ11" i="43"/>
  <c r="AJ13" i="43" s="1"/>
  <c r="AH11" i="43"/>
  <c r="AH13" i="43"/>
  <c r="AF11" i="43"/>
  <c r="AF13" i="43"/>
  <c r="AD11" i="43"/>
  <c r="AD13" i="43"/>
  <c r="AB11" i="43"/>
  <c r="AB13" i="43" s="1"/>
  <c r="Z11" i="43"/>
  <c r="Z13" i="43"/>
  <c r="Z7" i="43"/>
  <c r="AI11" i="43"/>
  <c r="AI13" i="43"/>
  <c r="AG11" i="43"/>
  <c r="AG13" i="43" s="1"/>
  <c r="AE11" i="43"/>
  <c r="AE13" i="43"/>
  <c r="AC11" i="43"/>
  <c r="AA11" i="43"/>
  <c r="AA13" i="43" s="1"/>
  <c r="Y11" i="43"/>
  <c r="Y13" i="43" s="1"/>
  <c r="E48" i="43"/>
  <c r="B46" i="43"/>
  <c r="E70" i="43"/>
  <c r="B68" i="43"/>
  <c r="G109" i="43"/>
  <c r="N109" i="43"/>
  <c r="F100" i="43"/>
  <c r="H17" i="43"/>
  <c r="B25" i="72"/>
  <c r="B24" i="72"/>
  <c r="H53" i="43"/>
  <c r="H78" i="43"/>
  <c r="H71" i="43"/>
  <c r="C17" i="43"/>
  <c r="F33" i="43"/>
  <c r="K17" i="43"/>
  <c r="F34" i="43"/>
  <c r="N6" i="43"/>
  <c r="M9" i="43"/>
  <c r="C6" i="43"/>
  <c r="N3" i="43"/>
  <c r="F38" i="43"/>
  <c r="F37" i="43"/>
  <c r="N5" i="43"/>
  <c r="M12" i="43"/>
  <c r="B19" i="53"/>
  <c r="B37" i="72"/>
  <c r="C7" i="39"/>
  <c r="C68" i="39" s="1"/>
  <c r="C7" i="35"/>
  <c r="C48" i="35" s="1"/>
  <c r="D48" i="35" s="1"/>
  <c r="C7" i="33"/>
  <c r="C58" i="33"/>
  <c r="D58" i="33" s="1"/>
  <c r="E58" i="33" s="1"/>
  <c r="F58" i="33" s="1"/>
  <c r="G58" i="33" s="1"/>
  <c r="C7" i="21"/>
  <c r="C58" i="21" s="1"/>
  <c r="C7" i="40"/>
  <c r="C63" i="40" s="1"/>
  <c r="M47" i="9"/>
  <c r="O19" i="43"/>
  <c r="C46" i="36"/>
  <c r="D46" i="36"/>
  <c r="D59" i="34"/>
  <c r="E59" i="34" s="1"/>
  <c r="F59" i="34" s="1"/>
  <c r="C52" i="37"/>
  <c r="D52" i="37"/>
  <c r="E52" i="37" s="1"/>
  <c r="F52" i="37" s="1"/>
  <c r="A4" i="51"/>
  <c r="B6" i="72"/>
  <c r="E48" i="35"/>
  <c r="C4" i="12"/>
  <c r="C31" i="12" s="1"/>
  <c r="H66" i="43"/>
  <c r="H65" i="43"/>
  <c r="H64" i="43"/>
  <c r="H63" i="43"/>
  <c r="H55" i="43"/>
  <c r="H56" i="43"/>
  <c r="H72" i="43"/>
  <c r="L20" i="6"/>
  <c r="B6" i="1"/>
  <c r="E6" i="1" s="1"/>
  <c r="S8" i="1"/>
  <c r="K11" i="1"/>
  <c r="O11" i="1"/>
  <c r="P11" i="1"/>
  <c r="AP6" i="1"/>
  <c r="B9" i="1"/>
  <c r="E9" i="1" s="1"/>
  <c r="K7" i="1"/>
  <c r="G1" i="15"/>
  <c r="G1" i="69"/>
  <c r="G1" i="67"/>
  <c r="W23" i="40"/>
  <c r="AB31" i="40"/>
  <c r="S37" i="40"/>
  <c r="AB28" i="40"/>
  <c r="W28" i="40"/>
  <c r="W34" i="40"/>
  <c r="W19" i="40"/>
  <c r="W27" i="40"/>
  <c r="S36" i="40"/>
  <c r="W37" i="40"/>
  <c r="AC14" i="40"/>
  <c r="S13" i="40"/>
  <c r="S33" i="40"/>
  <c r="AA15" i="40"/>
  <c r="U11" i="40"/>
  <c r="S31" i="40"/>
  <c r="AB13" i="40"/>
  <c r="U15" i="40"/>
  <c r="AB17" i="40"/>
  <c r="S8" i="40"/>
  <c r="AC41" i="39"/>
  <c r="U42" i="39"/>
  <c r="AB23" i="39"/>
  <c r="U41" i="39"/>
  <c r="AB41" i="39"/>
  <c r="AC25" i="39"/>
  <c r="U13" i="39"/>
  <c r="AB13" i="39"/>
  <c r="AA13" i="39"/>
  <c r="S13" i="39"/>
  <c r="S14" i="39"/>
  <c r="U43" i="39"/>
  <c r="AB43" i="39"/>
  <c r="AB11" i="39"/>
  <c r="U11" i="39"/>
  <c r="AA27" i="39"/>
  <c r="S27" i="39"/>
  <c r="W17" i="39"/>
  <c r="AC17" i="39"/>
  <c r="W31" i="39"/>
  <c r="AC31" i="39"/>
  <c r="AA45" i="39"/>
  <c r="AB39" i="39"/>
  <c r="W34" i="39"/>
  <c r="U38" i="39"/>
  <c r="S8" i="39"/>
  <c r="AC25" i="36"/>
  <c r="S28" i="36"/>
  <c r="U32" i="36"/>
  <c r="W29" i="36"/>
  <c r="AC20" i="36"/>
  <c r="U25" i="36"/>
  <c r="W9" i="36"/>
  <c r="W22" i="36"/>
  <c r="W23" i="36"/>
  <c r="AB20" i="35"/>
  <c r="AC25" i="35"/>
  <c r="U25" i="35"/>
  <c r="S24" i="35"/>
  <c r="AA30" i="35"/>
  <c r="U24" i="35"/>
  <c r="AA16" i="35"/>
  <c r="S27" i="37"/>
  <c r="S28" i="37"/>
  <c r="W32" i="37"/>
  <c r="U36" i="37"/>
  <c r="S40" i="37"/>
  <c r="U38" i="37"/>
  <c r="AB37" i="37"/>
  <c r="S33" i="37"/>
  <c r="AC34" i="37"/>
  <c r="AB35" i="37"/>
  <c r="AA31" i="37"/>
  <c r="U19" i="37"/>
  <c r="AA29" i="37"/>
  <c r="AA8" i="37"/>
  <c r="U8" i="37"/>
  <c r="AA40" i="34"/>
  <c r="AB40" i="34"/>
  <c r="U19" i="34"/>
  <c r="W19" i="34"/>
  <c r="AB33" i="34"/>
  <c r="AC45" i="34"/>
  <c r="AA30" i="34"/>
  <c r="AB45" i="34"/>
  <c r="AB47" i="34"/>
  <c r="U25" i="34"/>
  <c r="AB36" i="34"/>
  <c r="W33" i="34"/>
  <c r="AC14" i="34"/>
  <c r="W29" i="34"/>
  <c r="W46" i="34"/>
  <c r="AC46" i="34"/>
  <c r="S32" i="34"/>
  <c r="AA32" i="34"/>
  <c r="U30" i="34"/>
  <c r="AB30" i="34"/>
  <c r="S37" i="34"/>
  <c r="U38" i="34"/>
  <c r="AC40" i="34"/>
  <c r="W40" i="34"/>
  <c r="AA19" i="34"/>
  <c r="S19" i="34"/>
  <c r="AA36" i="34"/>
  <c r="S36" i="34"/>
  <c r="AA8" i="34"/>
  <c r="S8" i="34"/>
  <c r="AB9" i="34"/>
  <c r="U9" i="34"/>
  <c r="S46" i="34"/>
  <c r="AA46" i="34"/>
  <c r="U32" i="34"/>
  <c r="AB32" i="34"/>
  <c r="AB14" i="34"/>
  <c r="AC43" i="34"/>
  <c r="W43" i="34"/>
  <c r="AA11" i="34"/>
  <c r="W23" i="34"/>
  <c r="AC23" i="34"/>
  <c r="U12" i="34"/>
  <c r="AB12" i="34"/>
  <c r="AB28" i="33"/>
  <c r="AC37" i="33"/>
  <c r="W46" i="33"/>
  <c r="U39" i="33"/>
  <c r="U38" i="33"/>
  <c r="S33" i="33"/>
  <c r="AB34" i="33"/>
  <c r="U44" i="33"/>
  <c r="AB44" i="33"/>
  <c r="AC14" i="33"/>
  <c r="W30" i="33"/>
  <c r="S31" i="33"/>
  <c r="W13" i="33"/>
  <c r="AC13" i="33"/>
  <c r="U15" i="33"/>
  <c r="S11" i="33"/>
  <c r="U37" i="33"/>
  <c r="W9" i="33"/>
  <c r="W8" i="33"/>
  <c r="S44" i="21"/>
  <c r="AB42" i="21"/>
  <c r="I101" i="21"/>
  <c r="J101" i="21" s="1"/>
  <c r="K101" i="21" s="1"/>
  <c r="L101" i="21" s="1"/>
  <c r="M101" i="21" s="1"/>
  <c r="F33" i="21"/>
  <c r="J33" i="21"/>
  <c r="H33" i="21"/>
  <c r="U33" i="21" s="1"/>
  <c r="AB33" i="21"/>
  <c r="F37" i="21"/>
  <c r="S37" i="21" s="1"/>
  <c r="AA37" i="21"/>
  <c r="AB14" i="21"/>
  <c r="AB46" i="21"/>
  <c r="U40" i="21"/>
  <c r="U13" i="21"/>
  <c r="AB13" i="21"/>
  <c r="W8" i="21"/>
  <c r="S35" i="21"/>
  <c r="J37" i="21"/>
  <c r="W37" i="21" s="1"/>
  <c r="H15" i="21"/>
  <c r="U15" i="21" s="1"/>
  <c r="J17" i="21"/>
  <c r="AC17" i="21" s="1"/>
  <c r="AC19" i="21"/>
  <c r="W39" i="21"/>
  <c r="W30" i="21"/>
  <c r="S46" i="21"/>
  <c r="H45" i="21"/>
  <c r="U45" i="21"/>
  <c r="F29" i="21"/>
  <c r="S29" i="21" s="1"/>
  <c r="F13" i="21"/>
  <c r="AA13" i="21"/>
  <c r="AC38" i="21"/>
  <c r="H32" i="21"/>
  <c r="H9" i="21"/>
  <c r="U9" i="21" s="1"/>
  <c r="J9" i="21"/>
  <c r="J32" i="21"/>
  <c r="F32" i="21"/>
  <c r="U17" i="21"/>
  <c r="W29" i="21"/>
  <c r="S19" i="21"/>
  <c r="S9" i="21"/>
  <c r="AA9" i="21"/>
  <c r="K141" i="21"/>
  <c r="K144" i="21"/>
  <c r="K143" i="21"/>
  <c r="U27" i="21"/>
  <c r="AB25" i="21"/>
  <c r="AB44" i="21"/>
  <c r="W13" i="21"/>
  <c r="W42" i="21"/>
  <c r="F10" i="21"/>
  <c r="K145" i="21"/>
  <c r="W17" i="21"/>
  <c r="W25" i="21"/>
  <c r="AA29" i="21"/>
  <c r="W31" i="21"/>
  <c r="S27" i="21"/>
  <c r="AA15" i="21"/>
  <c r="AC27" i="21"/>
  <c r="AC26" i="21"/>
  <c r="S28" i="21"/>
  <c r="AC34" i="21"/>
  <c r="W10" i="21"/>
  <c r="W12" i="21"/>
  <c r="AB36" i="21"/>
  <c r="W30" i="40"/>
  <c r="C19" i="39"/>
  <c r="C15" i="40"/>
  <c r="C17" i="40"/>
  <c r="C23" i="40"/>
  <c r="C21" i="40"/>
  <c r="U30" i="40"/>
  <c r="B65" i="43"/>
  <c r="B49" i="43"/>
  <c r="B52" i="43"/>
  <c r="B56" i="43"/>
  <c r="B60" i="43"/>
  <c r="B63" i="43"/>
  <c r="D23" i="15"/>
  <c r="D22" i="15"/>
  <c r="AQ13" i="1"/>
  <c r="M6" i="1"/>
  <c r="O6" i="1"/>
  <c r="P6" i="1"/>
  <c r="F30" i="68"/>
  <c r="F30" i="11"/>
  <c r="C48" i="11" s="1"/>
  <c r="F28" i="67"/>
  <c r="F52" i="9"/>
  <c r="M18" i="67"/>
  <c r="F32" i="67"/>
  <c r="F60" i="67"/>
  <c r="F30" i="69"/>
  <c r="C48" i="69" s="1"/>
  <c r="F32" i="15"/>
  <c r="F60" i="15"/>
  <c r="M18" i="15"/>
  <c r="F28" i="15"/>
  <c r="T11" i="1"/>
  <c r="D9" i="69"/>
  <c r="C9" i="69" s="1"/>
  <c r="AQ9" i="1"/>
  <c r="AR11" i="1"/>
  <c r="C28" i="15"/>
  <c r="T9" i="1"/>
  <c r="D9" i="68"/>
  <c r="C9" i="68" s="1"/>
  <c r="AA39" i="40"/>
  <c r="S39" i="40"/>
  <c r="S12" i="33"/>
  <c r="D68" i="9"/>
  <c r="F54" i="9"/>
  <c r="J32" i="39"/>
  <c r="AC32" i="39" s="1"/>
  <c r="H107" i="39"/>
  <c r="I107" i="39"/>
  <c r="J107" i="39"/>
  <c r="K107" i="39" s="1"/>
  <c r="L107" i="39" s="1"/>
  <c r="M107" i="39" s="1"/>
  <c r="H32" i="39"/>
  <c r="AA32" i="39"/>
  <c r="S32" i="39"/>
  <c r="AB21" i="39"/>
  <c r="U21" i="39"/>
  <c r="AA21" i="39"/>
  <c r="S21" i="39"/>
  <c r="AC21" i="39"/>
  <c r="W21" i="39"/>
  <c r="S26" i="35"/>
  <c r="AA9" i="35"/>
  <c r="S9" i="35"/>
  <c r="AC26" i="35"/>
  <c r="U26" i="35"/>
  <c r="AC17" i="37"/>
  <c r="S17" i="37"/>
  <c r="J19" i="37"/>
  <c r="AC19" i="37" s="1"/>
  <c r="G75" i="37"/>
  <c r="S19" i="37"/>
  <c r="AA23" i="37"/>
  <c r="J23" i="37"/>
  <c r="G79" i="37"/>
  <c r="J10" i="37"/>
  <c r="I60" i="37"/>
  <c r="G63" i="37"/>
  <c r="H63" i="37" s="1"/>
  <c r="I63" i="37" s="1"/>
  <c r="J63" i="37" s="1"/>
  <c r="K63" i="37" s="1"/>
  <c r="L63" i="37" s="1"/>
  <c r="H11" i="37"/>
  <c r="AB11" i="37" s="1"/>
  <c r="G70" i="34"/>
  <c r="H11" i="34"/>
  <c r="AB10" i="34"/>
  <c r="U10" i="34"/>
  <c r="J10" i="34"/>
  <c r="AC10" i="34" s="1"/>
  <c r="I67" i="34"/>
  <c r="W35" i="33"/>
  <c r="AC35" i="33"/>
  <c r="H111" i="33"/>
  <c r="I111" i="33" s="1"/>
  <c r="J111" i="33" s="1"/>
  <c r="K111" i="33" s="1"/>
  <c r="L111" i="33" s="1"/>
  <c r="M111" i="33" s="1"/>
  <c r="J36" i="33"/>
  <c r="AC36" i="33" s="1"/>
  <c r="H36" i="33"/>
  <c r="U36" i="33" s="1"/>
  <c r="S36" i="33"/>
  <c r="AC32" i="33"/>
  <c r="W32" i="33"/>
  <c r="U27" i="33"/>
  <c r="AB27" i="33"/>
  <c r="G91" i="33"/>
  <c r="H91" i="33"/>
  <c r="I91" i="33"/>
  <c r="J91" i="33" s="1"/>
  <c r="K91" i="33" s="1"/>
  <c r="L91" i="33" s="1"/>
  <c r="M91" i="33" s="1"/>
  <c r="J27" i="33"/>
  <c r="AB25" i="33"/>
  <c r="S25" i="33"/>
  <c r="AA25" i="33"/>
  <c r="G87" i="33"/>
  <c r="H87" i="33"/>
  <c r="I87" i="33" s="1"/>
  <c r="J87" i="33" s="1"/>
  <c r="K87" i="33" s="1"/>
  <c r="L87" i="33" s="1"/>
  <c r="M87" i="33" s="1"/>
  <c r="J25" i="33"/>
  <c r="F23" i="33"/>
  <c r="AC23" i="33"/>
  <c r="W23" i="33"/>
  <c r="AA19" i="33"/>
  <c r="H19" i="33"/>
  <c r="G79" i="33"/>
  <c r="H17" i="33"/>
  <c r="AB17" i="33" s="1"/>
  <c r="F17" i="33"/>
  <c r="W17" i="33"/>
  <c r="AC17" i="33"/>
  <c r="U10" i="33"/>
  <c r="AC10" i="33"/>
  <c r="W10" i="33"/>
  <c r="AC37" i="21"/>
  <c r="AA23" i="21"/>
  <c r="AB15" i="21"/>
  <c r="J23" i="21"/>
  <c r="AC23" i="21" s="1"/>
  <c r="F85" i="21"/>
  <c r="G85" i="21"/>
  <c r="H23" i="21"/>
  <c r="AB23" i="21" s="1"/>
  <c r="S13" i="21"/>
  <c r="D6" i="52"/>
  <c r="D121" i="9"/>
  <c r="D7" i="52"/>
  <c r="K120" i="9"/>
  <c r="A18" i="62" s="1"/>
  <c r="C21" i="43"/>
  <c r="J22" i="43"/>
  <c r="O14" i="1"/>
  <c r="P14" i="1"/>
  <c r="J61" i="9"/>
  <c r="H109" i="43"/>
  <c r="AR8" i="1"/>
  <c r="AQ8" i="1"/>
  <c r="T8" i="1"/>
  <c r="L27" i="6"/>
  <c r="AP7" i="1"/>
  <c r="M7" i="1"/>
  <c r="O7" i="1"/>
  <c r="Q16" i="1"/>
  <c r="F27" i="69" s="1"/>
  <c r="AB45" i="21"/>
  <c r="AC33" i="21"/>
  <c r="W33" i="21"/>
  <c r="S33" i="21"/>
  <c r="AA33" i="21"/>
  <c r="AB9" i="21"/>
  <c r="AA32" i="21"/>
  <c r="S32" i="21"/>
  <c r="W9" i="21"/>
  <c r="AC9" i="21"/>
  <c r="AB32" i="21"/>
  <c r="U32" i="21"/>
  <c r="AA10" i="21"/>
  <c r="S10" i="21"/>
  <c r="C36" i="69"/>
  <c r="C30" i="11"/>
  <c r="B64" i="72"/>
  <c r="U32" i="39"/>
  <c r="AB32" i="39"/>
  <c r="W32" i="39"/>
  <c r="W19" i="37"/>
  <c r="W23" i="37"/>
  <c r="AC23" i="37"/>
  <c r="U11" i="37"/>
  <c r="M63" i="37"/>
  <c r="J11" i="37"/>
  <c r="W10" i="37"/>
  <c r="AC10" i="37"/>
  <c r="U11" i="34"/>
  <c r="AB11" i="34"/>
  <c r="W10" i="34"/>
  <c r="H70" i="34"/>
  <c r="I70" i="34" s="1"/>
  <c r="J70" i="34" s="1"/>
  <c r="K70" i="34" s="1"/>
  <c r="L70" i="34" s="1"/>
  <c r="M70" i="34" s="1"/>
  <c r="J11" i="34"/>
  <c r="AC11" i="34" s="1"/>
  <c r="W36" i="33"/>
  <c r="AB36" i="33"/>
  <c r="W27" i="33"/>
  <c r="AC27" i="33"/>
  <c r="W25" i="33"/>
  <c r="AC25" i="33"/>
  <c r="AA23" i="33"/>
  <c r="S23" i="33"/>
  <c r="AB19" i="33"/>
  <c r="U19" i="33"/>
  <c r="AA17" i="33"/>
  <c r="S17" i="33"/>
  <c r="U17" i="33"/>
  <c r="U23" i="21"/>
  <c r="F28" i="12"/>
  <c r="C24" i="12"/>
  <c r="P7" i="1"/>
  <c r="AC11" i="37"/>
  <c r="W11" i="37"/>
  <c r="W11" i="34"/>
  <c r="P16" i="1"/>
  <c r="C11" i="12" s="1"/>
  <c r="C15" i="12" s="1"/>
  <c r="F34" i="11"/>
  <c r="F11" i="12"/>
  <c r="C23" i="12" s="1"/>
  <c r="F34" i="68"/>
  <c r="AG6" i="1"/>
  <c r="H109" i="9"/>
  <c r="D16" i="53" s="1"/>
  <c r="C30" i="68"/>
  <c r="C48" i="68"/>
  <c r="C19" i="68"/>
  <c r="H110" i="9"/>
  <c r="D18" i="53" s="1"/>
  <c r="B35" i="72" s="1"/>
  <c r="B34" i="72"/>
  <c r="D17" i="53"/>
  <c r="B36" i="72" s="1"/>
  <c r="H112" i="9"/>
  <c r="D21" i="53" s="1"/>
  <c r="B39" i="72" s="1"/>
  <c r="H111" i="9"/>
  <c r="D126" i="9"/>
  <c r="I14" i="74" s="1"/>
  <c r="D19" i="53"/>
  <c r="D59" i="9"/>
  <c r="M55" i="9"/>
  <c r="B38" i="72"/>
  <c r="D20" i="53"/>
  <c r="B40" i="72"/>
  <c r="B8" i="74"/>
  <c r="D127" i="9"/>
  <c r="D13" i="52" s="1"/>
  <c r="D12" i="52"/>
  <c r="AD3" i="71"/>
  <c r="C65" i="40"/>
  <c r="D63" i="40"/>
  <c r="C36" i="11"/>
  <c r="C13" i="12"/>
  <c r="C30" i="69"/>
  <c r="C77" i="9"/>
  <c r="C74" i="9"/>
  <c r="C28" i="67"/>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G59" i="34"/>
  <c r="C70" i="39"/>
  <c r="D68" i="39"/>
  <c r="G52" i="37"/>
  <c r="F48" i="35"/>
  <c r="E46" i="36"/>
  <c r="F46" i="36" s="1"/>
  <c r="D58" i="21"/>
  <c r="C11" i="71"/>
  <c r="D12" i="71"/>
  <c r="D13" i="71"/>
  <c r="U13" i="71"/>
  <c r="S13" i="71"/>
  <c r="T13" i="71"/>
  <c r="AB11" i="71"/>
  <c r="X9" i="71"/>
  <c r="X8" i="71"/>
  <c r="AA9" i="71"/>
  <c r="AA8" i="71"/>
  <c r="X12" i="71"/>
  <c r="Y8" i="71"/>
  <c r="Z8" i="71"/>
  <c r="AB9" i="71"/>
  <c r="AB8" i="71"/>
  <c r="S9" i="71"/>
  <c r="C94" i="9"/>
  <c r="C92" i="9"/>
  <c r="F10" i="71"/>
  <c r="F9" i="71" s="1"/>
  <c r="F8" i="71" s="1"/>
  <c r="F7" i="71" s="1"/>
  <c r="F6" i="71" s="1"/>
  <c r="F5" i="71" s="1"/>
  <c r="Y9" i="71"/>
  <c r="Z9" i="71"/>
  <c r="AB3" i="71"/>
  <c r="X3" i="71"/>
  <c r="E10" i="71"/>
  <c r="E9" i="71" s="1"/>
  <c r="E8" i="71" s="1"/>
  <c r="E7" i="71" s="1"/>
  <c r="E6" i="71" s="1"/>
  <c r="E5" i="71" s="1"/>
  <c r="E14" i="49"/>
  <c r="AF3" i="71"/>
  <c r="E6" i="49"/>
  <c r="D65" i="40"/>
  <c r="E63" i="40"/>
  <c r="E65" i="40" s="1"/>
  <c r="C16" i="43"/>
  <c r="D5" i="43" s="1"/>
  <c r="D70" i="39"/>
  <c r="E68" i="39"/>
  <c r="H59" i="34"/>
  <c r="V9" i="71"/>
  <c r="I59" i="34"/>
  <c r="J59" i="34"/>
  <c r="K59" i="34"/>
  <c r="L59" i="34" s="1"/>
  <c r="M59" i="34" s="1"/>
  <c r="N59" i="34" s="1"/>
  <c r="O59" i="34" s="1"/>
  <c r="F31" i="67"/>
  <c r="F31" i="15"/>
  <c r="B10" i="49"/>
  <c r="E11" i="49"/>
  <c r="E22" i="49"/>
  <c r="F59" i="15"/>
  <c r="F59" i="67"/>
  <c r="M17" i="15"/>
  <c r="M17" i="67"/>
  <c r="F6" i="15"/>
  <c r="F40" i="15"/>
  <c r="M6" i="15"/>
  <c r="L47" i="15"/>
  <c r="AO12" i="1"/>
  <c r="B10" i="76"/>
  <c r="E11" i="76"/>
  <c r="B9" i="76"/>
  <c r="M29" i="15"/>
  <c r="B11" i="76"/>
  <c r="M23" i="67"/>
  <c r="M28" i="15"/>
  <c r="F36" i="67"/>
  <c r="M22" i="67"/>
  <c r="E12" i="76"/>
  <c r="F38" i="15"/>
  <c r="M8" i="15"/>
  <c r="AO8" i="1"/>
  <c r="AO13" i="1"/>
  <c r="M27" i="67"/>
  <c r="J15" i="15"/>
  <c r="M28" i="67"/>
  <c r="F16" i="67"/>
  <c r="F37" i="67"/>
  <c r="E2" i="69"/>
  <c r="AO9" i="1"/>
  <c r="B8" i="76"/>
  <c r="F7" i="67"/>
  <c r="B7" i="76"/>
  <c r="L48" i="15"/>
  <c r="F9" i="15"/>
  <c r="F42" i="15"/>
  <c r="C76" i="15"/>
  <c r="L48" i="67"/>
  <c r="F40" i="67"/>
  <c r="B13" i="76"/>
  <c r="D2" i="37"/>
  <c r="M22" i="15"/>
  <c r="M26" i="67"/>
  <c r="M9" i="15"/>
  <c r="D2" i="34"/>
  <c r="D2" i="21"/>
  <c r="F42" i="67"/>
  <c r="M23" i="15"/>
  <c r="F38" i="67"/>
  <c r="M27" i="15"/>
  <c r="F16" i="15"/>
  <c r="F36" i="15"/>
  <c r="F26" i="67"/>
  <c r="M6" i="67"/>
  <c r="J15" i="67"/>
  <c r="F9" i="67"/>
  <c r="E8" i="76"/>
  <c r="F8" i="15"/>
  <c r="M29" i="67"/>
  <c r="M24" i="67"/>
  <c r="M26" i="15"/>
  <c r="E7" i="76"/>
  <c r="F43" i="67"/>
  <c r="F7" i="15"/>
  <c r="F26" i="15"/>
  <c r="AO10" i="1"/>
  <c r="F20" i="31"/>
  <c r="F13" i="67"/>
  <c r="M24" i="15"/>
  <c r="F41" i="67"/>
  <c r="AO11" i="1"/>
  <c r="E9" i="76"/>
  <c r="F8" i="67"/>
  <c r="E10" i="76"/>
  <c r="D2" i="36"/>
  <c r="D2" i="35"/>
  <c r="F43" i="15"/>
  <c r="E2" i="68"/>
  <c r="C76" i="67"/>
  <c r="E13" i="76"/>
  <c r="F13" i="15"/>
  <c r="D2" i="33"/>
  <c r="F37" i="15"/>
  <c r="M9" i="67"/>
  <c r="B12" i="76"/>
  <c r="L47" i="67"/>
  <c r="F6" i="67"/>
  <c r="M8" i="67"/>
  <c r="E10" i="49" l="1"/>
  <c r="E21" i="49"/>
  <c r="B22" i="49"/>
  <c r="E8" i="49"/>
  <c r="B11" i="49"/>
  <c r="B14" i="49"/>
  <c r="B6" i="49"/>
  <c r="E13" i="49"/>
  <c r="E4" i="49"/>
  <c r="B13" i="49"/>
  <c r="C4" i="4" s="1"/>
  <c r="B4" i="49"/>
  <c r="E9" i="49"/>
  <c r="B8" i="49"/>
  <c r="E7" i="49"/>
  <c r="B9" i="49"/>
  <c r="E4" i="4" s="1"/>
  <c r="B5" i="62" s="1"/>
  <c r="B73" i="72" s="1"/>
  <c r="C5" i="43"/>
  <c r="A19" i="51"/>
  <c r="B14" i="72" s="1"/>
  <c r="B4" i="62"/>
  <c r="B71" i="72" s="1"/>
  <c r="C6" i="67"/>
  <c r="L58" i="67"/>
  <c r="N59" i="67"/>
  <c r="M59" i="67"/>
  <c r="L59" i="67"/>
  <c r="F65" i="15"/>
  <c r="Q71" i="67"/>
  <c r="F71" i="15"/>
  <c r="F51" i="67"/>
  <c r="B11" i="70"/>
  <c r="F69" i="67"/>
  <c r="B10" i="70"/>
  <c r="C27" i="15"/>
  <c r="M7" i="15"/>
  <c r="J6" i="15" s="1"/>
  <c r="F50" i="15"/>
  <c r="F71" i="67"/>
  <c r="F51" i="15"/>
  <c r="C27" i="67"/>
  <c r="F64" i="15"/>
  <c r="F66" i="67"/>
  <c r="F70" i="67"/>
  <c r="F68" i="67"/>
  <c r="I54" i="67"/>
  <c r="J53" i="67"/>
  <c r="J57" i="67"/>
  <c r="J55" i="67" s="1"/>
  <c r="J58" i="67" s="1"/>
  <c r="Q50" i="67" s="1"/>
  <c r="L56" i="67"/>
  <c r="Q71" i="15"/>
  <c r="J59" i="15"/>
  <c r="L60" i="15"/>
  <c r="J57" i="15"/>
  <c r="J55" i="15" s="1"/>
  <c r="J58" i="15" s="1"/>
  <c r="Q50" i="15" s="1"/>
  <c r="I54" i="15"/>
  <c r="L57" i="15"/>
  <c r="L56" i="15"/>
  <c r="J53" i="15"/>
  <c r="J60" i="15"/>
  <c r="Q48" i="15" s="1"/>
  <c r="M7" i="67"/>
  <c r="J6" i="67" s="1"/>
  <c r="F50" i="67"/>
  <c r="B9" i="70"/>
  <c r="F65" i="67"/>
  <c r="B13" i="70"/>
  <c r="B8" i="70"/>
  <c r="F66" i="15"/>
  <c r="F64" i="67"/>
  <c r="B12" i="70"/>
  <c r="L58" i="15"/>
  <c r="L59" i="15"/>
  <c r="N59" i="15"/>
  <c r="M59" i="15"/>
  <c r="F68" i="15"/>
  <c r="C6" i="15"/>
  <c r="C47" i="69"/>
  <c r="D45" i="69" s="1"/>
  <c r="C29" i="69"/>
  <c r="D27" i="69" s="1"/>
  <c r="G46" i="36"/>
  <c r="H46" i="36" s="1"/>
  <c r="I46" i="36" s="1"/>
  <c r="J46" i="36" s="1"/>
  <c r="K46" i="36" s="1"/>
  <c r="L46" i="36" s="1"/>
  <c r="M46" i="36" s="1"/>
  <c r="N46" i="36" s="1"/>
  <c r="O46" i="36" s="1"/>
  <c r="H7" i="36"/>
  <c r="J7" i="36"/>
  <c r="F7" i="36"/>
  <c r="C12" i="12"/>
  <c r="F68" i="39"/>
  <c r="E70" i="39"/>
  <c r="P25" i="43"/>
  <c r="P23" i="43"/>
  <c r="B71" i="39" s="1"/>
  <c r="P24" i="43"/>
  <c r="B66" i="40" s="1"/>
  <c r="P21" i="43"/>
  <c r="P22" i="43"/>
  <c r="G48" i="35"/>
  <c r="M11" i="1"/>
  <c r="F116" i="43"/>
  <c r="G116" i="43" s="1"/>
  <c r="H116" i="43" s="1"/>
  <c r="AC33" i="35"/>
  <c r="W33" i="35"/>
  <c r="AZ551" i="3"/>
  <c r="G550" i="3"/>
  <c r="AC5" i="3"/>
  <c r="BM5" i="3"/>
  <c r="F29" i="6" s="1"/>
  <c r="E29" i="6" s="1"/>
  <c r="K15" i="1" s="1"/>
  <c r="BL549" i="3"/>
  <c r="BD5" i="3"/>
  <c r="BA549" i="3"/>
  <c r="U29" i="21"/>
  <c r="AB29" i="21"/>
  <c r="AB28" i="34"/>
  <c r="U28" i="34"/>
  <c r="S30" i="21"/>
  <c r="AA30" i="21"/>
  <c r="F7" i="34"/>
  <c r="H7" i="34"/>
  <c r="D11" i="71"/>
  <c r="C10" i="71"/>
  <c r="E58" i="21"/>
  <c r="F58" i="21" s="1"/>
  <c r="G58" i="21" s="1"/>
  <c r="H58" i="21" s="1"/>
  <c r="I58" i="21" s="1"/>
  <c r="J58" i="21" s="1"/>
  <c r="K58" i="21" s="1"/>
  <c r="L58" i="21" s="1"/>
  <c r="M58" i="21" s="1"/>
  <c r="N58" i="21" s="1"/>
  <c r="O58" i="21" s="1"/>
  <c r="J7" i="21"/>
  <c r="F27" i="11"/>
  <c r="F27" i="68"/>
  <c r="W15" i="21"/>
  <c r="AC15" i="21"/>
  <c r="U23" i="33"/>
  <c r="AB23" i="33"/>
  <c r="H52" i="37"/>
  <c r="I52" i="37" s="1"/>
  <c r="J52" i="37" s="1"/>
  <c r="K52" i="37" s="1"/>
  <c r="L52" i="37" s="1"/>
  <c r="M52" i="37" s="1"/>
  <c r="N52" i="37" s="1"/>
  <c r="O52" i="37" s="1"/>
  <c r="F7" i="37"/>
  <c r="AB32" i="40"/>
  <c r="U32" i="40"/>
  <c r="J7" i="34"/>
  <c r="F63" i="40"/>
  <c r="G17" i="43"/>
  <c r="O16" i="1"/>
  <c r="M86" i="43"/>
  <c r="N86" i="43" s="1"/>
  <c r="K86" i="43"/>
  <c r="J86" i="43" s="1"/>
  <c r="E103" i="43"/>
  <c r="E106" i="43"/>
  <c r="E105" i="43"/>
  <c r="E107" i="43"/>
  <c r="E104" i="43"/>
  <c r="E102" i="43"/>
  <c r="E109" i="43"/>
  <c r="C36" i="68"/>
  <c r="H58" i="33"/>
  <c r="I104" i="43"/>
  <c r="I105" i="43"/>
  <c r="I109" i="43"/>
  <c r="I107" i="43"/>
  <c r="I106" i="43"/>
  <c r="I103" i="43"/>
  <c r="I102" i="43"/>
  <c r="C29" i="12"/>
  <c r="D28" i="12" s="1"/>
  <c r="W39" i="34"/>
  <c r="AC39" i="34"/>
  <c r="D124" i="9"/>
  <c r="W32" i="21"/>
  <c r="AC32" i="21"/>
  <c r="H83" i="43"/>
  <c r="G83" i="43" s="1"/>
  <c r="H88" i="43"/>
  <c r="G88" i="43" s="1"/>
  <c r="H81" i="43"/>
  <c r="G81" i="43" s="1"/>
  <c r="H85" i="43"/>
  <c r="G85" i="43" s="1"/>
  <c r="H82" i="43"/>
  <c r="G82" i="43" s="1"/>
  <c r="H87" i="43"/>
  <c r="G87" i="43" s="1"/>
  <c r="AZ314" i="3"/>
  <c r="W23" i="21"/>
  <c r="H84" i="43"/>
  <c r="G84" i="43" s="1"/>
  <c r="S35" i="33"/>
  <c r="AA35" i="33"/>
  <c r="AA20" i="36"/>
  <c r="U27" i="36"/>
  <c r="AB27" i="36"/>
  <c r="S17" i="34"/>
  <c r="AA17" i="34"/>
  <c r="AA23" i="39"/>
  <c r="S23" i="39"/>
  <c r="S39" i="39"/>
  <c r="AA39" i="39"/>
  <c r="S31" i="39"/>
  <c r="AZ371" i="3"/>
  <c r="U31" i="37"/>
  <c r="AB31" i="37"/>
  <c r="U28" i="21"/>
  <c r="AB28" i="21"/>
  <c r="S26" i="21"/>
  <c r="AA26" i="21"/>
  <c r="AA11" i="36"/>
  <c r="S11" i="36"/>
  <c r="W32" i="34"/>
  <c r="AC32" i="34"/>
  <c r="AA12" i="37"/>
  <c r="S12" i="37"/>
  <c r="AA17" i="39"/>
  <c r="S17" i="39"/>
  <c r="D102" i="43"/>
  <c r="D103" i="43"/>
  <c r="D107" i="43"/>
  <c r="D104" i="43"/>
  <c r="T10" i="1"/>
  <c r="AQ10" i="1"/>
  <c r="AB16" i="36"/>
  <c r="U16" i="36"/>
  <c r="W30" i="35"/>
  <c r="AC30" i="35"/>
  <c r="G102" i="43"/>
  <c r="G106" i="43"/>
  <c r="G107" i="43"/>
  <c r="U41" i="34"/>
  <c r="AB41" i="34"/>
  <c r="AZ503" i="3"/>
  <c r="AZ555" i="3"/>
  <c r="S12" i="40"/>
  <c r="AA12" i="40"/>
  <c r="B77" i="43"/>
  <c r="C25" i="39"/>
  <c r="B67" i="43"/>
  <c r="J13" i="36"/>
  <c r="F13" i="36"/>
  <c r="H13" i="36"/>
  <c r="S35" i="37"/>
  <c r="AA35" i="37"/>
  <c r="S41" i="39"/>
  <c r="AA41" i="39"/>
  <c r="J28" i="33"/>
  <c r="F28" i="33"/>
  <c r="U12" i="33"/>
  <c r="AB12" i="33"/>
  <c r="L106" i="43"/>
  <c r="L107" i="43"/>
  <c r="D9" i="11"/>
  <c r="C9" i="11" s="1"/>
  <c r="D19" i="12"/>
  <c r="C19" i="12" s="1"/>
  <c r="E10" i="6"/>
  <c r="E8" i="6"/>
  <c r="S22" i="31"/>
  <c r="AZ521" i="3"/>
  <c r="AA46" i="33"/>
  <c r="S46" i="33"/>
  <c r="AZ308" i="3"/>
  <c r="AA29" i="34"/>
  <c r="S29" i="34"/>
  <c r="S23" i="36"/>
  <c r="AA23" i="36"/>
  <c r="S38" i="39"/>
  <c r="AA38" i="39"/>
  <c r="S32" i="37"/>
  <c r="AZ175" i="3"/>
  <c r="W28" i="37"/>
  <c r="AC28" i="37"/>
  <c r="U26" i="33"/>
  <c r="AB26" i="33"/>
  <c r="AA11" i="21"/>
  <c r="S11" i="21"/>
  <c r="AB41" i="33"/>
  <c r="U41" i="33"/>
  <c r="C105" i="43"/>
  <c r="C102" i="43"/>
  <c r="C103" i="43"/>
  <c r="S27" i="40"/>
  <c r="AA27" i="40"/>
  <c r="AZ16" i="3"/>
  <c r="AZ363" i="3"/>
  <c r="AA15" i="39"/>
  <c r="AZ499" i="3"/>
  <c r="AA17" i="21"/>
  <c r="S31" i="34"/>
  <c r="S14" i="34"/>
  <c r="S26" i="33"/>
  <c r="AA26" i="33"/>
  <c r="AB34" i="35"/>
  <c r="U34" i="35"/>
  <c r="AZ501" i="3"/>
  <c r="AZ583" i="3"/>
  <c r="AC36" i="37"/>
  <c r="W36" i="37"/>
  <c r="AB28" i="36"/>
  <c r="U28" i="36"/>
  <c r="U46" i="34"/>
  <c r="AB46" i="34"/>
  <c r="C27" i="39"/>
  <c r="B54" i="43"/>
  <c r="F12" i="36"/>
  <c r="H12" i="36"/>
  <c r="J12" i="36"/>
  <c r="AZ548" i="3"/>
  <c r="AZ545" i="3"/>
  <c r="AZ525" i="3"/>
  <c r="AZ518" i="3"/>
  <c r="AZ511" i="3"/>
  <c r="AZ510" i="3"/>
  <c r="AZ507" i="3"/>
  <c r="AZ505" i="3"/>
  <c r="AZ498" i="3"/>
  <c r="E13" i="6"/>
  <c r="E11" i="6"/>
  <c r="AZ496" i="3"/>
  <c r="H104" i="43"/>
  <c r="H105" i="43"/>
  <c r="W39" i="39"/>
  <c r="N102" i="43"/>
  <c r="N106" i="43"/>
  <c r="N107" i="43"/>
  <c r="AZ389" i="3"/>
  <c r="W15" i="39"/>
  <c r="AZ535" i="3"/>
  <c r="AZ559" i="3"/>
  <c r="S11" i="35"/>
  <c r="AA11" i="35"/>
  <c r="W29" i="33"/>
  <c r="AC29" i="33"/>
  <c r="AC37" i="34"/>
  <c r="W37" i="34"/>
  <c r="J14" i="21"/>
  <c r="F14" i="21"/>
  <c r="H31" i="21"/>
  <c r="H9" i="35"/>
  <c r="J9" i="35"/>
  <c r="F39" i="37"/>
  <c r="H39" i="37"/>
  <c r="AA34" i="39"/>
  <c r="BA558" i="3"/>
  <c r="AZ558" i="3" s="1"/>
  <c r="G552" i="3"/>
  <c r="BL548" i="3"/>
  <c r="AB10" i="37"/>
  <c r="U10" i="37"/>
  <c r="AZ155" i="3"/>
  <c r="AZ532" i="3"/>
  <c r="U33" i="40"/>
  <c r="W25" i="34"/>
  <c r="AC25" i="34"/>
  <c r="AC35" i="34"/>
  <c r="W35" i="34"/>
  <c r="AB22" i="35"/>
  <c r="U22" i="35"/>
  <c r="AA31" i="21"/>
  <c r="S31" i="21"/>
  <c r="U8" i="40"/>
  <c r="AB8" i="40"/>
  <c r="AB31" i="35"/>
  <c r="U31" i="35"/>
  <c r="AC30" i="36"/>
  <c r="W30" i="36"/>
  <c r="BA584" i="3"/>
  <c r="AZ584" i="3" s="1"/>
  <c r="BA582" i="3"/>
  <c r="AZ582" i="3" s="1"/>
  <c r="AZ581" i="3"/>
  <c r="AZ577" i="3"/>
  <c r="AZ574" i="3"/>
  <c r="G574" i="3"/>
  <c r="BL572" i="3"/>
  <c r="AZ572" i="3" s="1"/>
  <c r="BA568" i="3"/>
  <c r="AZ568" i="3" s="1"/>
  <c r="BA567" i="3"/>
  <c r="AZ567" i="3" s="1"/>
  <c r="G567" i="3"/>
  <c r="BA566" i="3"/>
  <c r="AZ566" i="3" s="1"/>
  <c r="BA565" i="3"/>
  <c r="AZ565" i="3" s="1"/>
  <c r="BA563" i="3"/>
  <c r="AZ563" i="3" s="1"/>
  <c r="BA561" i="3"/>
  <c r="AZ561" i="3" s="1"/>
  <c r="BA560" i="3"/>
  <c r="AZ560" i="3" s="1"/>
  <c r="BL559" i="3"/>
  <c r="BA557" i="3"/>
  <c r="AZ557" i="3" s="1"/>
  <c r="BL556" i="3"/>
  <c r="BA556" i="3"/>
  <c r="AZ556" i="3" s="1"/>
  <c r="BL552" i="3"/>
  <c r="AZ552" i="3" s="1"/>
  <c r="J106" i="43"/>
  <c r="J107" i="43"/>
  <c r="AZ361" i="3"/>
  <c r="AZ309" i="3"/>
  <c r="AZ571" i="3"/>
  <c r="BA585" i="3"/>
  <c r="AZ585" i="3" s="1"/>
  <c r="AB34" i="36"/>
  <c r="U34" i="36"/>
  <c r="B71" i="43"/>
  <c r="C21" i="39"/>
  <c r="J12" i="40"/>
  <c r="H12" i="40"/>
  <c r="J45" i="21"/>
  <c r="F45" i="21"/>
  <c r="J34" i="35"/>
  <c r="F36" i="39"/>
  <c r="J36" i="39"/>
  <c r="H36" i="39"/>
  <c r="AB28" i="37"/>
  <c r="AC11" i="35"/>
  <c r="W11" i="35"/>
  <c r="AC9" i="40"/>
  <c r="W41" i="33"/>
  <c r="H30" i="33"/>
  <c r="F30" i="33"/>
  <c r="H14" i="37"/>
  <c r="J14" i="37"/>
  <c r="F14" i="37"/>
  <c r="AC25" i="37"/>
  <c r="W25" i="37"/>
  <c r="AC32" i="40"/>
  <c r="H35" i="39"/>
  <c r="J35" i="39"/>
  <c r="BL576" i="3"/>
  <c r="AZ576" i="3" s="1"/>
  <c r="AA25" i="35"/>
  <c r="S17" i="40"/>
  <c r="BR5" i="3"/>
  <c r="G28" i="6" s="1"/>
  <c r="G30" i="6" s="1"/>
  <c r="G31" i="6" s="1"/>
  <c r="BO5" i="3"/>
  <c r="BL494" i="3"/>
  <c r="AZ494" i="3" s="1"/>
  <c r="W30" i="34"/>
  <c r="AA15" i="34"/>
  <c r="F9" i="34"/>
  <c r="J35" i="35"/>
  <c r="F35" i="35"/>
  <c r="AB35" i="34"/>
  <c r="AA44" i="33"/>
  <c r="AC44" i="39"/>
  <c r="AB41" i="21"/>
  <c r="AB40" i="33"/>
  <c r="J26" i="37"/>
  <c r="H26" i="37"/>
  <c r="BL404" i="3"/>
  <c r="BA408" i="3"/>
  <c r="AZ408" i="3" s="1"/>
  <c r="BL432" i="3"/>
  <c r="AZ432" i="3" s="1"/>
  <c r="AZ239" i="3"/>
  <c r="J23" i="35"/>
  <c r="J12" i="33"/>
  <c r="H25" i="37"/>
  <c r="AZ439" i="3"/>
  <c r="AZ469" i="3"/>
  <c r="F38" i="40"/>
  <c r="J38" i="40"/>
  <c r="H38" i="40"/>
  <c r="BL16" i="3"/>
  <c r="AZ400" i="3"/>
  <c r="AZ430" i="3"/>
  <c r="BL433" i="3"/>
  <c r="AZ433" i="3" s="1"/>
  <c r="F9" i="36"/>
  <c r="BA399" i="3"/>
  <c r="AZ399" i="3" s="1"/>
  <c r="BA406" i="3"/>
  <c r="AZ406" i="3" s="1"/>
  <c r="BA409" i="3"/>
  <c r="AZ409" i="3" s="1"/>
  <c r="BA413" i="3"/>
  <c r="BA415" i="3"/>
  <c r="AZ415" i="3" s="1"/>
  <c r="BA419" i="3"/>
  <c r="AZ419" i="3" s="1"/>
  <c r="AZ420" i="3"/>
  <c r="BA421" i="3"/>
  <c r="AZ421" i="3" s="1"/>
  <c r="AZ423" i="3"/>
  <c r="G426" i="3"/>
  <c r="AZ448" i="3"/>
  <c r="BL550" i="3"/>
  <c r="AZ550" i="3" s="1"/>
  <c r="BA404" i="3"/>
  <c r="AZ404" i="3" s="1"/>
  <c r="BA405" i="3"/>
  <c r="AZ405" i="3" s="1"/>
  <c r="AZ467" i="3"/>
  <c r="AZ488" i="3"/>
  <c r="G570" i="3"/>
  <c r="BL398" i="3"/>
  <c r="AZ398" i="3" s="1"/>
  <c r="BL399" i="3"/>
  <c r="BL413" i="3"/>
  <c r="G418" i="3"/>
  <c r="BA418" i="3"/>
  <c r="AZ418" i="3" s="1"/>
  <c r="BA403" i="3"/>
  <c r="AZ403" i="3" s="1"/>
  <c r="BA411" i="3"/>
  <c r="BA429" i="3"/>
  <c r="AZ429" i="3" s="1"/>
  <c r="BA434" i="3"/>
  <c r="AZ434" i="3" s="1"/>
  <c r="BA435" i="3"/>
  <c r="AZ435" i="3" s="1"/>
  <c r="BL472" i="3"/>
  <c r="BL410" i="3"/>
  <c r="AZ410" i="3" s="1"/>
  <c r="BL428" i="3"/>
  <c r="AZ428" i="3" s="1"/>
  <c r="AZ464" i="3"/>
  <c r="BL477" i="3"/>
  <c r="AZ477" i="3" s="1"/>
  <c r="BA217" i="3"/>
  <c r="AZ282" i="3"/>
  <c r="AZ18" i="3"/>
  <c r="BL411" i="3"/>
  <c r="BA417" i="3"/>
  <c r="AZ417" i="3" s="1"/>
  <c r="BA425" i="3"/>
  <c r="AZ425" i="3" s="1"/>
  <c r="BL434" i="3"/>
  <c r="BA438" i="3"/>
  <c r="AZ438" i="3" s="1"/>
  <c r="BL312" i="3"/>
  <c r="AZ312" i="3" s="1"/>
  <c r="AZ332" i="3"/>
  <c r="AZ395" i="3"/>
  <c r="AZ236" i="3"/>
  <c r="BL407" i="3"/>
  <c r="AZ407" i="3" s="1"/>
  <c r="BL424" i="3"/>
  <c r="AZ424" i="3" s="1"/>
  <c r="BA426" i="3"/>
  <c r="AZ426" i="3" s="1"/>
  <c r="G436" i="3"/>
  <c r="BA441" i="3"/>
  <c r="AZ441" i="3" s="1"/>
  <c r="BA442" i="3"/>
  <c r="AZ442" i="3" s="1"/>
  <c r="BA447" i="3"/>
  <c r="AZ447" i="3" s="1"/>
  <c r="BL456" i="3"/>
  <c r="AZ456" i="3" s="1"/>
  <c r="BA474" i="3"/>
  <c r="BL480" i="3"/>
  <c r="AZ480" i="3" s="1"/>
  <c r="BA483" i="3"/>
  <c r="AZ483" i="3" s="1"/>
  <c r="BA485" i="3"/>
  <c r="AZ485" i="3" s="1"/>
  <c r="BA486" i="3"/>
  <c r="AZ486" i="3" s="1"/>
  <c r="BL346" i="3"/>
  <c r="AZ346" i="3" s="1"/>
  <c r="BA354" i="3"/>
  <c r="AZ354" i="3" s="1"/>
  <c r="BL216" i="3"/>
  <c r="AZ216" i="3" s="1"/>
  <c r="AZ300" i="3"/>
  <c r="BL417" i="3"/>
  <c r="BL425" i="3"/>
  <c r="G437" i="3"/>
  <c r="BL437" i="3"/>
  <c r="AZ437" i="3" s="1"/>
  <c r="BA444" i="3"/>
  <c r="AZ444" i="3" s="1"/>
  <c r="BA445" i="3"/>
  <c r="AZ445" i="3" s="1"/>
  <c r="BA449" i="3"/>
  <c r="AZ449" i="3" s="1"/>
  <c r="BA450" i="3"/>
  <c r="AZ450" i="3" s="1"/>
  <c r="BA462" i="3"/>
  <c r="AZ462" i="3" s="1"/>
  <c r="BA465" i="3"/>
  <c r="AZ465" i="3" s="1"/>
  <c r="BA468" i="3"/>
  <c r="AZ468" i="3" s="1"/>
  <c r="AZ484" i="3"/>
  <c r="BA319" i="3"/>
  <c r="AZ319" i="3" s="1"/>
  <c r="BL381" i="3"/>
  <c r="AZ381" i="3" s="1"/>
  <c r="BA230" i="3"/>
  <c r="BA237" i="3"/>
  <c r="AZ255" i="3"/>
  <c r="AZ289" i="3"/>
  <c r="AZ290" i="3"/>
  <c r="BA401" i="3"/>
  <c r="AZ401" i="3" s="1"/>
  <c r="G405" i="3"/>
  <c r="G409" i="3"/>
  <c r="BA414" i="3"/>
  <c r="AZ414" i="3" s="1"/>
  <c r="G422" i="3"/>
  <c r="G440" i="3"/>
  <c r="BA440" i="3"/>
  <c r="AZ440" i="3" s="1"/>
  <c r="BA446" i="3"/>
  <c r="BL446" i="3"/>
  <c r="BA452" i="3"/>
  <c r="AZ452" i="3" s="1"/>
  <c r="BA455" i="3"/>
  <c r="AZ455" i="3" s="1"/>
  <c r="BA459" i="3"/>
  <c r="AZ459" i="3" s="1"/>
  <c r="AZ470" i="3"/>
  <c r="BL473" i="3"/>
  <c r="AZ473" i="3" s="1"/>
  <c r="BA482" i="3"/>
  <c r="AZ482" i="3" s="1"/>
  <c r="BL489" i="3"/>
  <c r="AZ210" i="3"/>
  <c r="G469" i="3"/>
  <c r="BL482" i="3"/>
  <c r="BL314" i="3"/>
  <c r="BL330" i="3"/>
  <c r="AZ330" i="3" s="1"/>
  <c r="BA335" i="3"/>
  <c r="AZ335" i="3" s="1"/>
  <c r="BL350" i="3"/>
  <c r="AZ350" i="3" s="1"/>
  <c r="G351" i="3"/>
  <c r="BA358" i="3"/>
  <c r="AZ358" i="3" s="1"/>
  <c r="BL386" i="3"/>
  <c r="AZ386" i="3" s="1"/>
  <c r="BA397" i="3"/>
  <c r="AZ397" i="3" s="1"/>
  <c r="BL210" i="3"/>
  <c r="BL217" i="3"/>
  <c r="BL227" i="3"/>
  <c r="AZ227" i="3" s="1"/>
  <c r="G228" i="3"/>
  <c r="BA240" i="3"/>
  <c r="AZ240" i="3" s="1"/>
  <c r="BL284" i="3"/>
  <c r="AZ284" i="3" s="1"/>
  <c r="BL155" i="3"/>
  <c r="BA392" i="3"/>
  <c r="AZ392" i="3" s="1"/>
  <c r="BA213" i="3"/>
  <c r="AZ213" i="3" s="1"/>
  <c r="BA233" i="3"/>
  <c r="AZ233" i="3" s="1"/>
  <c r="BL234" i="3"/>
  <c r="BA243" i="3"/>
  <c r="AZ243" i="3" s="1"/>
  <c r="AZ274" i="3"/>
  <c r="BA275" i="3"/>
  <c r="AZ275" i="3" s="1"/>
  <c r="BL282" i="3"/>
  <c r="BA117" i="3"/>
  <c r="AZ117" i="3" s="1"/>
  <c r="AZ118" i="3"/>
  <c r="AZ126" i="3"/>
  <c r="AZ177" i="3"/>
  <c r="BA461" i="3"/>
  <c r="AZ461" i="3" s="1"/>
  <c r="BA489" i="3"/>
  <c r="BA307" i="3"/>
  <c r="AZ307" i="3" s="1"/>
  <c r="BA323" i="3"/>
  <c r="AZ323" i="3" s="1"/>
  <c r="BA367" i="3"/>
  <c r="BL368" i="3"/>
  <c r="BL212" i="3"/>
  <c r="BL215" i="3"/>
  <c r="AZ215" i="3" s="1"/>
  <c r="BA218" i="3"/>
  <c r="AZ218" i="3" s="1"/>
  <c r="BA219" i="3"/>
  <c r="AZ219" i="3" s="1"/>
  <c r="BA222" i="3"/>
  <c r="AZ222" i="3" s="1"/>
  <c r="G234" i="3"/>
  <c r="BL242" i="3"/>
  <c r="BL244" i="3"/>
  <c r="AZ244" i="3" s="1"/>
  <c r="BA273" i="3"/>
  <c r="AZ273" i="3" s="1"/>
  <c r="BA285" i="3"/>
  <c r="AZ285" i="3" s="1"/>
  <c r="BA125" i="3"/>
  <c r="AZ125" i="3" s="1"/>
  <c r="BL126" i="3"/>
  <c r="G127" i="3"/>
  <c r="AZ205" i="3"/>
  <c r="AZ207" i="3"/>
  <c r="P56" i="71"/>
  <c r="E55" i="71"/>
  <c r="C20" i="71"/>
  <c r="D19" i="71"/>
  <c r="BL460" i="3"/>
  <c r="AZ460" i="3" s="1"/>
  <c r="BA475" i="3"/>
  <c r="AZ475" i="3" s="1"/>
  <c r="BL488" i="3"/>
  <c r="BL308" i="3"/>
  <c r="BL324" i="3"/>
  <c r="AZ324" i="3" s="1"/>
  <c r="BA366" i="3"/>
  <c r="AZ366" i="3" s="1"/>
  <c r="BL367" i="3"/>
  <c r="BA388" i="3"/>
  <c r="AZ388" i="3" s="1"/>
  <c r="BA220" i="3"/>
  <c r="AZ220" i="3" s="1"/>
  <c r="BA221" i="3"/>
  <c r="AZ221" i="3" s="1"/>
  <c r="BL236" i="3"/>
  <c r="G242" i="3"/>
  <c r="BL251" i="3"/>
  <c r="BA257" i="3"/>
  <c r="AZ257" i="3" s="1"/>
  <c r="BL260" i="3"/>
  <c r="AZ260" i="3" s="1"/>
  <c r="AZ267" i="3"/>
  <c r="BA270" i="3"/>
  <c r="AZ270" i="3" s="1"/>
  <c r="BA281" i="3"/>
  <c r="AZ281" i="3" s="1"/>
  <c r="BL287" i="3"/>
  <c r="BA292" i="3"/>
  <c r="BA114" i="3"/>
  <c r="BL474" i="3"/>
  <c r="BL353" i="3"/>
  <c r="BL365" i="3"/>
  <c r="AZ365" i="3" s="1"/>
  <c r="BA258" i="3"/>
  <c r="AZ258" i="3" s="1"/>
  <c r="AZ262" i="3"/>
  <c r="G455" i="3"/>
  <c r="BA472" i="3"/>
  <c r="AZ472" i="3" s="1"/>
  <c r="G307" i="3"/>
  <c r="BA316" i="3"/>
  <c r="AZ316" i="3" s="1"/>
  <c r="G323" i="3"/>
  <c r="BL363" i="3"/>
  <c r="BA211" i="3"/>
  <c r="BA225" i="3"/>
  <c r="AZ225" i="3" s="1"/>
  <c r="G258" i="3"/>
  <c r="BA261" i="3"/>
  <c r="AZ261" i="3" s="1"/>
  <c r="BL265" i="3"/>
  <c r="G271" i="3"/>
  <c r="BL291" i="3"/>
  <c r="AZ291" i="3" s="1"/>
  <c r="BL293" i="3"/>
  <c r="BL300" i="3"/>
  <c r="BL302" i="3"/>
  <c r="AZ302" i="3" s="1"/>
  <c r="BA137" i="3"/>
  <c r="BA42" i="3"/>
  <c r="AZ42" i="3" s="1"/>
  <c r="G148" i="3"/>
  <c r="BA181" i="3"/>
  <c r="AZ193" i="3"/>
  <c r="G198" i="3"/>
  <c r="BL54" i="3"/>
  <c r="BL97" i="3"/>
  <c r="AZ98" i="3"/>
  <c r="AZ99" i="3"/>
  <c r="BL100" i="3"/>
  <c r="BL253" i="3"/>
  <c r="AZ253" i="3" s="1"/>
  <c r="BL267" i="3"/>
  <c r="BL289" i="3"/>
  <c r="BL296" i="3"/>
  <c r="AZ296" i="3" s="1"/>
  <c r="BL114" i="3"/>
  <c r="BA166" i="3"/>
  <c r="AZ166" i="3" s="1"/>
  <c r="BL181" i="3"/>
  <c r="AZ54" i="3"/>
  <c r="AZ70" i="3"/>
  <c r="AC12" i="43"/>
  <c r="AC13" i="43" s="1"/>
  <c r="AC10" i="43"/>
  <c r="BL223" i="3"/>
  <c r="AZ223" i="3" s="1"/>
  <c r="BL237" i="3"/>
  <c r="BA247" i="3"/>
  <c r="AZ247" i="3" s="1"/>
  <c r="BA248" i="3"/>
  <c r="AZ248" i="3" s="1"/>
  <c r="BL254" i="3"/>
  <c r="AZ254" i="3" s="1"/>
  <c r="G255" i="3"/>
  <c r="BL261" i="3"/>
  <c r="BA277" i="3"/>
  <c r="BA278" i="3"/>
  <c r="AZ278" i="3" s="1"/>
  <c r="BL290" i="3"/>
  <c r="BA165" i="3"/>
  <c r="AZ165" i="3" s="1"/>
  <c r="BA168" i="3"/>
  <c r="AZ168" i="3" s="1"/>
  <c r="BL177" i="3"/>
  <c r="BL179" i="3"/>
  <c r="AZ179" i="3" s="1"/>
  <c r="BL182" i="3"/>
  <c r="AZ182" i="3" s="1"/>
  <c r="AZ185" i="3"/>
  <c r="BA190" i="3"/>
  <c r="AZ38" i="3"/>
  <c r="AZ78" i="3"/>
  <c r="AZ91" i="3"/>
  <c r="P74" i="77"/>
  <c r="P61" i="77"/>
  <c r="BA212" i="3"/>
  <c r="BL218" i="3"/>
  <c r="BL224" i="3"/>
  <c r="AZ224" i="3" s="1"/>
  <c r="BL230" i="3"/>
  <c r="BA241" i="3"/>
  <c r="BA242" i="3"/>
  <c r="AZ242" i="3" s="1"/>
  <c r="BL246" i="3"/>
  <c r="AZ246" i="3" s="1"/>
  <c r="BA264" i="3"/>
  <c r="BA265" i="3"/>
  <c r="BA271" i="3"/>
  <c r="BA272" i="3"/>
  <c r="AZ272" i="3" s="1"/>
  <c r="BL276" i="3"/>
  <c r="AZ276" i="3" s="1"/>
  <c r="BA122" i="3"/>
  <c r="BA129" i="3"/>
  <c r="BA133" i="3"/>
  <c r="BA134" i="3"/>
  <c r="BA136" i="3"/>
  <c r="AZ136" i="3" s="1"/>
  <c r="BA149" i="3"/>
  <c r="BA150" i="3"/>
  <c r="AZ150" i="3" s="1"/>
  <c r="BA154" i="3"/>
  <c r="AZ154" i="3" s="1"/>
  <c r="BA157" i="3"/>
  <c r="AZ157" i="3" s="1"/>
  <c r="BA160" i="3"/>
  <c r="AZ160" i="3" s="1"/>
  <c r="BA162" i="3"/>
  <c r="AZ162" i="3" s="1"/>
  <c r="BA164" i="3"/>
  <c r="AZ164" i="3" s="1"/>
  <c r="BL166" i="3"/>
  <c r="BL167" i="3"/>
  <c r="AZ167" i="3" s="1"/>
  <c r="BL171" i="3"/>
  <c r="AZ171" i="3" s="1"/>
  <c r="BL175" i="3"/>
  <c r="BA24" i="3"/>
  <c r="BA26" i="3"/>
  <c r="AZ68" i="3"/>
  <c r="AZ73" i="3"/>
  <c r="F62" i="77"/>
  <c r="BA339" i="3"/>
  <c r="AZ339" i="3" s="1"/>
  <c r="BA353" i="3"/>
  <c r="AZ353" i="3" s="1"/>
  <c r="BA368" i="3"/>
  <c r="AZ368" i="3" s="1"/>
  <c r="BA234" i="3"/>
  <c r="BA235" i="3"/>
  <c r="AZ235" i="3" s="1"/>
  <c r="BL247" i="3"/>
  <c r="BL263" i="3"/>
  <c r="AZ263" i="3" s="1"/>
  <c r="BL277" i="3"/>
  <c r="BA287" i="3"/>
  <c r="AZ287" i="3" s="1"/>
  <c r="BA288" i="3"/>
  <c r="AZ288" i="3" s="1"/>
  <c r="BA293" i="3"/>
  <c r="BA294" i="3"/>
  <c r="AZ294" i="3" s="1"/>
  <c r="BL121" i="3"/>
  <c r="AZ121" i="3" s="1"/>
  <c r="BA124" i="3"/>
  <c r="AZ124" i="3" s="1"/>
  <c r="BA128" i="3"/>
  <c r="AZ128" i="3" s="1"/>
  <c r="BA132" i="3"/>
  <c r="AZ132" i="3" s="1"/>
  <c r="BA138" i="3"/>
  <c r="AZ138" i="3" s="1"/>
  <c r="BA145" i="3"/>
  <c r="AZ145" i="3" s="1"/>
  <c r="BA148" i="3"/>
  <c r="AZ148" i="3" s="1"/>
  <c r="BA153" i="3"/>
  <c r="AZ153" i="3" s="1"/>
  <c r="BA156" i="3"/>
  <c r="AZ156" i="3" s="1"/>
  <c r="BA161" i="3"/>
  <c r="AZ161" i="3" s="1"/>
  <c r="BL174" i="3"/>
  <c r="AZ174" i="3" s="1"/>
  <c r="BL194" i="3"/>
  <c r="AZ194" i="3" s="1"/>
  <c r="BA19" i="3"/>
  <c r="AZ19" i="3" s="1"/>
  <c r="BA22" i="3"/>
  <c r="AZ22" i="3" s="1"/>
  <c r="BA25" i="3"/>
  <c r="AZ25" i="3" s="1"/>
  <c r="BL27" i="3"/>
  <c r="BL30" i="3"/>
  <c r="BL33" i="3"/>
  <c r="BA51" i="3"/>
  <c r="BL58" i="3"/>
  <c r="BL76" i="3"/>
  <c r="AZ90" i="3"/>
  <c r="BL93" i="3"/>
  <c r="BL101" i="3"/>
  <c r="AZ101" i="3" s="1"/>
  <c r="BA110" i="3"/>
  <c r="T25" i="71"/>
  <c r="D25" i="71"/>
  <c r="D16" i="71"/>
  <c r="C15" i="71"/>
  <c r="D15" i="71" s="1"/>
  <c r="BL340" i="3"/>
  <c r="AZ340" i="3" s="1"/>
  <c r="BA352" i="3"/>
  <c r="AZ352" i="3" s="1"/>
  <c r="BL393" i="3"/>
  <c r="AZ393" i="3" s="1"/>
  <c r="BL395" i="3"/>
  <c r="G396" i="3"/>
  <c r="BL211" i="3"/>
  <c r="G212" i="3"/>
  <c r="BA228" i="3"/>
  <c r="AZ228" i="3" s="1"/>
  <c r="BL241" i="3"/>
  <c r="BA251" i="3"/>
  <c r="AZ251" i="3" s="1"/>
  <c r="BA252" i="3"/>
  <c r="AZ252" i="3" s="1"/>
  <c r="BA259" i="3"/>
  <c r="AZ259" i="3" s="1"/>
  <c r="BL264" i="3"/>
  <c r="BL271" i="3"/>
  <c r="BL292" i="3"/>
  <c r="G300" i="3"/>
  <c r="BL122" i="3"/>
  <c r="BL129" i="3"/>
  <c r="BL133" i="3"/>
  <c r="BL134" i="3"/>
  <c r="BL137" i="3"/>
  <c r="G138" i="3"/>
  <c r="BA144" i="3"/>
  <c r="AZ144" i="3" s="1"/>
  <c r="BL149" i="3"/>
  <c r="BL151" i="3"/>
  <c r="AZ151" i="3" s="1"/>
  <c r="BL154" i="3"/>
  <c r="BL157" i="3"/>
  <c r="BL162" i="3"/>
  <c r="BL183" i="3"/>
  <c r="AZ183" i="3" s="1"/>
  <c r="BA197" i="3"/>
  <c r="BA200" i="3"/>
  <c r="AZ200" i="3" s="1"/>
  <c r="BA204" i="3"/>
  <c r="AZ204" i="3" s="1"/>
  <c r="BL24" i="3"/>
  <c r="BL36" i="3"/>
  <c r="AZ36" i="3" s="1"/>
  <c r="AZ46" i="3"/>
  <c r="BA58" i="3"/>
  <c r="BA88" i="3"/>
  <c r="T49" i="71"/>
  <c r="BA192" i="3"/>
  <c r="AZ192" i="3" s="1"/>
  <c r="BL206" i="3"/>
  <c r="AZ206" i="3" s="1"/>
  <c r="BL23" i="3"/>
  <c r="AZ23" i="3" s="1"/>
  <c r="BA27" i="3"/>
  <c r="AZ27" i="3" s="1"/>
  <c r="BL35" i="3"/>
  <c r="AZ35" i="3" s="1"/>
  <c r="BL46" i="3"/>
  <c r="BA48" i="3"/>
  <c r="AZ48" i="3" s="1"/>
  <c r="BA52" i="3"/>
  <c r="AZ52" i="3" s="1"/>
  <c r="AZ56" i="3"/>
  <c r="BL65" i="3"/>
  <c r="AZ65" i="3" s="1"/>
  <c r="G84" i="3"/>
  <c r="BL84" i="3"/>
  <c r="AZ84" i="3" s="1"/>
  <c r="BA87" i="3"/>
  <c r="AZ87" i="3" s="1"/>
  <c r="BL95" i="3"/>
  <c r="BA100" i="3"/>
  <c r="AZ100" i="3" s="1"/>
  <c r="D100" i="43"/>
  <c r="D108" i="43"/>
  <c r="D109" i="43" s="1"/>
  <c r="C25" i="40"/>
  <c r="B86" i="43"/>
  <c r="AB16" i="71"/>
  <c r="F17" i="71"/>
  <c r="F16" i="71" s="1"/>
  <c r="F15" i="71" s="1"/>
  <c r="AB14" i="71"/>
  <c r="AB13" i="71"/>
  <c r="AB15" i="71"/>
  <c r="Y24" i="71"/>
  <c r="Z24" i="71" s="1"/>
  <c r="Y22" i="71"/>
  <c r="Z22" i="71" s="1"/>
  <c r="Y21" i="71"/>
  <c r="Z21" i="71" s="1"/>
  <c r="Y23" i="71"/>
  <c r="Z23" i="71" s="1"/>
  <c r="Y15" i="71"/>
  <c r="Z15" i="71" s="1"/>
  <c r="AB7" i="71"/>
  <c r="AB5" i="71"/>
  <c r="BL178" i="3"/>
  <c r="AZ178" i="3" s="1"/>
  <c r="G179" i="3"/>
  <c r="BL191" i="3"/>
  <c r="AZ191" i="3" s="1"/>
  <c r="G202" i="3"/>
  <c r="BL202" i="3"/>
  <c r="AZ202" i="3" s="1"/>
  <c r="BL18" i="3"/>
  <c r="BA21" i="3"/>
  <c r="AZ21" i="3" s="1"/>
  <c r="BL38" i="3"/>
  <c r="BA40" i="3"/>
  <c r="AZ40" i="3" s="1"/>
  <c r="BA41" i="3"/>
  <c r="AZ41" i="3" s="1"/>
  <c r="BL47" i="3"/>
  <c r="AZ47" i="3" s="1"/>
  <c r="BL66" i="3"/>
  <c r="AZ66" i="3" s="1"/>
  <c r="BL69" i="3"/>
  <c r="AZ69" i="3" s="1"/>
  <c r="BL78" i="3"/>
  <c r="BL83" i="3"/>
  <c r="AZ83" i="3" s="1"/>
  <c r="BA89" i="3"/>
  <c r="AZ89" i="3" s="1"/>
  <c r="BL99" i="3"/>
  <c r="BA104" i="3"/>
  <c r="AZ104" i="3" s="1"/>
  <c r="AA18" i="71"/>
  <c r="AA17" i="71"/>
  <c r="AA19" i="71"/>
  <c r="AA14" i="71"/>
  <c r="AB26" i="71"/>
  <c r="D31" i="71"/>
  <c r="C32" i="71"/>
  <c r="C68" i="71"/>
  <c r="D69" i="71"/>
  <c r="Y14" i="71"/>
  <c r="Z14" i="71" s="1"/>
  <c r="Y13" i="71"/>
  <c r="Z13" i="71" s="1"/>
  <c r="BL190" i="3"/>
  <c r="BA198" i="3"/>
  <c r="AZ198" i="3" s="1"/>
  <c r="BL26" i="3"/>
  <c r="BA43" i="3"/>
  <c r="BA45" i="3"/>
  <c r="AZ45" i="3" s="1"/>
  <c r="BL51" i="3"/>
  <c r="BL55" i="3"/>
  <c r="AZ55" i="3" s="1"/>
  <c r="BA61" i="3"/>
  <c r="AZ61" i="3" s="1"/>
  <c r="BA64" i="3"/>
  <c r="AZ64" i="3" s="1"/>
  <c r="BL71" i="3"/>
  <c r="AZ71" i="3" s="1"/>
  <c r="BL72" i="3"/>
  <c r="AZ72" i="3" s="1"/>
  <c r="BA75" i="3"/>
  <c r="BL88" i="3"/>
  <c r="BA93" i="3"/>
  <c r="AZ93" i="3" s="1"/>
  <c r="BL112" i="3"/>
  <c r="AZ112" i="3" s="1"/>
  <c r="W29" i="39"/>
  <c r="AC29" i="39"/>
  <c r="S21" i="34"/>
  <c r="AA21" i="34"/>
  <c r="X24" i="71"/>
  <c r="X21" i="71"/>
  <c r="BL173" i="3"/>
  <c r="AZ173" i="3" s="1"/>
  <c r="G174" i="3"/>
  <c r="BA186" i="3"/>
  <c r="AZ186" i="3" s="1"/>
  <c r="BL19" i="3"/>
  <c r="BL28" i="3"/>
  <c r="AZ28" i="3" s="1"/>
  <c r="BA30" i="3"/>
  <c r="AZ30" i="3" s="1"/>
  <c r="BA31" i="3"/>
  <c r="AZ31" i="3" s="1"/>
  <c r="BA34" i="3"/>
  <c r="AZ34" i="3" s="1"/>
  <c r="BL39" i="3"/>
  <c r="AZ39" i="3" s="1"/>
  <c r="BL57" i="3"/>
  <c r="AZ57" i="3" s="1"/>
  <c r="BA77" i="3"/>
  <c r="AZ77" i="3" s="1"/>
  <c r="BA81" i="3"/>
  <c r="AZ81" i="3" s="1"/>
  <c r="BL92" i="3"/>
  <c r="BL98" i="3"/>
  <c r="G103" i="3"/>
  <c r="BL103" i="3"/>
  <c r="AZ103" i="3" s="1"/>
  <c r="BA108" i="3"/>
  <c r="AZ108" i="3" s="1"/>
  <c r="C40" i="68"/>
  <c r="C21" i="68"/>
  <c r="C29" i="68" s="1"/>
  <c r="D27" i="68" s="1"/>
  <c r="P27" i="6"/>
  <c r="E16" i="71"/>
  <c r="E15" i="71" s="1"/>
  <c r="V17" i="71"/>
  <c r="Y16" i="71"/>
  <c r="Z16" i="71" s="1"/>
  <c r="Y7" i="71"/>
  <c r="Z7" i="71" s="1"/>
  <c r="BA169" i="3"/>
  <c r="AZ169" i="3" s="1"/>
  <c r="G196" i="3"/>
  <c r="BL197" i="3"/>
  <c r="G30" i="3"/>
  <c r="BA33" i="3"/>
  <c r="AZ33" i="3" s="1"/>
  <c r="G44" i="3"/>
  <c r="BL44" i="3"/>
  <c r="G60" i="3"/>
  <c r="BA63" i="3"/>
  <c r="AZ63" i="3" s="1"/>
  <c r="BL70" i="3"/>
  <c r="BA76" i="3"/>
  <c r="BA79" i="3"/>
  <c r="AZ79" i="3" s="1"/>
  <c r="BA92" i="3"/>
  <c r="AZ92" i="3" s="1"/>
  <c r="BA95" i="3"/>
  <c r="AZ95" i="3" s="1"/>
  <c r="BL105" i="3"/>
  <c r="AZ105" i="3" s="1"/>
  <c r="BA109" i="3"/>
  <c r="AZ109" i="3" s="1"/>
  <c r="B7" i="1"/>
  <c r="E7" i="1" s="1"/>
  <c r="AB17" i="71"/>
  <c r="C41" i="71"/>
  <c r="D40" i="71"/>
  <c r="AA12" i="71"/>
  <c r="BL63" i="3"/>
  <c r="G64" i="3"/>
  <c r="BL75" i="3"/>
  <c r="BL80" i="3"/>
  <c r="BA85" i="3"/>
  <c r="AZ85" i="3" s="1"/>
  <c r="BA97" i="3"/>
  <c r="AZ97" i="3" s="1"/>
  <c r="BL102" i="3"/>
  <c r="AZ102" i="3" s="1"/>
  <c r="G107" i="3"/>
  <c r="T53" i="71"/>
  <c r="D53" i="71"/>
  <c r="Y18" i="71"/>
  <c r="Z18" i="71" s="1"/>
  <c r="AB25" i="71"/>
  <c r="AB21" i="71"/>
  <c r="AB24" i="71"/>
  <c r="AB23" i="71"/>
  <c r="AB20" i="71"/>
  <c r="AB10" i="71"/>
  <c r="BL49" i="3"/>
  <c r="AZ49" i="3" s="1"/>
  <c r="G69" i="3"/>
  <c r="BL86" i="3"/>
  <c r="AZ86" i="3" s="1"/>
  <c r="G105" i="3"/>
  <c r="G110" i="3"/>
  <c r="BL110" i="3"/>
  <c r="R8" i="1"/>
  <c r="B8" i="1"/>
  <c r="E8" i="1" s="1"/>
  <c r="AA18" i="36"/>
  <c r="S18" i="36"/>
  <c r="D73" i="71"/>
  <c r="C72" i="71"/>
  <c r="X14" i="71"/>
  <c r="AA10" i="71"/>
  <c r="AB6" i="71"/>
  <c r="BA44" i="3"/>
  <c r="AZ44" i="3" s="1"/>
  <c r="BL62" i="3"/>
  <c r="AZ62" i="3" s="1"/>
  <c r="BA80" i="3"/>
  <c r="AZ80" i="3" s="1"/>
  <c r="G1" i="77"/>
  <c r="F3" i="35"/>
  <c r="E59" i="43"/>
  <c r="B57" i="43" s="1"/>
  <c r="X16" i="71"/>
  <c r="X17" i="71"/>
  <c r="B17" i="71"/>
  <c r="X15" i="71"/>
  <c r="AA23" i="71"/>
  <c r="P61" i="15"/>
  <c r="P74" i="15"/>
  <c r="G14" i="3"/>
  <c r="X11" i="71"/>
  <c r="X6" i="71"/>
  <c r="X10" i="71"/>
  <c r="BL43" i="3"/>
  <c r="BA60" i="3"/>
  <c r="AZ60" i="3" s="1"/>
  <c r="G79" i="3"/>
  <c r="G99" i="3"/>
  <c r="AB21" i="34"/>
  <c r="F29" i="71"/>
  <c r="E32" i="71"/>
  <c r="E33" i="71" s="1"/>
  <c r="U33" i="71" s="1"/>
  <c r="T61" i="71"/>
  <c r="C60" i="71"/>
  <c r="D61" i="71"/>
  <c r="AA13" i="71"/>
  <c r="AA15" i="71"/>
  <c r="Y11" i="71"/>
  <c r="Z11" i="71" s="1"/>
  <c r="Y10" i="71"/>
  <c r="Z10" i="71" s="1"/>
  <c r="Y12" i="71"/>
  <c r="Z12" i="71" s="1"/>
  <c r="D24" i="77"/>
  <c r="D23" i="77"/>
  <c r="BL59" i="3"/>
  <c r="AZ59" i="3" s="1"/>
  <c r="G76" i="3"/>
  <c r="G96" i="3"/>
  <c r="AA3" i="71"/>
  <c r="Y17" i="71"/>
  <c r="Z17" i="71" s="1"/>
  <c r="Y19" i="71"/>
  <c r="Z19" i="71" s="1"/>
  <c r="AB18" i="71"/>
  <c r="AB19" i="71"/>
  <c r="C44" i="71"/>
  <c r="D43" i="71"/>
  <c r="G13" i="3"/>
  <c r="BL14" i="3"/>
  <c r="X7" i="71"/>
  <c r="E20" i="71"/>
  <c r="E21" i="71" s="1"/>
  <c r="U21" i="71" s="1"/>
  <c r="X26" i="71"/>
  <c r="E41" i="71"/>
  <c r="U41" i="71" s="1"/>
  <c r="BA14" i="3"/>
  <c r="AZ14" i="3" s="1"/>
  <c r="AA6" i="71"/>
  <c r="L1" i="73"/>
  <c r="J1" i="73"/>
  <c r="G100" i="43"/>
  <c r="E24" i="71"/>
  <c r="E25" i="71" s="1"/>
  <c r="U25" i="71" s="1"/>
  <c r="B27" i="71"/>
  <c r="B28" i="71" s="1"/>
  <c r="B29" i="71" s="1"/>
  <c r="S29" i="71" s="1"/>
  <c r="AA22" i="71"/>
  <c r="Y26" i="71"/>
  <c r="Z26" i="71" s="1"/>
  <c r="Y25" i="71"/>
  <c r="Z25" i="71" s="1"/>
  <c r="F36" i="71"/>
  <c r="F37" i="71" s="1"/>
  <c r="V37" i="71" s="1"/>
  <c r="B56" i="71"/>
  <c r="AA7" i="71"/>
  <c r="C19" i="43"/>
  <c r="X19" i="71"/>
  <c r="Y20" i="71"/>
  <c r="Z20" i="71" s="1"/>
  <c r="AB27" i="71"/>
  <c r="BA13" i="3"/>
  <c r="AA11" i="71"/>
  <c r="Y5" i="71"/>
  <c r="Z5" i="71" s="1"/>
  <c r="Y3" i="71"/>
  <c r="Z3" i="71" s="1"/>
  <c r="E1" i="73"/>
  <c r="AA16" i="71"/>
  <c r="E28" i="71"/>
  <c r="E29" i="71" s="1"/>
  <c r="U29" i="71" s="1"/>
  <c r="AA20" i="71"/>
  <c r="X20" i="71"/>
  <c r="X22" i="71"/>
  <c r="X23" i="71"/>
  <c r="AA25" i="71"/>
  <c r="AB12" i="71"/>
  <c r="AA5" i="71"/>
  <c r="X5" i="71"/>
  <c r="N56" i="9"/>
  <c r="AD10" i="43"/>
  <c r="V13" i="71"/>
  <c r="K56" i="9"/>
  <c r="C14" i="67"/>
  <c r="C16" i="15"/>
  <c r="C17" i="67"/>
  <c r="C16" i="67"/>
  <c r="M21" i="67"/>
  <c r="F35" i="67"/>
  <c r="K4" i="4" l="1"/>
  <c r="B46" i="48" s="1"/>
  <c r="B4" i="72" s="1"/>
  <c r="F63" i="67"/>
  <c r="C62" i="67" s="1"/>
  <c r="C34" i="67"/>
  <c r="J20" i="67"/>
  <c r="C18" i="67"/>
  <c r="C15" i="67"/>
  <c r="J18" i="15"/>
  <c r="J18" i="67"/>
  <c r="C59" i="71"/>
  <c r="D59" i="71" s="1"/>
  <c r="D60" i="71"/>
  <c r="E69" i="3"/>
  <c r="W12" i="40"/>
  <c r="AC12" i="40"/>
  <c r="W28" i="33"/>
  <c r="AC28" i="33"/>
  <c r="AC13" i="36"/>
  <c r="W13" i="36"/>
  <c r="AZ446" i="3"/>
  <c r="AC36" i="39"/>
  <c r="W36" i="39"/>
  <c r="AB39" i="37"/>
  <c r="U39" i="37"/>
  <c r="M87" i="43"/>
  <c r="N87" i="43" s="1"/>
  <c r="K87" i="43"/>
  <c r="J87" i="43" s="1"/>
  <c r="D87" i="43" s="1"/>
  <c r="D125" i="9"/>
  <c r="D11" i="52" s="1"/>
  <c r="H14" i="74"/>
  <c r="B7" i="74" s="1"/>
  <c r="D10" i="52"/>
  <c r="AC7" i="36"/>
  <c r="V36" i="36" s="1"/>
  <c r="I36" i="36" s="1"/>
  <c r="W7" i="36"/>
  <c r="L46" i="15"/>
  <c r="S17" i="71"/>
  <c r="B16" i="71"/>
  <c r="B15" i="71" s="1"/>
  <c r="AZ75" i="3"/>
  <c r="AZ43" i="3"/>
  <c r="D32" i="71"/>
  <c r="C33" i="71"/>
  <c r="AZ114" i="3"/>
  <c r="W12" i="33"/>
  <c r="AC12" i="33"/>
  <c r="AB35" i="39"/>
  <c r="U35" i="39"/>
  <c r="U30" i="33"/>
  <c r="AB30" i="33"/>
  <c r="S36" i="39"/>
  <c r="AA36" i="39"/>
  <c r="S39" i="37"/>
  <c r="AA39" i="37"/>
  <c r="S12" i="36"/>
  <c r="AA12" i="36"/>
  <c r="M82" i="43"/>
  <c r="N82" i="43" s="1"/>
  <c r="K82" i="43"/>
  <c r="J82" i="43" s="1"/>
  <c r="U7" i="34"/>
  <c r="AB7" i="34"/>
  <c r="T49" i="34" s="1"/>
  <c r="G49" i="34" s="1"/>
  <c r="E550" i="3"/>
  <c r="U7" i="36"/>
  <c r="AB7" i="36"/>
  <c r="T36" i="36" s="1"/>
  <c r="G36" i="36" s="1"/>
  <c r="F1" i="15"/>
  <c r="Q52" i="15"/>
  <c r="AB36" i="39"/>
  <c r="U36" i="39"/>
  <c r="AA7" i="36"/>
  <c r="R36" i="36" s="1"/>
  <c r="S7" i="36"/>
  <c r="D68" i="71"/>
  <c r="C67" i="71"/>
  <c r="D67" i="71" s="1"/>
  <c r="AC35" i="39"/>
  <c r="W35" i="39"/>
  <c r="AC7" i="34"/>
  <c r="V49" i="34" s="1"/>
  <c r="I49" i="34" s="1"/>
  <c r="W7" i="34"/>
  <c r="Q52" i="67"/>
  <c r="F1" i="67"/>
  <c r="AZ88" i="3"/>
  <c r="AZ197" i="3"/>
  <c r="E138" i="3"/>
  <c r="AZ51" i="3"/>
  <c r="AZ149" i="3"/>
  <c r="AZ271" i="3"/>
  <c r="AZ190" i="3"/>
  <c r="AZ137" i="3"/>
  <c r="E455" i="3"/>
  <c r="AZ292" i="3"/>
  <c r="AZ413" i="3"/>
  <c r="W23" i="35"/>
  <c r="AC23" i="35"/>
  <c r="W34" i="35"/>
  <c r="AC34" i="35"/>
  <c r="W9" i="35"/>
  <c r="AC9" i="35"/>
  <c r="M85" i="43"/>
  <c r="N85" i="43" s="1"/>
  <c r="K85" i="43"/>
  <c r="J85" i="43" s="1"/>
  <c r="F7" i="21"/>
  <c r="AA7" i="34"/>
  <c r="R49" i="34" s="1"/>
  <c r="S7" i="34"/>
  <c r="C49" i="15"/>
  <c r="Q74" i="67"/>
  <c r="Q61" i="67"/>
  <c r="AZ122" i="3"/>
  <c r="AZ181" i="3"/>
  <c r="E228" i="3"/>
  <c r="C29" i="11"/>
  <c r="D27" i="11" s="1"/>
  <c r="C47" i="11"/>
  <c r="D45" i="11" s="1"/>
  <c r="BL5" i="3"/>
  <c r="M19" i="43"/>
  <c r="V29" i="71"/>
  <c r="AZ265" i="3"/>
  <c r="AZ212" i="3"/>
  <c r="AZ277" i="3"/>
  <c r="AZ367" i="3"/>
  <c r="AZ217" i="3"/>
  <c r="AB38" i="40"/>
  <c r="U38" i="40"/>
  <c r="AA45" i="21"/>
  <c r="S45" i="21"/>
  <c r="AB9" i="35"/>
  <c r="U9" i="35"/>
  <c r="M81" i="43"/>
  <c r="N81" i="43" s="1"/>
  <c r="K81" i="43"/>
  <c r="H7" i="21"/>
  <c r="F30" i="6"/>
  <c r="H48" i="35"/>
  <c r="Q61" i="15"/>
  <c r="Q74" i="15"/>
  <c r="P55" i="71"/>
  <c r="P54" i="71"/>
  <c r="AB25" i="37"/>
  <c r="U25" i="37"/>
  <c r="AA30" i="33"/>
  <c r="S30" i="33"/>
  <c r="E574" i="3"/>
  <c r="U12" i="36"/>
  <c r="AB12" i="36"/>
  <c r="W7" i="21"/>
  <c r="AC7" i="21"/>
  <c r="V48" i="21" s="1"/>
  <c r="I48" i="21" s="1"/>
  <c r="N56" i="71"/>
  <c r="B55" i="71"/>
  <c r="AZ13" i="3"/>
  <c r="BA5" i="3"/>
  <c r="E27" i="6" s="1"/>
  <c r="G5" i="3"/>
  <c r="B3" i="3" s="1"/>
  <c r="E307" i="3" s="1"/>
  <c r="E96" i="3"/>
  <c r="E76" i="3"/>
  <c r="E99" i="3"/>
  <c r="E110" i="3"/>
  <c r="D41" i="71"/>
  <c r="T41" i="71"/>
  <c r="E30" i="3"/>
  <c r="AZ58" i="3"/>
  <c r="AZ110" i="3"/>
  <c r="AZ134" i="3"/>
  <c r="AZ264" i="3"/>
  <c r="AZ211" i="3"/>
  <c r="E234" i="3"/>
  <c r="AZ237" i="3"/>
  <c r="E426" i="3"/>
  <c r="AC38" i="40"/>
  <c r="W38" i="40"/>
  <c r="W45" i="21"/>
  <c r="AC45" i="21"/>
  <c r="AB31" i="21"/>
  <c r="U31" i="21"/>
  <c r="E61" i="39"/>
  <c r="E56" i="40"/>
  <c r="M84" i="43"/>
  <c r="N84" i="43" s="1"/>
  <c r="K84" i="43"/>
  <c r="J84" i="43" s="1"/>
  <c r="M88" i="43"/>
  <c r="N88" i="43" s="1"/>
  <c r="K88" i="43"/>
  <c r="E28" i="6"/>
  <c r="AZ549" i="3"/>
  <c r="G68" i="39"/>
  <c r="F70" i="39"/>
  <c r="Q60" i="15"/>
  <c r="Q73" i="15"/>
  <c r="AZ24" i="3"/>
  <c r="AZ241" i="3"/>
  <c r="C21" i="71"/>
  <c r="D20" i="71"/>
  <c r="AB14" i="37"/>
  <c r="U14" i="37"/>
  <c r="AZ76" i="3"/>
  <c r="AZ234" i="3"/>
  <c r="AZ133" i="3"/>
  <c r="E255" i="3"/>
  <c r="E198" i="3"/>
  <c r="E127" i="3"/>
  <c r="E409" i="3"/>
  <c r="AZ230" i="3"/>
  <c r="AZ411" i="3"/>
  <c r="AA38" i="40"/>
  <c r="S38" i="40"/>
  <c r="AB26" i="37"/>
  <c r="U26" i="37"/>
  <c r="AA35" i="35"/>
  <c r="S35" i="35"/>
  <c r="AA14" i="37"/>
  <c r="S14" i="37"/>
  <c r="E552" i="3"/>
  <c r="S14" i="21"/>
  <c r="AA14" i="21"/>
  <c r="E58" i="40"/>
  <c r="E63" i="39"/>
  <c r="S4" i="43"/>
  <c r="S5" i="43"/>
  <c r="S6" i="43"/>
  <c r="S7" i="43"/>
  <c r="S2" i="43"/>
  <c r="C23" i="43"/>
  <c r="S3" i="43"/>
  <c r="B20" i="31"/>
  <c r="R22" i="31"/>
  <c r="B21" i="31" s="1"/>
  <c r="AB13" i="36"/>
  <c r="U13" i="36"/>
  <c r="M83" i="43"/>
  <c r="N83" i="43" s="1"/>
  <c r="K83" i="43"/>
  <c r="I58" i="33"/>
  <c r="J58" i="33" s="1"/>
  <c r="K58" i="33" s="1"/>
  <c r="L58" i="33" s="1"/>
  <c r="M58" i="33" s="1"/>
  <c r="N58" i="33" s="1"/>
  <c r="O58" i="33" s="1"/>
  <c r="F7" i="33"/>
  <c r="J7" i="37"/>
  <c r="E14" i="6"/>
  <c r="E16" i="6" s="1"/>
  <c r="E12" i="6"/>
  <c r="E15" i="6"/>
  <c r="C49" i="67"/>
  <c r="Q73" i="67"/>
  <c r="Q60" i="67"/>
  <c r="AA9" i="34"/>
  <c r="S9" i="34"/>
  <c r="AC12" i="36"/>
  <c r="W12" i="36"/>
  <c r="AA7" i="37"/>
  <c r="R42" i="37" s="1"/>
  <c r="S7" i="37"/>
  <c r="D10" i="71"/>
  <c r="C9" i="71"/>
  <c r="C45" i="71"/>
  <c r="D44" i="71"/>
  <c r="E79" i="3"/>
  <c r="D72" i="71"/>
  <c r="C71" i="71"/>
  <c r="D71" i="71" s="1"/>
  <c r="E196" i="3"/>
  <c r="C47" i="68"/>
  <c r="D45" i="68" s="1"/>
  <c r="E174" i="3"/>
  <c r="E202" i="3"/>
  <c r="E84" i="3"/>
  <c r="AZ293" i="3"/>
  <c r="AZ26" i="3"/>
  <c r="AZ129" i="3"/>
  <c r="E323" i="3"/>
  <c r="AZ489" i="3"/>
  <c r="E351" i="3"/>
  <c r="E405" i="3"/>
  <c r="AZ474" i="3"/>
  <c r="AA9" i="36"/>
  <c r="S9" i="36"/>
  <c r="AC26" i="37"/>
  <c r="W26" i="37"/>
  <c r="AC35" i="35"/>
  <c r="W35" i="35"/>
  <c r="W14" i="37"/>
  <c r="AC14" i="37"/>
  <c r="AB12" i="40"/>
  <c r="U12" i="40"/>
  <c r="W14" i="21"/>
  <c r="AC14" i="21"/>
  <c r="F27" i="6"/>
  <c r="F31" i="6" s="1"/>
  <c r="E51" i="40"/>
  <c r="E56" i="39"/>
  <c r="AA28" i="33"/>
  <c r="S28" i="33"/>
  <c r="AA13" i="36"/>
  <c r="S13" i="36"/>
  <c r="F65" i="40"/>
  <c r="G63" i="40"/>
  <c r="H7" i="37"/>
  <c r="D113" i="43"/>
  <c r="C32" i="15"/>
  <c r="C33" i="15"/>
  <c r="Q57" i="15"/>
  <c r="Q66" i="15"/>
  <c r="C32" i="67"/>
  <c r="F6" i="73"/>
  <c r="F16" i="77"/>
  <c r="F26" i="77"/>
  <c r="L47" i="77"/>
  <c r="M28" i="77"/>
  <c r="F7" i="77"/>
  <c r="D6" i="73"/>
  <c r="F5" i="73"/>
  <c r="M6" i="77"/>
  <c r="F42" i="77"/>
  <c r="F3" i="73"/>
  <c r="F6" i="77"/>
  <c r="M22" i="77"/>
  <c r="M9" i="77"/>
  <c r="D7" i="73"/>
  <c r="F7" i="73"/>
  <c r="F13" i="77"/>
  <c r="AE6" i="1"/>
  <c r="F41" i="15" s="1"/>
  <c r="M8" i="77"/>
  <c r="F36" i="77"/>
  <c r="L48" i="77"/>
  <c r="F40" i="77"/>
  <c r="D4" i="73"/>
  <c r="J15" i="77"/>
  <c r="C76" i="77"/>
  <c r="F8" i="77"/>
  <c r="D3" i="73"/>
  <c r="F9" i="77"/>
  <c r="M26" i="77"/>
  <c r="M23" i="77"/>
  <c r="M27" i="77"/>
  <c r="M29" i="77"/>
  <c r="D5" i="73"/>
  <c r="F4" i="73"/>
  <c r="F37" i="77"/>
  <c r="F38" i="77"/>
  <c r="M24" i="77"/>
  <c r="F43" i="77"/>
  <c r="C19" i="67" l="1"/>
  <c r="C20" i="67" s="1"/>
  <c r="F71" i="77"/>
  <c r="F66" i="77"/>
  <c r="F65" i="77"/>
  <c r="I1" i="73"/>
  <c r="B39" i="1" s="1"/>
  <c r="K1" i="73"/>
  <c r="F51" i="77"/>
  <c r="Q71" i="77"/>
  <c r="E20" i="43"/>
  <c r="F68" i="77"/>
  <c r="L60" i="77"/>
  <c r="J53" i="77"/>
  <c r="J60" i="77"/>
  <c r="Q48" i="77" s="1"/>
  <c r="L57" i="77"/>
  <c r="L56" i="77"/>
  <c r="I54" i="77"/>
  <c r="J57" i="77"/>
  <c r="J55" i="77" s="1"/>
  <c r="J58" i="77" s="1"/>
  <c r="Q50" i="77" s="1"/>
  <c r="J59" i="77"/>
  <c r="F64" i="77"/>
  <c r="F69" i="15"/>
  <c r="C6" i="77"/>
  <c r="M7" i="77"/>
  <c r="J6" i="77" s="1"/>
  <c r="F50" i="77"/>
  <c r="L58" i="77"/>
  <c r="N59" i="77"/>
  <c r="L59" i="77"/>
  <c r="M59" i="77"/>
  <c r="C27" i="77"/>
  <c r="I40" i="36"/>
  <c r="J40" i="36" s="1"/>
  <c r="I41" i="36"/>
  <c r="J41" i="36" s="1"/>
  <c r="U7" i="21"/>
  <c r="AB7" i="21"/>
  <c r="T48" i="21" s="1"/>
  <c r="G48" i="21" s="1"/>
  <c r="E49" i="34"/>
  <c r="R50" i="34"/>
  <c r="K20" i="6"/>
  <c r="K23" i="6"/>
  <c r="M23" i="6" s="1"/>
  <c r="I23" i="6" s="1"/>
  <c r="S23" i="6" s="1"/>
  <c r="E30" i="6"/>
  <c r="K25" i="6"/>
  <c r="M25" i="6" s="1"/>
  <c r="I25" i="6" s="1"/>
  <c r="S25" i="6" s="1"/>
  <c r="K21" i="6"/>
  <c r="M21" i="6" s="1"/>
  <c r="I21" i="6" s="1"/>
  <c r="S21" i="6" s="1"/>
  <c r="K24" i="6"/>
  <c r="M24" i="6" s="1"/>
  <c r="I24" i="6" s="1"/>
  <c r="S24" i="6" s="1"/>
  <c r="K26" i="6"/>
  <c r="M26" i="6" s="1"/>
  <c r="I26" i="6" s="1"/>
  <c r="S26" i="6" s="1"/>
  <c r="K14" i="1"/>
  <c r="K22" i="6"/>
  <c r="M22" i="6" s="1"/>
  <c r="I22" i="6" s="1"/>
  <c r="S22" i="6" s="1"/>
  <c r="K19" i="6"/>
  <c r="E570" i="3"/>
  <c r="E64" i="3"/>
  <c r="AA7" i="21"/>
  <c r="R48" i="21" s="1"/>
  <c r="S7" i="21"/>
  <c r="E258" i="3"/>
  <c r="S7" i="33"/>
  <c r="AA7" i="33"/>
  <c r="R48" i="33" s="1"/>
  <c r="G53" i="34"/>
  <c r="H53" i="34" s="1"/>
  <c r="G54" i="34"/>
  <c r="H54" i="34" s="1"/>
  <c r="E31" i="6"/>
  <c r="J7" i="33"/>
  <c r="E44" i="3"/>
  <c r="E418" i="3"/>
  <c r="E271" i="3"/>
  <c r="E437" i="3"/>
  <c r="E103" i="3"/>
  <c r="H7" i="33"/>
  <c r="U7" i="37"/>
  <c r="AB7" i="37"/>
  <c r="T42" i="37" s="1"/>
  <c r="G42" i="37" s="1"/>
  <c r="R43" i="37"/>
  <c r="E42" i="37"/>
  <c r="E60" i="40"/>
  <c r="E65" i="39"/>
  <c r="J83" i="43"/>
  <c r="D83" i="43"/>
  <c r="D21" i="71"/>
  <c r="T21" i="71"/>
  <c r="J88" i="43"/>
  <c r="D88" i="43"/>
  <c r="E567" i="3"/>
  <c r="E469" i="3"/>
  <c r="E13" i="3"/>
  <c r="AZ5" i="3"/>
  <c r="E396" i="3"/>
  <c r="E107" i="3"/>
  <c r="T45" i="71"/>
  <c r="D45" i="71"/>
  <c r="R37" i="36"/>
  <c r="E36" i="36"/>
  <c r="H63" i="40"/>
  <c r="G65" i="40"/>
  <c r="E57" i="40"/>
  <c r="E62" i="39"/>
  <c r="E66" i="39" s="1"/>
  <c r="D29" i="43"/>
  <c r="D1" i="43" s="1"/>
  <c r="E175" i="3"/>
  <c r="E530" i="3"/>
  <c r="E343" i="3"/>
  <c r="E261" i="3"/>
  <c r="E183" i="3"/>
  <c r="E361" i="3"/>
  <c r="E503" i="3"/>
  <c r="E431" i="3"/>
  <c r="E247" i="3"/>
  <c r="AN6" i="3"/>
  <c r="E402" i="3"/>
  <c r="E301" i="3"/>
  <c r="E159" i="3"/>
  <c r="E120" i="3"/>
  <c r="E277" i="3"/>
  <c r="E133" i="3"/>
  <c r="K6" i="3"/>
  <c r="Q6" i="3"/>
  <c r="E472" i="3"/>
  <c r="E304" i="3"/>
  <c r="E395" i="3"/>
  <c r="E445" i="3"/>
  <c r="E302" i="3"/>
  <c r="AA6" i="3"/>
  <c r="E461" i="3"/>
  <c r="E285" i="3"/>
  <c r="E293" i="3"/>
  <c r="E270" i="3"/>
  <c r="E568" i="3"/>
  <c r="E434" i="3"/>
  <c r="E320" i="3"/>
  <c r="E263" i="3"/>
  <c r="E216" i="3"/>
  <c r="E156" i="3"/>
  <c r="E91" i="3"/>
  <c r="E45" i="3"/>
  <c r="E204" i="3"/>
  <c r="E173" i="3"/>
  <c r="E312" i="3"/>
  <c r="E585" i="3"/>
  <c r="E564" i="3"/>
  <c r="E502" i="3"/>
  <c r="E458" i="3"/>
  <c r="E485" i="3"/>
  <c r="P6" i="3"/>
  <c r="E400" i="3"/>
  <c r="E443" i="3"/>
  <c r="E345" i="3"/>
  <c r="E558" i="3"/>
  <c r="E557" i="3"/>
  <c r="E581" i="3"/>
  <c r="E531" i="3"/>
  <c r="E444" i="3"/>
  <c r="E489" i="3"/>
  <c r="E404" i="3"/>
  <c r="E28" i="3"/>
  <c r="E88" i="3"/>
  <c r="E70" i="3"/>
  <c r="E182" i="3"/>
  <c r="E166" i="3"/>
  <c r="E211" i="3"/>
  <c r="E295" i="3"/>
  <c r="E273" i="3"/>
  <c r="E316" i="3"/>
  <c r="E377" i="3"/>
  <c r="E334" i="3"/>
  <c r="E572" i="3"/>
  <c r="E109" i="3"/>
  <c r="E480" i="3"/>
  <c r="E484" i="3"/>
  <c r="E467" i="3"/>
  <c r="E46" i="3"/>
  <c r="E160" i="3"/>
  <c r="E200" i="3"/>
  <c r="E249" i="3"/>
  <c r="E371" i="3"/>
  <c r="E492" i="3"/>
  <c r="E33" i="3"/>
  <c r="E184" i="3"/>
  <c r="E355" i="3"/>
  <c r="E68" i="3"/>
  <c r="E81" i="3"/>
  <c r="E264" i="3"/>
  <c r="E309" i="3"/>
  <c r="E21" i="3"/>
  <c r="E114" i="3"/>
  <c r="E563" i="3"/>
  <c r="E213" i="3"/>
  <c r="E237" i="3"/>
  <c r="E501" i="3"/>
  <c r="E322" i="3"/>
  <c r="E415" i="3"/>
  <c r="E282" i="3"/>
  <c r="E328" i="3"/>
  <c r="E545" i="3"/>
  <c r="E399" i="3"/>
  <c r="E246" i="3"/>
  <c r="E128" i="3"/>
  <c r="E314" i="3"/>
  <c r="E518" i="3"/>
  <c r="E536" i="3"/>
  <c r="E382" i="3"/>
  <c r="E244" i="3"/>
  <c r="E169" i="3"/>
  <c r="E254" i="3"/>
  <c r="E161" i="3"/>
  <c r="E252" i="3"/>
  <c r="E167" i="3"/>
  <c r="E519" i="3"/>
  <c r="E534" i="3"/>
  <c r="E515" i="3"/>
  <c r="E442" i="3"/>
  <c r="E398" i="3"/>
  <c r="E424" i="3"/>
  <c r="E477" i="3"/>
  <c r="E376" i="3"/>
  <c r="AP6" i="3"/>
  <c r="E571" i="3"/>
  <c r="E494" i="3"/>
  <c r="E460" i="3"/>
  <c r="E496" i="3"/>
  <c r="E447" i="3"/>
  <c r="E40" i="3"/>
  <c r="E37" i="3"/>
  <c r="E111" i="3"/>
  <c r="E155" i="3"/>
  <c r="E256" i="3"/>
  <c r="E210" i="3"/>
  <c r="E276" i="3"/>
  <c r="E363" i="3"/>
  <c r="E318" i="3"/>
  <c r="AL6" i="3"/>
  <c r="E58" i="3"/>
  <c r="E32" i="3"/>
  <c r="E441" i="3"/>
  <c r="E412" i="3"/>
  <c r="E98" i="3"/>
  <c r="E170" i="3"/>
  <c r="E220" i="3"/>
  <c r="E266" i="3"/>
  <c r="E325" i="3"/>
  <c r="E23" i="3"/>
  <c r="E34" i="3"/>
  <c r="E340" i="3"/>
  <c r="E102" i="3"/>
  <c r="E154" i="3"/>
  <c r="E265" i="3"/>
  <c r="E513" i="3"/>
  <c r="E125" i="3"/>
  <c r="E268" i="3"/>
  <c r="E535" i="3"/>
  <c r="E539" i="3"/>
  <c r="E569" i="3"/>
  <c r="E280" i="3"/>
  <c r="E151" i="3"/>
  <c r="E385" i="3"/>
  <c r="E523" i="3"/>
  <c r="E578" i="3"/>
  <c r="E387" i="3"/>
  <c r="E294" i="3"/>
  <c r="E189" i="3"/>
  <c r="E188" i="3"/>
  <c r="E180" i="3"/>
  <c r="E149" i="3"/>
  <c r="E253" i="3"/>
  <c r="E141" i="3"/>
  <c r="E575" i="3"/>
  <c r="E542" i="3"/>
  <c r="E529" i="3"/>
  <c r="E464" i="3"/>
  <c r="E217" i="3"/>
  <c r="E172" i="3"/>
  <c r="O6" i="3"/>
  <c r="E510" i="3"/>
  <c r="E227" i="3"/>
  <c r="E533" i="3"/>
  <c r="E16" i="3"/>
  <c r="E538" i="3"/>
  <c r="E338" i="3"/>
  <c r="E231" i="3"/>
  <c r="E136" i="3"/>
  <c r="E135" i="3"/>
  <c r="E89" i="3"/>
  <c r="E207" i="3"/>
  <c r="E224" i="3"/>
  <c r="E576" i="3"/>
  <c r="U6" i="3"/>
  <c r="AO6" i="3"/>
  <c r="E478" i="3"/>
  <c r="E541" i="3"/>
  <c r="E408" i="3"/>
  <c r="E465" i="3"/>
  <c r="I3" i="6"/>
  <c r="E577" i="3"/>
  <c r="E419" i="3"/>
  <c r="E471" i="3"/>
  <c r="E71" i="3"/>
  <c r="E54" i="3"/>
  <c r="E131" i="3"/>
  <c r="E126" i="3"/>
  <c r="E192" i="3"/>
  <c r="E281" i="3"/>
  <c r="E274" i="3"/>
  <c r="E346" i="3"/>
  <c r="E356" i="3"/>
  <c r="E580" i="3"/>
  <c r="E75" i="3"/>
  <c r="E521" i="3"/>
  <c r="E248" i="3"/>
  <c r="E354" i="3"/>
  <c r="E86" i="3"/>
  <c r="E123" i="3"/>
  <c r="E251" i="3"/>
  <c r="E50" i="3"/>
  <c r="E176" i="3"/>
  <c r="E308" i="3"/>
  <c r="E101" i="3"/>
  <c r="E278" i="3"/>
  <c r="E153" i="3"/>
  <c r="E583" i="3"/>
  <c r="E410" i="3"/>
  <c r="E229" i="3"/>
  <c r="E514" i="3"/>
  <c r="E551" i="3"/>
  <c r="E549" i="3"/>
  <c r="E306" i="3"/>
  <c r="E215" i="3"/>
  <c r="E130" i="3"/>
  <c r="E85" i="3"/>
  <c r="E197" i="3"/>
  <c r="E286" i="3"/>
  <c r="E525" i="3"/>
  <c r="R6" i="3"/>
  <c r="E486" i="3"/>
  <c r="E527" i="3"/>
  <c r="E416" i="3"/>
  <c r="E490" i="3"/>
  <c r="E562" i="3"/>
  <c r="E500" i="3"/>
  <c r="AS6" i="3"/>
  <c r="E435" i="3"/>
  <c r="E470" i="3"/>
  <c r="E526" i="3"/>
  <c r="E17" i="3"/>
  <c r="E239" i="3"/>
  <c r="E124" i="3"/>
  <c r="E311" i="3"/>
  <c r="E559" i="3"/>
  <c r="M6" i="3"/>
  <c r="E423" i="3"/>
  <c r="E335" i="3"/>
  <c r="E230" i="3"/>
  <c r="E134" i="3"/>
  <c r="E221" i="3"/>
  <c r="E199" i="3"/>
  <c r="E369" i="3"/>
  <c r="E499" i="3"/>
  <c r="T6" i="3"/>
  <c r="E427" i="3"/>
  <c r="E487" i="3"/>
  <c r="E414" i="3"/>
  <c r="E449" i="3"/>
  <c r="E360" i="3"/>
  <c r="E587" i="3"/>
  <c r="J6" i="3"/>
  <c r="E537" i="3"/>
  <c r="E468" i="3"/>
  <c r="E401" i="3"/>
  <c r="E475" i="3"/>
  <c r="E90" i="3"/>
  <c r="E92" i="3"/>
  <c r="E152" i="3"/>
  <c r="E139" i="3"/>
  <c r="E272" i="3"/>
  <c r="E241" i="3"/>
  <c r="E332" i="3"/>
  <c r="E394" i="3"/>
  <c r="E31" i="3"/>
  <c r="E428" i="3"/>
  <c r="E65" i="3"/>
  <c r="E142" i="3"/>
  <c r="E209" i="3"/>
  <c r="E383" i="3"/>
  <c r="AQ6" i="3"/>
  <c r="E48" i="3"/>
  <c r="E232" i="3"/>
  <c r="E364" i="3"/>
  <c r="E80" i="3"/>
  <c r="E218" i="3"/>
  <c r="E373" i="3"/>
  <c r="E53" i="3"/>
  <c r="AJ6" i="3"/>
  <c r="E347" i="3"/>
  <c r="E337" i="3"/>
  <c r="AR6" i="3"/>
  <c r="E439" i="3"/>
  <c r="E245" i="3"/>
  <c r="E181" i="3"/>
  <c r="E193" i="3"/>
  <c r="E532" i="3"/>
  <c r="E448" i="3"/>
  <c r="E406" i="3"/>
  <c r="E459" i="3"/>
  <c r="E505" i="3"/>
  <c r="E498" i="3"/>
  <c r="E483" i="3"/>
  <c r="E463" i="3"/>
  <c r="E106" i="3"/>
  <c r="E115" i="3"/>
  <c r="E132" i="3"/>
  <c r="E259" i="3"/>
  <c r="E391" i="3"/>
  <c r="E389" i="3"/>
  <c r="E540" i="3"/>
  <c r="E18" i="3"/>
  <c r="E129" i="3"/>
  <c r="E267" i="3"/>
  <c r="E386" i="3"/>
  <c r="E52" i="3"/>
  <c r="E206" i="3"/>
  <c r="E381" i="3"/>
  <c r="E113" i="3"/>
  <c r="E365" i="3"/>
  <c r="E319" i="3"/>
  <c r="E516" i="3"/>
  <c r="E205" i="3"/>
  <c r="I6" i="3"/>
  <c r="E453" i="3"/>
  <c r="E122" i="3"/>
  <c r="E140" i="3"/>
  <c r="E164" i="3"/>
  <c r="Z6" i="3"/>
  <c r="E456" i="3"/>
  <c r="AH6" i="3"/>
  <c r="E517" i="3"/>
  <c r="E491" i="3"/>
  <c r="E479" i="3"/>
  <c r="E27" i="3"/>
  <c r="E146" i="3"/>
  <c r="E150" i="3"/>
  <c r="E291" i="3"/>
  <c r="E378" i="3"/>
  <c r="E47" i="3"/>
  <c r="E190" i="3"/>
  <c r="E275" i="3"/>
  <c r="E310" i="3"/>
  <c r="E24" i="3"/>
  <c r="E147" i="3"/>
  <c r="AF6" i="3"/>
  <c r="E118" i="3"/>
  <c r="E326" i="3"/>
  <c r="E366" i="3"/>
  <c r="E555" i="3"/>
  <c r="E143" i="3"/>
  <c r="AI6" i="3"/>
  <c r="E380" i="3"/>
  <c r="E191" i="3"/>
  <c r="E77" i="3"/>
  <c r="E313" i="3"/>
  <c r="E573" i="3"/>
  <c r="E466" i="3"/>
  <c r="E430" i="3"/>
  <c r="E288" i="3"/>
  <c r="W6" i="3"/>
  <c r="E413" i="3"/>
  <c r="E520" i="3"/>
  <c r="E26" i="3"/>
  <c r="E25" i="3"/>
  <c r="E162" i="3"/>
  <c r="E171" i="3"/>
  <c r="E279" i="3"/>
  <c r="E292" i="3"/>
  <c r="E317" i="3"/>
  <c r="E504" i="3"/>
  <c r="E93" i="3"/>
  <c r="E462" i="3"/>
  <c r="E195" i="3"/>
  <c r="E219" i="3"/>
  <c r="E36" i="3"/>
  <c r="E250" i="3"/>
  <c r="Y6" i="3"/>
  <c r="E158" i="3"/>
  <c r="E524" i="3"/>
  <c r="E260" i="3"/>
  <c r="E359" i="3"/>
  <c r="E358" i="3"/>
  <c r="V6" i="3"/>
  <c r="E296" i="3"/>
  <c r="E236" i="3"/>
  <c r="E238" i="3"/>
  <c r="E393" i="3"/>
  <c r="E543" i="3"/>
  <c r="E548" i="3"/>
  <c r="E367" i="3"/>
  <c r="E554" i="3"/>
  <c r="E450" i="3"/>
  <c r="E433" i="3"/>
  <c r="E56" i="3"/>
  <c r="E73" i="3"/>
  <c r="E187" i="3"/>
  <c r="E208" i="3"/>
  <c r="E226" i="3"/>
  <c r="E315" i="3"/>
  <c r="E375" i="3"/>
  <c r="E544" i="3"/>
  <c r="E43" i="3"/>
  <c r="E15" i="3"/>
  <c r="E78" i="3"/>
  <c r="E163" i="3"/>
  <c r="E324" i="3"/>
  <c r="E584" i="3"/>
  <c r="E49" i="3"/>
  <c r="E284" i="3"/>
  <c r="E63" i="3"/>
  <c r="E222" i="3"/>
  <c r="E83" i="3"/>
  <c r="E329" i="3"/>
  <c r="AK6" i="3"/>
  <c r="E61" i="3"/>
  <c r="E223" i="3"/>
  <c r="AG6" i="3"/>
  <c r="E438" i="3"/>
  <c r="AE6" i="3"/>
  <c r="E546" i="3"/>
  <c r="E41" i="3"/>
  <c r="E186" i="3"/>
  <c r="AM6" i="3"/>
  <c r="E473" i="3"/>
  <c r="E137" i="3"/>
  <c r="E392" i="3"/>
  <c r="E289" i="3"/>
  <c r="AB6" i="3"/>
  <c r="E290" i="3"/>
  <c r="E432" i="3"/>
  <c r="E547" i="3"/>
  <c r="E417" i="3"/>
  <c r="E57" i="3"/>
  <c r="E348" i="3"/>
  <c r="L6" i="3"/>
  <c r="E482" i="3"/>
  <c r="E522" i="3"/>
  <c r="E233" i="3"/>
  <c r="E287" i="3"/>
  <c r="X6" i="3"/>
  <c r="E407" i="3"/>
  <c r="E269" i="3"/>
  <c r="E145" i="3"/>
  <c r="E421" i="3"/>
  <c r="E457" i="3"/>
  <c r="E420" i="3"/>
  <c r="E108" i="3"/>
  <c r="E225" i="3"/>
  <c r="E331" i="3"/>
  <c r="E42" i="3"/>
  <c r="E425" i="3"/>
  <c r="E194" i="3"/>
  <c r="E35" i="3"/>
  <c r="E370" i="3"/>
  <c r="E283" i="3"/>
  <c r="E165" i="3"/>
  <c r="S6" i="3"/>
  <c r="E298" i="3"/>
  <c r="E379" i="3"/>
  <c r="E481" i="3"/>
  <c r="E344" i="3"/>
  <c r="E403" i="3"/>
  <c r="E55" i="3"/>
  <c r="E168" i="3"/>
  <c r="E214" i="3"/>
  <c r="E349" i="3"/>
  <c r="E29" i="3"/>
  <c r="E38" i="3"/>
  <c r="E299" i="3"/>
  <c r="E112" i="3"/>
  <c r="E20" i="3"/>
  <c r="E82" i="3"/>
  <c r="N6" i="3"/>
  <c r="E97" i="3"/>
  <c r="E511" i="3"/>
  <c r="E262" i="3"/>
  <c r="AD6" i="3"/>
  <c r="AC6" i="3" s="1"/>
  <c r="E507" i="3"/>
  <c r="E556" i="3"/>
  <c r="E452" i="3"/>
  <c r="E72" i="3"/>
  <c r="E203" i="3"/>
  <c r="E257" i="3"/>
  <c r="E362" i="3"/>
  <c r="E59" i="3"/>
  <c r="E100" i="3"/>
  <c r="E87" i="3"/>
  <c r="E19" i="3"/>
  <c r="E561" i="3"/>
  <c r="E185" i="3"/>
  <c r="E493" i="3"/>
  <c r="E512" i="3"/>
  <c r="E566" i="3"/>
  <c r="E476" i="3"/>
  <c r="E104" i="3"/>
  <c r="E119" i="3"/>
  <c r="E243" i="3"/>
  <c r="E384" i="3"/>
  <c r="E488" i="3"/>
  <c r="E339" i="3"/>
  <c r="E144" i="3"/>
  <c r="E62" i="3"/>
  <c r="E352" i="3"/>
  <c r="E374" i="3"/>
  <c r="E297" i="3"/>
  <c r="E235" i="3"/>
  <c r="E341" i="3"/>
  <c r="E397" i="3"/>
  <c r="E94" i="3"/>
  <c r="E582" i="3"/>
  <c r="E357" i="3"/>
  <c r="E66" i="3"/>
  <c r="E116" i="3"/>
  <c r="E429" i="3"/>
  <c r="E333" i="3"/>
  <c r="E67" i="3"/>
  <c r="E74" i="3"/>
  <c r="E327" i="3"/>
  <c r="E454" i="3"/>
  <c r="E565" i="3"/>
  <c r="E39" i="3"/>
  <c r="E51" i="3"/>
  <c r="E553" i="3"/>
  <c r="E390" i="3"/>
  <c r="E411" i="3"/>
  <c r="E95" i="3"/>
  <c r="E446" i="3"/>
  <c r="E368" i="3"/>
  <c r="E474" i="3"/>
  <c r="E178" i="3"/>
  <c r="E22" i="3"/>
  <c r="E336" i="3"/>
  <c r="E321" i="3"/>
  <c r="E451" i="3"/>
  <c r="E240" i="3"/>
  <c r="E560" i="3"/>
  <c r="E528" i="3"/>
  <c r="E330" i="3"/>
  <c r="E508" i="3"/>
  <c r="E121" i="3"/>
  <c r="E509" i="3"/>
  <c r="E579" i="3"/>
  <c r="E305" i="3"/>
  <c r="E353" i="3"/>
  <c r="E303" i="3"/>
  <c r="E388" i="3"/>
  <c r="E586" i="3"/>
  <c r="E495" i="3"/>
  <c r="E177" i="3"/>
  <c r="E497" i="3"/>
  <c r="E372" i="3"/>
  <c r="E157" i="3"/>
  <c r="E201" i="3"/>
  <c r="E506" i="3"/>
  <c r="E350" i="3"/>
  <c r="E342" i="3"/>
  <c r="E117" i="3"/>
  <c r="N55" i="71"/>
  <c r="N54" i="71"/>
  <c r="D81" i="43"/>
  <c r="E81" i="43" s="1"/>
  <c r="B79" i="43" s="1"/>
  <c r="C24" i="43" s="1"/>
  <c r="J81" i="43"/>
  <c r="E300" i="3"/>
  <c r="E148" i="3"/>
  <c r="E64" i="39"/>
  <c r="E59" i="40"/>
  <c r="E436" i="3"/>
  <c r="E179" i="3"/>
  <c r="E440" i="3"/>
  <c r="G41" i="36"/>
  <c r="H41" i="36" s="1"/>
  <c r="G40" i="36"/>
  <c r="H40" i="36" s="1"/>
  <c r="E212" i="3"/>
  <c r="E60" i="3"/>
  <c r="H68" i="39"/>
  <c r="G70" i="39"/>
  <c r="I53" i="34"/>
  <c r="J53" i="34" s="1"/>
  <c r="I54" i="34"/>
  <c r="J54" i="34" s="1"/>
  <c r="C8" i="71"/>
  <c r="T9" i="71"/>
  <c r="D9" i="71"/>
  <c r="U9" i="71" s="1"/>
  <c r="AC7" i="37"/>
  <c r="V42" i="37" s="1"/>
  <c r="I42" i="37" s="1"/>
  <c r="W7" i="37"/>
  <c r="E105" i="3"/>
  <c r="E14" i="3"/>
  <c r="I52" i="21"/>
  <c r="J52" i="21" s="1"/>
  <c r="I48" i="35"/>
  <c r="E422" i="3"/>
  <c r="E242" i="3"/>
  <c r="T33" i="71"/>
  <c r="D33" i="71"/>
  <c r="C16" i="77"/>
  <c r="G1" i="73"/>
  <c r="C26" i="67" l="1"/>
  <c r="B40" i="1"/>
  <c r="C32" i="77"/>
  <c r="C33" i="77"/>
  <c r="C49" i="77"/>
  <c r="H6" i="3"/>
  <c r="E6" i="3" s="1"/>
  <c r="E46" i="37"/>
  <c r="F46" i="37" s="1"/>
  <c r="E47" i="37"/>
  <c r="F47" i="37" s="1"/>
  <c r="J48" i="35"/>
  <c r="H70" i="39"/>
  <c r="I68" i="39"/>
  <c r="C43" i="37"/>
  <c r="C42" i="37"/>
  <c r="S6" i="1"/>
  <c r="M19" i="6"/>
  <c r="K27" i="6"/>
  <c r="Q74" i="77"/>
  <c r="Q61" i="77"/>
  <c r="L46" i="77"/>
  <c r="M11" i="77"/>
  <c r="F11" i="77"/>
  <c r="C53" i="77" s="1"/>
  <c r="M11" i="15"/>
  <c r="J10" i="15" s="1"/>
  <c r="J5" i="15" s="1"/>
  <c r="F11" i="15"/>
  <c r="F11" i="67"/>
  <c r="M11" i="67"/>
  <c r="J10" i="67" s="1"/>
  <c r="J5" i="67" s="1"/>
  <c r="J18" i="77"/>
  <c r="J10" i="77"/>
  <c r="J5" i="77" s="1"/>
  <c r="I46" i="37"/>
  <c r="J46" i="37" s="1"/>
  <c r="I47" i="37"/>
  <c r="J47" i="37" s="1"/>
  <c r="G47" i="37"/>
  <c r="H47" i="37" s="1"/>
  <c r="G46" i="37"/>
  <c r="H46" i="37" s="1"/>
  <c r="R49" i="33"/>
  <c r="E48" i="33"/>
  <c r="M20" i="6"/>
  <c r="I20" i="6" s="1"/>
  <c r="S20" i="6" s="1"/>
  <c r="S7" i="1"/>
  <c r="Q52" i="77"/>
  <c r="F1" i="77"/>
  <c r="H65" i="40"/>
  <c r="I63" i="40"/>
  <c r="M14" i="1"/>
  <c r="C34" i="69"/>
  <c r="K16" i="1"/>
  <c r="Q73" i="77"/>
  <c r="Q60" i="77"/>
  <c r="Q66" i="77"/>
  <c r="Q57" i="77"/>
  <c r="G53" i="21"/>
  <c r="H53" i="21" s="1"/>
  <c r="G52" i="21"/>
  <c r="H52" i="21" s="1"/>
  <c r="E40" i="36"/>
  <c r="F40" i="36" s="1"/>
  <c r="E41" i="36"/>
  <c r="F41" i="36" s="1"/>
  <c r="AY6" i="3"/>
  <c r="E3" i="6"/>
  <c r="C50" i="34"/>
  <c r="C49" i="34"/>
  <c r="E48" i="21"/>
  <c r="R49" i="21"/>
  <c r="C7" i="71"/>
  <c r="D8" i="71"/>
  <c r="C36" i="36"/>
  <c r="C37" i="36"/>
  <c r="B2" i="36" s="1"/>
  <c r="B3" i="36" s="1"/>
  <c r="AB7" i="33"/>
  <c r="T48" i="33" s="1"/>
  <c r="G48" i="33" s="1"/>
  <c r="U7" i="33"/>
  <c r="AC7" i="33"/>
  <c r="V48" i="33" s="1"/>
  <c r="I48" i="33" s="1"/>
  <c r="W7" i="33"/>
  <c r="E54" i="34"/>
  <c r="F54" i="34" s="1"/>
  <c r="E53" i="34"/>
  <c r="F53" i="34" s="1"/>
  <c r="P28" i="43"/>
  <c r="G20" i="43" s="1"/>
  <c r="O28" i="43"/>
  <c r="N28" i="43"/>
  <c r="M28" i="43"/>
  <c r="C17" i="15"/>
  <c r="AE7" i="1"/>
  <c r="F41" i="77" s="1"/>
  <c r="C17" i="77"/>
  <c r="C48" i="77" l="1"/>
  <c r="C66" i="77" s="1"/>
  <c r="F69" i="77"/>
  <c r="M18" i="9"/>
  <c r="B118" i="9" s="1"/>
  <c r="B14" i="74" s="1"/>
  <c r="B1" i="74" s="1"/>
  <c r="C17" i="4"/>
  <c r="B4" i="52" s="1"/>
  <c r="B43" i="72" s="1"/>
  <c r="D3" i="37"/>
  <c r="D19" i="11"/>
  <c r="C19" i="11" s="1"/>
  <c r="D37" i="11"/>
  <c r="C37" i="11" s="1"/>
  <c r="D3" i="34"/>
  <c r="B2" i="34" s="1"/>
  <c r="B3" i="34" s="1"/>
  <c r="E6" i="6"/>
  <c r="D14" i="12"/>
  <c r="D3" i="33"/>
  <c r="D3" i="21"/>
  <c r="L18" i="9"/>
  <c r="C20" i="43"/>
  <c r="E41" i="43"/>
  <c r="C41" i="43" s="1"/>
  <c r="H6" i="1"/>
  <c r="D3" i="6"/>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AY50" i="3"/>
  <c r="AY144" i="3"/>
  <c r="AY90" i="3"/>
  <c r="AY131" i="3"/>
  <c r="AY204" i="3"/>
  <c r="AY236" i="3"/>
  <c r="AY350" i="3"/>
  <c r="AY455" i="3"/>
  <c r="AY529" i="3"/>
  <c r="AY269" i="3"/>
  <c r="AY395" i="3"/>
  <c r="AY326" i="3"/>
  <c r="AY420" i="3"/>
  <c r="AY562" i="3"/>
  <c r="AY539" i="3"/>
  <c r="AY92" i="3"/>
  <c r="AY68" i="3"/>
  <c r="AY206" i="3"/>
  <c r="AY162" i="3"/>
  <c r="AY133" i="3"/>
  <c r="AY302" i="3"/>
  <c r="AY270" i="3"/>
  <c r="AY219" i="3"/>
  <c r="AY365" i="3"/>
  <c r="BJ6" i="3"/>
  <c r="AY72" i="3"/>
  <c r="AY166" i="3"/>
  <c r="AY279" i="3"/>
  <c r="AY215" i="3"/>
  <c r="AY333" i="3"/>
  <c r="AY308" i="3"/>
  <c r="AY457" i="3"/>
  <c r="AY406"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208" i="3"/>
  <c r="AY339" i="3"/>
  <c r="AY474" i="3"/>
  <c r="AY413" i="3"/>
  <c r="AY583" i="3"/>
  <c r="AY67" i="3"/>
  <c r="AY191" i="3"/>
  <c r="AY95" i="3"/>
  <c r="AY123" i="3"/>
  <c r="AY147" i="3"/>
  <c r="AY382" i="3"/>
  <c r="AY318" i="3"/>
  <c r="AY441" i="3"/>
  <c r="AY116" i="3"/>
  <c r="AY390" i="3"/>
  <c r="AY310" i="3"/>
  <c r="AY417" i="3"/>
  <c r="AY574" i="3"/>
  <c r="AY105" i="3"/>
  <c r="AY53" i="3"/>
  <c r="AY33" i="3"/>
  <c r="AY170" i="3"/>
  <c r="AY126" i="3"/>
  <c r="AY278" i="3"/>
  <c r="AY246" i="3"/>
  <c r="AY397" i="3"/>
  <c r="AY507" i="3"/>
  <c r="AY57" i="3"/>
  <c r="AY181" i="3"/>
  <c r="AY275" i="3"/>
  <c r="AY393" i="3"/>
  <c r="AY309" i="3"/>
  <c r="AY467" i="3"/>
  <c r="AY430" i="3"/>
  <c r="AY581" i="3"/>
  <c r="AY572" i="3"/>
  <c r="AY518" i="3"/>
  <c r="AY584" i="3"/>
  <c r="AY523" i="3"/>
  <c r="AY48" i="3"/>
  <c r="AY142" i="3"/>
  <c r="AY282" i="3"/>
  <c r="AY396" i="3"/>
  <c r="AY321" i="3"/>
  <c r="AY487" i="3"/>
  <c r="AY445" i="3"/>
  <c r="AY439" i="3"/>
  <c r="AY17" i="3"/>
  <c r="AY515" i="3"/>
  <c r="AY570" i="3"/>
  <c r="AY94" i="3"/>
  <c r="AY19" i="3"/>
  <c r="AY135" i="3"/>
  <c r="AY233" i="3"/>
  <c r="AY376" i="3"/>
  <c r="AY485" i="3"/>
  <c r="AY437" i="3"/>
  <c r="AY512" i="3"/>
  <c r="AY71" i="3"/>
  <c r="AY184" i="3"/>
  <c r="AY136" i="3"/>
  <c r="AY256" i="3"/>
  <c r="AY351" i="3"/>
  <c r="AY490" i="3"/>
  <c r="AY550" i="3"/>
  <c r="BT6" i="3"/>
  <c r="AY103" i="3"/>
  <c r="AY18" i="3"/>
  <c r="AY139" i="3"/>
  <c r="AY31" i="3"/>
  <c r="AY111" i="3"/>
  <c r="AY268" i="3"/>
  <c r="AY366" i="3"/>
  <c r="AY460" i="3"/>
  <c r="AY106" i="3"/>
  <c r="AY260" i="3"/>
  <c r="AY343" i="3"/>
  <c r="AY447" i="3"/>
  <c r="AY557" i="3"/>
  <c r="BO6" i="3"/>
  <c r="AY85" i="3"/>
  <c r="AY52" i="3"/>
  <c r="AY98" i="3"/>
  <c r="AY160" i="3"/>
  <c r="AY42" i="3"/>
  <c r="AY58" i="3"/>
  <c r="AY387" i="3"/>
  <c r="AY486" i="3"/>
  <c r="AY26" i="3"/>
  <c r="AY379" i="3"/>
  <c r="AY463" i="3"/>
  <c r="AY573" i="3"/>
  <c r="AY97" i="3"/>
  <c r="AY60" i="3"/>
  <c r="AY193" i="3"/>
  <c r="AY149" i="3"/>
  <c r="AY286" i="3"/>
  <c r="AY238" i="3"/>
  <c r="AY373" i="3"/>
  <c r="BB6" i="3"/>
  <c r="AY29" i="3"/>
  <c r="AY114" i="3"/>
  <c r="AY226" i="3"/>
  <c r="AY317" i="3"/>
  <c r="AY480" i="3"/>
  <c r="AY414" i="3"/>
  <c r="BM6" i="3"/>
  <c r="AY571" i="3"/>
  <c r="AY16" i="3"/>
  <c r="AY577" i="3"/>
  <c r="AY64" i="3"/>
  <c r="AY169" i="3"/>
  <c r="AY235" i="3"/>
  <c r="AY361" i="3"/>
  <c r="AY336" i="3"/>
  <c r="AY476" i="3"/>
  <c r="AY410" i="3"/>
  <c r="AY506" i="3"/>
  <c r="AY565" i="3"/>
  <c r="BP6" i="3"/>
  <c r="AY47" i="3"/>
  <c r="AY172" i="3"/>
  <c r="AY280" i="3"/>
  <c r="AY378" i="3"/>
  <c r="AY314" i="3"/>
  <c r="AY405" i="3"/>
  <c r="BL6" i="3"/>
  <c r="AY70" i="3"/>
  <c r="AY148" i="3"/>
  <c r="AY257" i="3"/>
  <c r="AY375" i="3"/>
  <c r="AY477" i="3"/>
  <c r="AY521" i="3"/>
  <c r="AY567" i="3"/>
  <c r="AY83" i="3"/>
  <c r="AY171" i="3"/>
  <c r="AY183" i="3"/>
  <c r="AY168" i="3"/>
  <c r="AY371" i="3"/>
  <c r="AY444" i="3"/>
  <c r="AY199" i="3"/>
  <c r="AY372" i="3"/>
  <c r="AY452" i="3"/>
  <c r="AY544" i="3"/>
  <c r="AY89" i="3"/>
  <c r="AY44" i="3"/>
  <c r="AY185" i="3"/>
  <c r="AY141" i="3"/>
  <c r="AY271" i="3"/>
  <c r="AY230" i="3"/>
  <c r="AY374" i="3"/>
  <c r="AY109" i="3"/>
  <c r="AY202" i="3"/>
  <c r="AY121" i="3"/>
  <c r="AY388" i="3"/>
  <c r="AY348" i="3"/>
  <c r="AY472" i="3"/>
  <c r="AY398" i="3"/>
  <c r="AY580" i="3"/>
  <c r="AY527" i="3"/>
  <c r="AY543" i="3"/>
  <c r="AY519" i="3"/>
  <c r="AY32" i="3"/>
  <c r="AY153" i="3"/>
  <c r="AY266" i="3"/>
  <c r="AY364" i="3"/>
  <c r="AY328" i="3"/>
  <c r="AY461" i="3"/>
  <c r="AY402" i="3"/>
  <c r="AY499" i="3"/>
  <c r="AY509" i="3"/>
  <c r="AY578" i="3"/>
  <c r="AY78" i="3"/>
  <c r="AY156" i="3"/>
  <c r="AY265" i="3"/>
  <c r="AY383" i="3"/>
  <c r="AY469" i="3"/>
  <c r="AY500" i="3"/>
  <c r="AY576" i="3"/>
  <c r="AY54" i="3"/>
  <c r="AY159" i="3"/>
  <c r="AY241" i="3"/>
  <c r="AY367" i="3"/>
  <c r="AY459" i="3"/>
  <c r="BD6" i="3"/>
  <c r="AY498" i="3"/>
  <c r="AY51" i="3"/>
  <c r="AY155" i="3"/>
  <c r="AY152" i="3"/>
  <c r="AY284" i="3"/>
  <c r="AY363" i="3"/>
  <c r="AY428" i="3"/>
  <c r="AY300" i="3"/>
  <c r="AY355" i="3"/>
  <c r="AY436" i="3"/>
  <c r="AY569" i="3"/>
  <c r="AY100" i="3"/>
  <c r="AY36" i="3"/>
  <c r="AY178" i="3"/>
  <c r="AY134" i="3"/>
  <c r="AY263" i="3"/>
  <c r="AY222" i="3"/>
  <c r="AY357" i="3"/>
  <c r="AY93" i="3"/>
  <c r="AY186" i="3"/>
  <c r="AY295" i="3"/>
  <c r="AY377" i="3"/>
  <c r="AY340" i="3"/>
  <c r="AY464" i="3"/>
  <c r="AY435" i="3"/>
  <c r="AY585" i="3"/>
  <c r="AY546" i="3"/>
  <c r="AY508" i="3"/>
  <c r="AY101" i="3"/>
  <c r="AY37" i="3"/>
  <c r="AY122" i="3"/>
  <c r="AY250" i="3"/>
  <c r="AY352" i="3"/>
  <c r="AY320" i="3"/>
  <c r="AY453" i="3"/>
  <c r="AY431" i="3"/>
  <c r="AY538" i="3"/>
  <c r="AY551" i="3"/>
  <c r="AY563" i="3"/>
  <c r="AY62" i="3"/>
  <c r="AY167" i="3"/>
  <c r="AY249" i="3"/>
  <c r="AY359" i="3"/>
  <c r="AY466" i="3"/>
  <c r="AY558" i="3"/>
  <c r="AY587" i="3"/>
  <c r="AY38" i="3"/>
  <c r="AY143" i="3"/>
  <c r="AY272" i="3"/>
  <c r="AY354" i="3"/>
  <c r="AY443" i="3"/>
  <c r="AY15" i="3"/>
  <c r="AY23" i="3"/>
  <c r="AY289" i="3"/>
  <c r="AY292" i="3"/>
  <c r="AY252" i="3"/>
  <c r="AY334" i="3"/>
  <c r="AY497" i="3"/>
  <c r="AY244" i="3"/>
  <c r="AY342" i="3"/>
  <c r="AY535" i="3"/>
  <c r="BE6" i="3"/>
  <c r="AY61" i="3"/>
  <c r="AY198" i="3"/>
  <c r="AY173" i="3"/>
  <c r="AY299" i="3"/>
  <c r="AY239" i="3"/>
  <c r="AY392" i="3"/>
  <c r="BS6" i="3"/>
  <c r="AY41" i="3"/>
  <c r="AY161" i="3"/>
  <c r="AY274" i="3"/>
  <c r="AY356" i="3"/>
  <c r="AY491" i="3"/>
  <c r="AY454" i="3"/>
  <c r="AY403" i="3"/>
  <c r="BN6" i="3"/>
  <c r="AY552" i="3"/>
  <c r="AY556" i="3"/>
  <c r="AY81" i="3"/>
  <c r="AY189" i="3"/>
  <c r="AY287" i="3"/>
  <c r="AY223" i="3"/>
  <c r="AY313" i="3"/>
  <c r="AY471" i="3"/>
  <c r="AY442" i="3"/>
  <c r="AY399" i="3"/>
  <c r="AY524" i="3"/>
  <c r="BR6" i="3"/>
  <c r="AY99" i="3"/>
  <c r="AY192" i="3"/>
  <c r="AY127" i="3"/>
  <c r="AY232" i="3"/>
  <c r="AY315" i="3"/>
  <c r="AY440" i="3"/>
  <c r="AY547" i="3"/>
  <c r="AY86" i="3"/>
  <c r="AY195" i="3"/>
  <c r="AY293" i="3"/>
  <c r="AY213" i="3"/>
  <c r="AY338" i="3"/>
  <c r="AY416" i="3"/>
  <c r="AY511" i="3"/>
  <c r="AY34" i="3"/>
  <c r="AY281" i="3"/>
  <c r="AY303" i="3"/>
  <c r="AY229" i="3"/>
  <c r="AY401" i="3"/>
  <c r="AY69" i="3"/>
  <c r="AY146" i="3"/>
  <c r="AY247" i="3"/>
  <c r="AY360" i="3"/>
  <c r="AY150" i="3"/>
  <c r="AY353" i="3"/>
  <c r="AY462" i="3"/>
  <c r="AY561" i="3"/>
  <c r="AY494" i="3"/>
  <c r="AY205" i="3"/>
  <c r="AY218" i="3"/>
  <c r="AY479" i="3"/>
  <c r="AY415" i="3"/>
  <c r="AY530" i="3"/>
  <c r="AY35" i="3"/>
  <c r="AY248" i="3"/>
  <c r="AY456" i="3"/>
  <c r="AY91" i="3"/>
  <c r="AY119" i="3"/>
  <c r="AY307" i="3"/>
  <c r="AY566" i="3"/>
  <c r="AY196" i="3"/>
  <c r="AY261" i="3"/>
  <c r="AY489" i="3"/>
  <c r="AY212" i="3"/>
  <c r="AY513" i="3"/>
  <c r="AY84" i="3"/>
  <c r="AY165" i="3"/>
  <c r="AY262" i="3"/>
  <c r="BH6" i="3"/>
  <c r="AY145" i="3"/>
  <c r="AY341" i="3"/>
  <c r="AY438" i="3"/>
  <c r="BF6" i="3"/>
  <c r="AY514" i="3"/>
  <c r="AY174" i="3"/>
  <c r="AY385" i="3"/>
  <c r="AY492" i="3"/>
  <c r="AY579" i="3"/>
  <c r="AY545" i="3"/>
  <c r="AY203" i="3"/>
  <c r="AY221" i="3"/>
  <c r="AY424" i="3"/>
  <c r="AY55" i="3"/>
  <c r="AY277" i="3"/>
  <c r="AY322" i="3"/>
  <c r="AY504" i="3"/>
  <c r="AY207" i="3"/>
  <c r="AY75" i="3"/>
  <c r="AY473" i="3"/>
  <c r="AY217" i="3"/>
  <c r="AY549" i="3"/>
  <c r="AY76" i="3"/>
  <c r="AY157" i="3"/>
  <c r="AY254" i="3"/>
  <c r="BI6" i="3"/>
  <c r="AY130" i="3"/>
  <c r="AY325" i="3"/>
  <c r="AY422" i="3"/>
  <c r="AY536" i="3"/>
  <c r="AY496" i="3"/>
  <c r="AY158" i="3"/>
  <c r="AY369" i="3"/>
  <c r="AY484" i="3"/>
  <c r="AY505" i="3"/>
  <c r="AY531" i="3"/>
  <c r="AY187" i="3"/>
  <c r="AY394" i="3"/>
  <c r="AY408" i="3"/>
  <c r="AY39" i="3"/>
  <c r="AY273" i="3"/>
  <c r="AY306" i="3"/>
  <c r="AY586" i="3"/>
  <c r="AY59" i="3"/>
  <c r="AY220" i="3"/>
  <c r="AY526" i="3"/>
  <c r="AY481" i="3"/>
  <c r="AY555" i="3"/>
  <c r="AY190" i="3"/>
  <c r="AY291" i="3"/>
  <c r="AY384" i="3"/>
  <c r="AY56" i="3"/>
  <c r="AY258" i="3"/>
  <c r="AY483" i="3"/>
  <c r="AY503" i="3"/>
  <c r="BG6" i="3"/>
  <c r="AY49" i="3"/>
  <c r="AY298" i="3"/>
  <c r="AY305" i="3"/>
  <c r="AY434" i="3"/>
  <c r="AY575" i="3"/>
  <c r="AY79" i="3"/>
  <c r="AY301" i="3"/>
  <c r="AY346" i="3"/>
  <c r="AY560" i="3"/>
  <c r="AY179" i="3"/>
  <c r="AY386" i="3"/>
  <c r="AY400" i="3"/>
  <c r="AY87" i="3"/>
  <c r="AY74" i="3"/>
  <c r="AY209" i="3"/>
  <c r="AY43" i="3"/>
  <c r="AY478" i="3"/>
  <c r="AY553" i="3"/>
  <c r="AY182" i="3"/>
  <c r="AY283" i="3"/>
  <c r="AY389" i="3"/>
  <c r="AY40" i="3"/>
  <c r="AY242" i="3"/>
  <c r="AY475" i="3"/>
  <c r="AY525" i="3"/>
  <c r="AY559" i="3"/>
  <c r="AY80" i="3"/>
  <c r="AY267" i="3"/>
  <c r="AY344" i="3"/>
  <c r="AY418" i="3"/>
  <c r="AY502" i="3"/>
  <c r="AY63" i="3"/>
  <c r="AY285" i="3"/>
  <c r="AY330" i="3"/>
  <c r="AY568" i="3"/>
  <c r="AY164" i="3"/>
  <c r="AY391" i="3"/>
  <c r="AY429" i="3"/>
  <c r="AY82" i="3"/>
  <c r="AY163" i="3"/>
  <c r="AY319" i="3"/>
  <c r="AY245" i="3"/>
  <c r="AY404" i="3"/>
  <c r="AY77" i="3"/>
  <c r="AY154" i="3"/>
  <c r="AY255" i="3"/>
  <c r="AY368" i="3"/>
  <c r="AY197" i="3"/>
  <c r="AY370" i="3"/>
  <c r="AY449" i="3"/>
  <c r="AY516" i="3"/>
  <c r="AY532" i="3"/>
  <c r="AY21" i="3"/>
  <c r="AY234" i="3"/>
  <c r="AY304" i="3"/>
  <c r="AY423" i="3"/>
  <c r="AY542" i="3"/>
  <c r="AY46" i="3"/>
  <c r="AY264" i="3"/>
  <c r="AY451" i="3"/>
  <c r="AY107" i="3"/>
  <c r="AY128" i="3"/>
  <c r="AY323" i="3"/>
  <c r="BC6" i="3"/>
  <c r="AY425" i="3"/>
  <c r="AY117" i="3"/>
  <c r="AY316" i="3"/>
  <c r="AY113" i="3"/>
  <c r="AY493" i="3"/>
  <c r="AY200" i="3"/>
  <c r="AY132" i="3"/>
  <c r="AY73" i="3"/>
  <c r="AY450" i="3"/>
  <c r="AY327" i="3"/>
  <c r="AY227" i="3"/>
  <c r="AY419" i="3"/>
  <c r="AY345" i="3"/>
  <c r="AY151" i="3"/>
  <c r="AY240" i="3"/>
  <c r="AY331" i="3"/>
  <c r="AY311" i="3"/>
  <c r="AY211" i="3"/>
  <c r="AY411" i="3"/>
  <c r="AY337" i="3"/>
  <c r="AY120" i="3"/>
  <c r="AY224" i="3"/>
  <c r="AY520" i="3"/>
  <c r="AY362" i="3"/>
  <c r="AY124" i="3"/>
  <c r="AY540" i="3"/>
  <c r="AY88" i="3"/>
  <c r="AY458" i="3"/>
  <c r="AY448" i="3"/>
  <c r="AY533" i="3"/>
  <c r="AY510" i="3"/>
  <c r="AY432" i="3"/>
  <c r="AY253" i="3"/>
  <c r="AY20" i="3"/>
  <c r="AY259" i="3"/>
  <c r="AY112" i="3"/>
  <c r="AY564" i="3"/>
  <c r="AY13" i="3"/>
  <c r="AY237" i="3"/>
  <c r="AY25" i="3"/>
  <c r="AY243" i="3"/>
  <c r="AY96" i="3"/>
  <c r="AY522" i="3"/>
  <c r="AY517" i="3"/>
  <c r="AY412" i="3"/>
  <c r="AY125" i="3"/>
  <c r="AY324" i="3"/>
  <c r="AY129" i="3"/>
  <c r="BA6" i="3"/>
  <c r="AY27" i="3"/>
  <c r="E7" i="70"/>
  <c r="T7" i="1"/>
  <c r="AR7" i="1"/>
  <c r="AQ7" i="1"/>
  <c r="B2" i="37"/>
  <c r="B3" i="37" s="1"/>
  <c r="C10" i="77"/>
  <c r="C5" i="77" s="1"/>
  <c r="E53" i="33"/>
  <c r="F53" i="33" s="1"/>
  <c r="E52" i="33"/>
  <c r="F52" i="33" s="1"/>
  <c r="C48" i="33"/>
  <c r="C49" i="33"/>
  <c r="B2" i="33" s="1"/>
  <c r="B3" i="33" s="1"/>
  <c r="I52" i="33"/>
  <c r="J52" i="33" s="1"/>
  <c r="I53" i="33"/>
  <c r="J53" i="33" s="1"/>
  <c r="E52" i="21"/>
  <c r="F52" i="21" s="1"/>
  <c r="E53" i="21"/>
  <c r="F53" i="21" s="1"/>
  <c r="I53" i="21"/>
  <c r="J53" i="21" s="1"/>
  <c r="I65" i="40"/>
  <c r="J63" i="40"/>
  <c r="C10" i="67"/>
  <c r="C5" i="67" s="1"/>
  <c r="C53" i="67"/>
  <c r="C48" i="67" s="1"/>
  <c r="K48" i="35"/>
  <c r="J68" i="39"/>
  <c r="I70" i="39"/>
  <c r="C35" i="69"/>
  <c r="C38" i="69"/>
  <c r="J26" i="77"/>
  <c r="J29" i="77" s="1"/>
  <c r="J24" i="77"/>
  <c r="C49" i="21"/>
  <c r="B2" i="21" s="1"/>
  <c r="B3" i="21" s="1"/>
  <c r="C48" i="21"/>
  <c r="M16" i="1"/>
  <c r="J26" i="67"/>
  <c r="J29" i="67" s="1"/>
  <c r="J24" i="67"/>
  <c r="C53" i="15"/>
  <c r="C48" i="15" s="1"/>
  <c r="C10" i="15"/>
  <c r="C5" i="15" s="1"/>
  <c r="I19" i="6"/>
  <c r="M27" i="6"/>
  <c r="C6" i="71"/>
  <c r="D7" i="71"/>
  <c r="G52" i="33"/>
  <c r="H52" i="33" s="1"/>
  <c r="G53" i="33"/>
  <c r="H53" i="33" s="1"/>
  <c r="J24" i="15"/>
  <c r="J26" i="15"/>
  <c r="J29" i="15" s="1"/>
  <c r="E6" i="70"/>
  <c r="E2" i="70" s="1"/>
  <c r="S16" i="1"/>
  <c r="AQ6" i="1"/>
  <c r="T6" i="1"/>
  <c r="AR6" i="1"/>
  <c r="F24" i="77"/>
  <c r="C24" i="77" s="1"/>
  <c r="F24" i="67"/>
  <c r="F24" i="15"/>
  <c r="C24" i="15" s="1"/>
  <c r="F22" i="68"/>
  <c r="F25" i="12"/>
  <c r="C26" i="12" s="1"/>
  <c r="D25" i="12" s="1"/>
  <c r="F22" i="69"/>
  <c r="F22" i="11"/>
  <c r="C14" i="15"/>
  <c r="C14" i="77"/>
  <c r="C60" i="77" l="1"/>
  <c r="C15" i="77"/>
  <c r="C18" i="77"/>
  <c r="C19" i="77" s="1"/>
  <c r="C18" i="15"/>
  <c r="C15" i="15"/>
  <c r="H7" i="1"/>
  <c r="G7" i="1" s="1"/>
  <c r="G6" i="1"/>
  <c r="C24" i="67"/>
  <c r="C23" i="67"/>
  <c r="S19" i="6"/>
  <c r="S27" i="6" s="1"/>
  <c r="I27" i="6"/>
  <c r="L48" i="35"/>
  <c r="C29" i="43"/>
  <c r="T12" i="43"/>
  <c r="V12" i="43" s="1"/>
  <c r="T5" i="43"/>
  <c r="V5" i="43" s="1"/>
  <c r="T13" i="43"/>
  <c r="V13" i="43" s="1"/>
  <c r="C37" i="43"/>
  <c r="T10" i="43"/>
  <c r="V10" i="43" s="1"/>
  <c r="T9" i="43"/>
  <c r="V9" i="43" s="1"/>
  <c r="C33" i="43"/>
  <c r="C36" i="43"/>
  <c r="C35" i="43"/>
  <c r="T8" i="43"/>
  <c r="V8" i="43" s="1"/>
  <c r="T15" i="43"/>
  <c r="V15" i="43" s="1"/>
  <c r="T16" i="43"/>
  <c r="V16" i="43" s="1"/>
  <c r="T14" i="43"/>
  <c r="V14" i="43" s="1"/>
  <c r="T2" i="43"/>
  <c r="V2" i="43" s="1"/>
  <c r="T6" i="43"/>
  <c r="V6" i="43" s="1"/>
  <c r="T11" i="43"/>
  <c r="V11" i="43" s="1"/>
  <c r="C34" i="43"/>
  <c r="T4" i="43"/>
  <c r="V4" i="43" s="1"/>
  <c r="T3" i="43"/>
  <c r="V3" i="43" s="1"/>
  <c r="T7" i="43"/>
  <c r="V7" i="43" s="1"/>
  <c r="C39" i="43"/>
  <c r="C38" i="43"/>
  <c r="C38" i="15"/>
  <c r="L16" i="1"/>
  <c r="N16" i="1"/>
  <c r="C34" i="11"/>
  <c r="C34" i="68"/>
  <c r="C60" i="67"/>
  <c r="C66" i="67"/>
  <c r="C38" i="77"/>
  <c r="C20" i="11"/>
  <c r="C25" i="11" s="1"/>
  <c r="C24" i="11"/>
  <c r="D10" i="68"/>
  <c r="D10" i="69"/>
  <c r="D10" i="11"/>
  <c r="C10" i="11" s="1"/>
  <c r="D20" i="12"/>
  <c r="C20" i="12" s="1"/>
  <c r="C23" i="11"/>
  <c r="C26" i="11"/>
  <c r="D22" i="11" s="1"/>
  <c r="C44" i="11"/>
  <c r="D41" i="11" s="1"/>
  <c r="C66" i="15"/>
  <c r="C60" i="15"/>
  <c r="T16" i="1"/>
  <c r="C38" i="67"/>
  <c r="J65" i="40"/>
  <c r="K63" i="40"/>
  <c r="K68" i="39"/>
  <c r="J70" i="39"/>
  <c r="C8" i="74"/>
  <c r="C7" i="74"/>
  <c r="C44" i="69"/>
  <c r="D41" i="69" s="1"/>
  <c r="C26" i="69"/>
  <c r="D22" i="69" s="1"/>
  <c r="C26" i="68"/>
  <c r="D22" i="68" s="1"/>
  <c r="C24" i="68"/>
  <c r="C44" i="68"/>
  <c r="D41" i="68" s="1"/>
  <c r="D6" i="71"/>
  <c r="C5" i="71"/>
  <c r="M19" i="9"/>
  <c r="C118" i="9" s="1"/>
  <c r="C14" i="74" s="1"/>
  <c r="B2" i="74" s="1"/>
  <c r="D19" i="6"/>
  <c r="D23" i="6"/>
  <c r="R23" i="6" s="1"/>
  <c r="D9" i="6"/>
  <c r="H25" i="6"/>
  <c r="D8" i="6"/>
  <c r="D12" i="6"/>
  <c r="H20" i="6"/>
  <c r="D15" i="6"/>
  <c r="D5" i="6"/>
  <c r="E61" i="40"/>
  <c r="C18" i="4"/>
  <c r="D6" i="6"/>
  <c r="H22" i="6"/>
  <c r="D22" i="6"/>
  <c r="D11" i="6"/>
  <c r="H23" i="6"/>
  <c r="D14" i="6"/>
  <c r="L19" i="9"/>
  <c r="H24" i="6"/>
  <c r="H19" i="6"/>
  <c r="D26" i="6"/>
  <c r="R26" i="6" s="1"/>
  <c r="D29" i="6"/>
  <c r="D21" i="6"/>
  <c r="H21" i="6"/>
  <c r="D24" i="6"/>
  <c r="R24" i="6" s="1"/>
  <c r="H26" i="6"/>
  <c r="D10" i="6"/>
  <c r="D13" i="6"/>
  <c r="D25" i="6"/>
  <c r="R25" i="6" s="1"/>
  <c r="D28" i="6"/>
  <c r="D30" i="6" s="1"/>
  <c r="D20" i="6"/>
  <c r="R20" i="6" s="1"/>
  <c r="R7" i="1" s="1"/>
  <c r="C14" i="12"/>
  <c r="C16" i="12" s="1"/>
  <c r="D17" i="12"/>
  <c r="C17" i="12" s="1"/>
  <c r="M21" i="77"/>
  <c r="F35" i="77"/>
  <c r="H16" i="1" l="1"/>
  <c r="G16" i="1"/>
  <c r="F10" i="39" s="1"/>
  <c r="C19" i="15"/>
  <c r="C20" i="15" s="1"/>
  <c r="F63" i="77"/>
  <c r="C62" i="77" s="1"/>
  <c r="C34" i="77"/>
  <c r="C31" i="77" s="1"/>
  <c r="J20" i="77"/>
  <c r="C20" i="77"/>
  <c r="C35" i="68"/>
  <c r="C38" i="68"/>
  <c r="E37" i="43"/>
  <c r="G37" i="43"/>
  <c r="I37" i="43" s="1"/>
  <c r="R21" i="6"/>
  <c r="D8" i="74"/>
  <c r="D7" i="74"/>
  <c r="C22" i="11"/>
  <c r="F50" i="11"/>
  <c r="F50" i="69"/>
  <c r="F50" i="68"/>
  <c r="C29" i="67"/>
  <c r="C28" i="11"/>
  <c r="C27" i="11" s="1"/>
  <c r="R22" i="6"/>
  <c r="D5" i="71"/>
  <c r="M20" i="43"/>
  <c r="E34" i="43"/>
  <c r="G34" i="43"/>
  <c r="I34" i="43" s="1"/>
  <c r="E35" i="43"/>
  <c r="G35" i="43"/>
  <c r="I35" i="43" s="1"/>
  <c r="C38" i="11"/>
  <c r="C35" i="11"/>
  <c r="C33" i="11" s="1"/>
  <c r="D16" i="6"/>
  <c r="E36" i="43"/>
  <c r="G36" i="43"/>
  <c r="I36" i="43" s="1"/>
  <c r="E29" i="43"/>
  <c r="C30" i="43"/>
  <c r="E30" i="43" s="1"/>
  <c r="H27" i="6"/>
  <c r="L68" i="39"/>
  <c r="K70" i="39"/>
  <c r="F10" i="40"/>
  <c r="H10" i="39"/>
  <c r="H10" i="40"/>
  <c r="J10" i="39"/>
  <c r="C10" i="68"/>
  <c r="B29" i="1" s="1"/>
  <c r="C8" i="68" s="1"/>
  <c r="D19" i="68"/>
  <c r="D37" i="68" s="1"/>
  <c r="C37" i="68" s="1"/>
  <c r="E38" i="43"/>
  <c r="G38" i="43"/>
  <c r="I38" i="43" s="1"/>
  <c r="M48" i="35"/>
  <c r="D27" i="6"/>
  <c r="D31" i="6" s="1"/>
  <c r="R19" i="6"/>
  <c r="C10" i="69"/>
  <c r="C8" i="69" s="1"/>
  <c r="C5" i="69" s="1"/>
  <c r="D19" i="69"/>
  <c r="E33" i="43"/>
  <c r="G33" i="43"/>
  <c r="I33" i="43" s="1"/>
  <c r="A10" i="51"/>
  <c r="B9" i="72" s="1"/>
  <c r="A7" i="51"/>
  <c r="B7" i="72" s="1"/>
  <c r="C4" i="52"/>
  <c r="B45" i="72" s="1"/>
  <c r="K65" i="40"/>
  <c r="L63" i="40"/>
  <c r="E39" i="43"/>
  <c r="G39" i="43"/>
  <c r="I39" i="43" s="1"/>
  <c r="J10" i="40" l="1"/>
  <c r="AC10" i="40" s="1"/>
  <c r="C31" i="11"/>
  <c r="C18" i="12"/>
  <c r="C21" i="12" s="1"/>
  <c r="C22" i="12" s="1"/>
  <c r="C27" i="12" s="1"/>
  <c r="C25" i="12" s="1"/>
  <c r="C33" i="68"/>
  <c r="C39" i="68" s="1"/>
  <c r="C43" i="68" s="1"/>
  <c r="C27" i="43"/>
  <c r="C26" i="43"/>
  <c r="B2" i="43" s="1"/>
  <c r="C42" i="11"/>
  <c r="C39" i="11"/>
  <c r="C43" i="11" s="1"/>
  <c r="R6" i="1"/>
  <c r="R27" i="6"/>
  <c r="M68" i="39"/>
  <c r="L70" i="39"/>
  <c r="C23" i="15"/>
  <c r="C29" i="15" s="1"/>
  <c r="I6" i="6"/>
  <c r="I5" i="6"/>
  <c r="W10" i="39"/>
  <c r="AC10" i="39"/>
  <c r="C26" i="15"/>
  <c r="U10" i="39"/>
  <c r="AB10" i="39"/>
  <c r="C13" i="67"/>
  <c r="Q49" i="67"/>
  <c r="C57" i="67"/>
  <c r="J14" i="67"/>
  <c r="C33" i="67"/>
  <c r="C31" i="67" s="1"/>
  <c r="C36" i="67"/>
  <c r="J19" i="67"/>
  <c r="J17" i="67" s="1"/>
  <c r="J59" i="67"/>
  <c r="J60" i="67" s="1"/>
  <c r="N48" i="35"/>
  <c r="S10" i="40"/>
  <c r="AA10" i="40"/>
  <c r="C26" i="77"/>
  <c r="C19" i="69"/>
  <c r="C24" i="69" s="1"/>
  <c r="D37" i="69"/>
  <c r="C37" i="69" s="1"/>
  <c r="C33" i="69" s="1"/>
  <c r="C23" i="77"/>
  <c r="C29" i="77" s="1"/>
  <c r="U10" i="40"/>
  <c r="AB10" i="40"/>
  <c r="M63" i="40"/>
  <c r="L65" i="40"/>
  <c r="C23" i="69"/>
  <c r="AA10" i="39"/>
  <c r="S10" i="39"/>
  <c r="E6" i="76"/>
  <c r="M21" i="15"/>
  <c r="F35" i="15"/>
  <c r="B6" i="76"/>
  <c r="W10" i="40" l="1"/>
  <c r="C42" i="68"/>
  <c r="C20" i="69"/>
  <c r="C25" i="69" s="1"/>
  <c r="C22" i="69" s="1"/>
  <c r="C46" i="68"/>
  <c r="C45" i="68" s="1"/>
  <c r="E2" i="76"/>
  <c r="C30" i="12"/>
  <c r="C28" i="12" s="1"/>
  <c r="C32" i="12" s="1"/>
  <c r="B2" i="12" s="1"/>
  <c r="B3" i="12" s="1"/>
  <c r="B2" i="76"/>
  <c r="F63" i="15"/>
  <c r="C62" i="15" s="1"/>
  <c r="C34" i="15"/>
  <c r="C31" i="15" s="1"/>
  <c r="J20" i="15"/>
  <c r="J19" i="77"/>
  <c r="J17" i="77" s="1"/>
  <c r="C36" i="77"/>
  <c r="Q49" i="77"/>
  <c r="C13" i="77"/>
  <c r="C57" i="77"/>
  <c r="J14" i="77"/>
  <c r="C13" i="15"/>
  <c r="Q49" i="15"/>
  <c r="J14" i="15"/>
  <c r="C36" i="15"/>
  <c r="C57" i="15"/>
  <c r="J19" i="15"/>
  <c r="O48" i="35"/>
  <c r="F7" i="35" s="1"/>
  <c r="J7" i="35"/>
  <c r="H7" i="35"/>
  <c r="C37" i="67"/>
  <c r="C30" i="67" s="1"/>
  <c r="C39" i="67" s="1"/>
  <c r="C56" i="67"/>
  <c r="C65" i="67" s="1"/>
  <c r="Q70" i="67"/>
  <c r="C75" i="67"/>
  <c r="Q48" i="67"/>
  <c r="L46" i="67"/>
  <c r="J13" i="67"/>
  <c r="J23" i="67" s="1"/>
  <c r="J22" i="67"/>
  <c r="C64" i="67"/>
  <c r="C61" i="67"/>
  <c r="C59" i="67" s="1"/>
  <c r="C42" i="69"/>
  <c r="C39" i="69"/>
  <c r="C43" i="69" s="1"/>
  <c r="M65" i="40"/>
  <c r="N63" i="40"/>
  <c r="M70" i="39"/>
  <c r="N68" i="39"/>
  <c r="C46" i="11"/>
  <c r="C45" i="11" s="1"/>
  <c r="C6" i="68"/>
  <c r="B3" i="43"/>
  <c r="C41" i="11"/>
  <c r="R16" i="1"/>
  <c r="C41" i="68"/>
  <c r="J17" i="15" l="1"/>
  <c r="C28" i="69"/>
  <c r="C27" i="69" s="1"/>
  <c r="C31" i="69" s="1"/>
  <c r="C49" i="68"/>
  <c r="C51" i="68" s="1"/>
  <c r="C46" i="69"/>
  <c r="C45" i="69" s="1"/>
  <c r="J16" i="67"/>
  <c r="J25" i="67" s="1"/>
  <c r="B3" i="76"/>
  <c r="C80" i="67"/>
  <c r="C79" i="67" s="1"/>
  <c r="C58" i="67"/>
  <c r="C67" i="67" s="1"/>
  <c r="C68" i="67" s="1"/>
  <c r="C37" i="77"/>
  <c r="C30" i="77" s="1"/>
  <c r="C39" i="77" s="1"/>
  <c r="C75" i="77"/>
  <c r="Q70" i="77"/>
  <c r="C56" i="77"/>
  <c r="C65" i="77" s="1"/>
  <c r="C41" i="69"/>
  <c r="C64" i="15"/>
  <c r="C61" i="15"/>
  <c r="C59" i="15" s="1"/>
  <c r="J22" i="15"/>
  <c r="J13" i="15"/>
  <c r="J23" i="15" s="1"/>
  <c r="C7" i="68"/>
  <c r="C5" i="68" s="1"/>
  <c r="O68" i="39"/>
  <c r="O70" i="39" s="1"/>
  <c r="N70" i="39"/>
  <c r="C40" i="67"/>
  <c r="Q69" i="67"/>
  <c r="Q68" i="67" s="1"/>
  <c r="C49" i="11"/>
  <c r="C51" i="11" s="1"/>
  <c r="O63" i="40"/>
  <c r="O65" i="40" s="1"/>
  <c r="N65" i="40"/>
  <c r="AB7" i="35"/>
  <c r="T38" i="35" s="1"/>
  <c r="G38" i="35" s="1"/>
  <c r="U7" i="35"/>
  <c r="C37" i="15"/>
  <c r="C30" i="15" s="1"/>
  <c r="C39" i="15" s="1"/>
  <c r="Q70" i="15"/>
  <c r="C75" i="15"/>
  <c r="C56" i="15"/>
  <c r="C65" i="15" s="1"/>
  <c r="W7" i="35"/>
  <c r="AC7" i="35"/>
  <c r="V38" i="35" s="1"/>
  <c r="I38" i="35" s="1"/>
  <c r="J22" i="77"/>
  <c r="J13" i="77"/>
  <c r="J23" i="77" s="1"/>
  <c r="AA7" i="35"/>
  <c r="R38" i="35" s="1"/>
  <c r="S7" i="35"/>
  <c r="C61" i="77"/>
  <c r="C59" i="77" s="1"/>
  <c r="C64" i="77"/>
  <c r="L51" i="67"/>
  <c r="C58" i="77" l="1"/>
  <c r="C67" i="77" s="1"/>
  <c r="C68" i="77" s="1"/>
  <c r="C71" i="77" s="1"/>
  <c r="C49" i="69"/>
  <c r="C51" i="69" s="1"/>
  <c r="C52" i="69" s="1"/>
  <c r="B2" i="69" s="1"/>
  <c r="B3" i="69" s="1"/>
  <c r="J16" i="15"/>
  <c r="J25" i="15" s="1"/>
  <c r="J16" i="77"/>
  <c r="J25" i="77" s="1"/>
  <c r="Q67" i="67"/>
  <c r="L57" i="67"/>
  <c r="L60" i="67" s="1"/>
  <c r="C40" i="15"/>
  <c r="Q69" i="15"/>
  <c r="Q68" i="15" s="1"/>
  <c r="Q69" i="77"/>
  <c r="Q68" i="77" s="1"/>
  <c r="C40" i="77"/>
  <c r="C52" i="11"/>
  <c r="B2" i="11" s="1"/>
  <c r="B3" i="11" s="1"/>
  <c r="C80" i="77"/>
  <c r="C79" i="77" s="1"/>
  <c r="R39" i="35"/>
  <c r="E38" i="35"/>
  <c r="C58" i="15"/>
  <c r="C67" i="15" s="1"/>
  <c r="C68" i="15" s="1"/>
  <c r="I42" i="35"/>
  <c r="J42" i="35" s="1"/>
  <c r="H7" i="39"/>
  <c r="F7" i="39"/>
  <c r="J7" i="39"/>
  <c r="C45" i="67"/>
  <c r="C46" i="67" s="1"/>
  <c r="C71" i="67"/>
  <c r="C80" i="15"/>
  <c r="C79" i="15" s="1"/>
  <c r="Q56" i="67"/>
  <c r="C43" i="67"/>
  <c r="Q47" i="67"/>
  <c r="Q53" i="67" s="1"/>
  <c r="Q65" i="67"/>
  <c r="D2" i="67"/>
  <c r="C83" i="67"/>
  <c r="C82" i="67" s="1"/>
  <c r="G43" i="35"/>
  <c r="H43" i="35" s="1"/>
  <c r="G42" i="35"/>
  <c r="H42" i="35" s="1"/>
  <c r="H7" i="40"/>
  <c r="J7" i="40"/>
  <c r="F7" i="40"/>
  <c r="C20" i="68"/>
  <c r="C25" i="68" s="1"/>
  <c r="C23" i="68"/>
  <c r="L51" i="15"/>
  <c r="L51" i="77"/>
  <c r="C57" i="69" l="1"/>
  <c r="C56" i="69" s="1"/>
  <c r="C22" i="68"/>
  <c r="C28" i="68"/>
  <c r="C27" i="68" s="1"/>
  <c r="Q67" i="77"/>
  <c r="Q67" i="15"/>
  <c r="AA7" i="40"/>
  <c r="R42" i="40" s="1"/>
  <c r="S7" i="40"/>
  <c r="C71" i="15"/>
  <c r="C46" i="15"/>
  <c r="C43" i="77"/>
  <c r="Q65" i="77"/>
  <c r="Q75" i="77" s="1"/>
  <c r="B2" i="77"/>
  <c r="Q56" i="77"/>
  <c r="Q62" i="77" s="1"/>
  <c r="Q47" i="77"/>
  <c r="Q53" i="77" s="1"/>
  <c r="C83" i="77"/>
  <c r="C82" i="77" s="1"/>
  <c r="B3" i="67"/>
  <c r="B2" i="67"/>
  <c r="C46" i="77"/>
  <c r="AC7" i="39"/>
  <c r="V47" i="39" s="1"/>
  <c r="I47" i="39" s="1"/>
  <c r="W7" i="39"/>
  <c r="E42" i="35"/>
  <c r="F42" i="35" s="1"/>
  <c r="E43" i="35"/>
  <c r="F43" i="35" s="1"/>
  <c r="S7" i="39"/>
  <c r="AA7" i="39"/>
  <c r="R47" i="39" s="1"/>
  <c r="C39" i="35"/>
  <c r="B2" i="35" s="1"/>
  <c r="B3" i="35" s="1"/>
  <c r="C38" i="35"/>
  <c r="AB7" i="39"/>
  <c r="T47" i="39" s="1"/>
  <c r="G47" i="39" s="1"/>
  <c r="U7" i="39"/>
  <c r="B2" i="15"/>
  <c r="Q65" i="15"/>
  <c r="Q75" i="15" s="1"/>
  <c r="Q56" i="15"/>
  <c r="Q62" i="15" s="1"/>
  <c r="C43" i="15"/>
  <c r="Q47" i="15"/>
  <c r="Q53" i="15" s="1"/>
  <c r="C83" i="15"/>
  <c r="C82" i="15" s="1"/>
  <c r="AC7" i="40"/>
  <c r="V42" i="40" s="1"/>
  <c r="I42" i="40" s="1"/>
  <c r="W7" i="40"/>
  <c r="Q57" i="67"/>
  <c r="Q62" i="67" s="1"/>
  <c r="Q66" i="67"/>
  <c r="Q75" i="67" s="1"/>
  <c r="AB7" i="40"/>
  <c r="T42" i="40" s="1"/>
  <c r="G42" i="40" s="1"/>
  <c r="U7" i="40"/>
  <c r="I43" i="35"/>
  <c r="J43" i="35" s="1"/>
  <c r="C56" i="11"/>
  <c r="C57" i="11" s="1"/>
  <c r="AO7" i="1"/>
  <c r="AO6" i="1"/>
  <c r="C31" i="68" l="1"/>
  <c r="C52" i="68" s="1"/>
  <c r="B2" i="68" s="1"/>
  <c r="B6" i="70"/>
  <c r="B2" i="70" s="1"/>
  <c r="B7" i="70"/>
  <c r="G46" i="40"/>
  <c r="H46" i="40" s="1"/>
  <c r="G47" i="40"/>
  <c r="H47" i="40" s="1"/>
  <c r="R48" i="39"/>
  <c r="E47" i="39"/>
  <c r="B3" i="15"/>
  <c r="R43" i="40"/>
  <c r="E42" i="40"/>
  <c r="I46" i="40"/>
  <c r="J46" i="40" s="1"/>
  <c r="I47" i="40"/>
  <c r="J47" i="40" s="1"/>
  <c r="G51" i="39"/>
  <c r="H51" i="39" s="1"/>
  <c r="G52" i="39"/>
  <c r="H52" i="39" s="1"/>
  <c r="I52" i="39"/>
  <c r="J52" i="39" s="1"/>
  <c r="I51" i="39"/>
  <c r="J51" i="39" s="1"/>
  <c r="B3" i="77"/>
  <c r="D19" i="9"/>
  <c r="C19" i="9"/>
  <c r="C57" i="68" l="1"/>
  <c r="C56" i="68" s="1"/>
  <c r="D22" i="9"/>
  <c r="C102" i="9"/>
  <c r="C21" i="9"/>
  <c r="G19" i="9"/>
  <c r="D21" i="9"/>
  <c r="D102" i="9"/>
  <c r="E52" i="39"/>
  <c r="F52" i="39" s="1"/>
  <c r="E51" i="39"/>
  <c r="F51" i="39" s="1"/>
  <c r="C47" i="39"/>
  <c r="C48" i="39"/>
  <c r="B3" i="68"/>
  <c r="E47" i="40"/>
  <c r="F47" i="40" s="1"/>
  <c r="E46" i="40"/>
  <c r="F46" i="40" s="1"/>
  <c r="C42" i="40"/>
  <c r="C43" i="40"/>
  <c r="B3" i="70"/>
  <c r="D34" i="9"/>
  <c r="D35" i="9"/>
  <c r="C20" i="9"/>
  <c r="D20" i="9"/>
  <c r="D103" i="9" l="1"/>
  <c r="C103" i="9"/>
  <c r="G20" i="9"/>
  <c r="B57" i="40"/>
  <c r="F57" i="40" s="1"/>
  <c r="B51" i="40"/>
  <c r="F51" i="40" s="1"/>
  <c r="F61" i="40"/>
  <c r="B2" i="40" s="1"/>
  <c r="B3" i="40" s="1"/>
  <c r="B55" i="40"/>
  <c r="F55" i="40" s="1"/>
  <c r="B59" i="40"/>
  <c r="F59" i="40" s="1"/>
  <c r="B56" i="40"/>
  <c r="F56" i="40" s="1"/>
  <c r="B52" i="40"/>
  <c r="F52" i="40" s="1"/>
  <c r="B58" i="40"/>
  <c r="F58" i="40" s="1"/>
  <c r="B53" i="40"/>
  <c r="F53" i="40" s="1"/>
  <c r="B54" i="40"/>
  <c r="F54" i="40" s="1"/>
  <c r="B60" i="40"/>
  <c r="F60" i="40" s="1"/>
  <c r="C32" i="9"/>
  <c r="G21" i="9"/>
  <c r="B60" i="39"/>
  <c r="F60" i="39" s="1"/>
  <c r="B62" i="39"/>
  <c r="F62" i="39" s="1"/>
  <c r="B65" i="39"/>
  <c r="F65" i="39" s="1"/>
  <c r="B61" i="39"/>
  <c r="F61" i="39" s="1"/>
  <c r="B63" i="39"/>
  <c r="F63" i="39" s="1"/>
  <c r="B64" i="39"/>
  <c r="F64" i="39" s="1"/>
  <c r="B59" i="39"/>
  <c r="F59" i="39" s="1"/>
  <c r="B58" i="39"/>
  <c r="F58" i="39" s="1"/>
  <c r="B57" i="39"/>
  <c r="F57" i="39" s="1"/>
  <c r="B56" i="39"/>
  <c r="F56" i="39" s="1"/>
  <c r="F66" i="39" s="1"/>
  <c r="B2" i="39" s="1"/>
  <c r="B3" i="39" s="1"/>
  <c r="H118" i="9" l="1"/>
  <c r="C35" i="9"/>
  <c r="F118" i="9" s="1"/>
  <c r="F4" i="52" l="1"/>
  <c r="B51" i="72" s="1"/>
  <c r="G118" i="9"/>
  <c r="G4" i="52" s="1"/>
  <c r="B52" i="72" s="1"/>
  <c r="F119" i="9"/>
  <c r="F5" i="52" s="1"/>
  <c r="B53" i="72" s="1"/>
  <c r="C34" i="9"/>
  <c r="D118" i="9" s="1"/>
  <c r="H101" i="9"/>
  <c r="D14" i="74"/>
  <c r="H119" i="9"/>
  <c r="H5" i="52" s="1"/>
  <c r="H4" i="52"/>
  <c r="I118" i="9"/>
  <c r="C104" i="9"/>
  <c r="B5" i="74" l="1"/>
  <c r="E14" i="74"/>
  <c r="F14" i="74"/>
  <c r="M48" i="9"/>
  <c r="D5" i="53"/>
  <c r="H107" i="9"/>
  <c r="D45" i="9"/>
  <c r="D119" i="9"/>
  <c r="D5" i="52" s="1"/>
  <c r="B49" i="72" s="1"/>
  <c r="D4" i="52"/>
  <c r="B47" i="72" s="1"/>
  <c r="E118" i="9"/>
  <c r="E4" i="52" s="1"/>
  <c r="B48" i="72" s="1"/>
  <c r="I4" i="52"/>
  <c r="C105" i="9"/>
  <c r="H102" i="9"/>
  <c r="D7" i="53" s="1"/>
  <c r="B21" i="72" s="1"/>
  <c r="D122" i="9" l="1"/>
  <c r="D13" i="53"/>
  <c r="M49" i="9"/>
  <c r="H108" i="9"/>
  <c r="D15" i="53" s="1"/>
  <c r="B31" i="72" s="1"/>
  <c r="C93" i="9"/>
  <c r="C86" i="9" s="1"/>
  <c r="D52" i="9"/>
  <c r="C85" i="9"/>
  <c r="C72" i="9"/>
  <c r="D55" i="9"/>
  <c r="M53" i="9" s="1"/>
  <c r="C78" i="9"/>
  <c r="C73" i="9" s="1"/>
  <c r="D53" i="9"/>
  <c r="C64" i="9"/>
  <c r="C63" i="9" s="1"/>
  <c r="C67" i="9" s="1"/>
  <c r="C68" i="9" s="1"/>
  <c r="D54" i="9" s="1"/>
  <c r="D6" i="53"/>
  <c r="B22" i="72" s="1"/>
  <c r="B20" i="72"/>
  <c r="D5" i="74"/>
  <c r="C5" i="74"/>
  <c r="C79" i="9" l="1"/>
  <c r="C95" i="9"/>
  <c r="C80" i="9"/>
  <c r="E80" i="9" s="1"/>
  <c r="E81" i="9" s="1"/>
  <c r="L68" i="9"/>
  <c r="M68" i="9" s="1"/>
  <c r="L63" i="9"/>
  <c r="M63" i="9" s="1"/>
  <c r="L64" i="9"/>
  <c r="M64" i="9" s="1"/>
  <c r="L65" i="9"/>
  <c r="M65" i="9" s="1"/>
  <c r="L66" i="9"/>
  <c r="M66" i="9" s="1"/>
  <c r="L67" i="9"/>
  <c r="M67" i="9" s="1"/>
  <c r="C96" i="9"/>
  <c r="E96" i="9" s="1"/>
  <c r="E97" i="9" s="1"/>
  <c r="B30" i="72"/>
  <c r="D14" i="53"/>
  <c r="B32" i="72" s="1"/>
  <c r="G14" i="74"/>
  <c r="B6" i="74" s="1"/>
  <c r="D8" i="52"/>
  <c r="D123" i="9"/>
  <c r="D9" i="52" s="1"/>
  <c r="D6" i="74" l="1"/>
  <c r="C6" i="74"/>
  <c r="M69" i="9"/>
  <c r="N69" i="9" s="1"/>
  <c r="C97" i="9"/>
  <c r="D58" i="9" s="1"/>
  <c r="D56" i="9" s="1"/>
  <c r="M54" i="9" s="1"/>
  <c r="N57"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<sst xmlns="http://schemas.openxmlformats.org/spreadsheetml/2006/main" count="7754" uniqueCount="3126">
  <si>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</si>
  <si>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</si>
  <si>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</si>
  <si>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</si>
  <si>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</si>
  <si>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</si>
  <si>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</si>
  <si>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</si>
  <si>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</si>
  <si>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</si>
  <si>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</si>
  <si>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</si>
  <si>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</si>
  <si>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</si>
  <si>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</si>
  <si>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</si>
  <si>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</si>
  <si>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</si>
  <si>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</si>
  <si>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</si>
  <si>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</si>
  <si>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</si>
  <si>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</si>
  <si>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</si>
  <si>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</si>
  <si>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</si>
  <si>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</si>
  <si>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</si>
  <si>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</si>
  <si>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</si>
  <si>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</si>
  <si>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</si>
  <si>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</si>
  <si>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</si>
  <si>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</si>
  <si>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</si>
  <si>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</si>
  <si>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</si>
  <si>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</si>
  <si>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</si>
  <si>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</si>
  <si>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</si>
  <si>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</si>
  <si>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</si>
  <si>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</si>
  <si>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</si>
  <si>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</si>
  <si>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</si>
  <si>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</si>
  <si>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</si>
  <si>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</si>
  <si>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</si>
  <si>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</si>
  <si>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</si>
  <si>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</si>
  <si>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</si>
  <si>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</si>
  <si>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</si>
  <si>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</si>
  <si>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</si>
  <si>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</si>
  <si>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</si>
  <si>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</si>
  <si>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</si>
  <si>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</si>
  <si>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</si>
  <si>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</si>
  <si>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</si>
  <si>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</si>
  <si>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</si>
  <si>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</si>
  <si>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</si>
  <si>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</si>
  <si>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</si>
  <si>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</si>
  <si>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</si>
  <si>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</si>
  <si>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</si>
  <si>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</si>
  <si>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</si>
  <si>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</si>
  <si>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</si>
  <si>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</si>
  <si>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</si>
  <si>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</si>
  <si>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</si>
  <si>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</si>
  <si>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</si>
  <si>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</si>
  <si>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</si>
  <si>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</si>
  <si>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</si>
  <si>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</si>
  <si>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</si>
  <si>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</si>
  <si>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</si>
  <si>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</si>
  <si>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</si>
  <si>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</si>
  <si>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</si>
  <si>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</si>
  <si>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</si>
  <si>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</si>
  <si>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</si>
  <si>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</si>
  <si>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</si>
  <si>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</si>
  <si>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</si>
  <si>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</si>
  <si>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</si>
  <si>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</si>
  <si>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</si>
  <si>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</si>
  <si>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</si>
  <si>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</si>
  <si>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</si>
  <si>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</si>
  <si>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</si>
  <si>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</si>
  <si>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</si>
  <si>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</si>
  <si>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</si>
  <si>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</si>
  <si>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</si>
  <si>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</si>
  <si>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</si>
  <si>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</si>
  <si>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</si>
  <si>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</si>
  <si>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</si>
  <si>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</si>
  <si>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</si>
  <si>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</si>
  <si>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</si>
  <si>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</si>
  <si>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</si>
  <si>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</si>
  <si>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</si>
  <si>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</si>
  <si>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</si>
  <si>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</si>
  <si>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</si>
  <si>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</si>
  <si>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</si>
  <si>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</si>
  <si>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</si>
  <si>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</si>
  <si>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</si>
  <si>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</si>
  <si>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</si>
  <si>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</si>
  <si>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</si>
  <si>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</si>
  <si>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</si>
  <si>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</si>
  <si>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</si>
  <si>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</si>
  <si>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</si>
  <si>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</si>
  <si>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</si>
  <si>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</si>
  <si>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</si>
  <si>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</si>
  <si>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</si>
  <si>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</si>
  <si>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</si>
  <si>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</si>
  <si>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</si>
  <si>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</si>
  <si>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</si>
  <si>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</si>
  <si>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</si>
  <si>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</si>
  <si>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</si>
  <si>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</si>
  <si>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</si>
  <si>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</si>
  <si>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</si>
  <si>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</si>
  <si>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</si>
  <si>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</si>
  <si>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</si>
  <si>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</si>
  <si>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</si>
  <si>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</si>
  <si>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</si>
  <si>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</si>
  <si>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</si>
  <si>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</si>
  <si>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</si>
  <si>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</si>
  <si>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</si>
  <si>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</si>
  <si>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</si>
  <si>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</si>
  <si>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</si>
  <si>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</si>
  <si>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</si>
  <si>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</si>
  <si>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</si>
  <si>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</si>
  <si>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</si>
  <si>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</si>
  <si>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</si>
  <si>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</si>
  <si>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</si>
  <si>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</si>
  <si>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</si>
  <si>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</si>
  <si>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</si>
  <si>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</si>
  <si>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</si>
  <si>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</si>
  <si>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</si>
  <si>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</si>
  <si>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</si>
  <si>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</si>
  <si>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</si>
  <si>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</si>
  <si>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</si>
  <si>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</si>
  <si>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</si>
  <si>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</si>
  <si>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</si>
  <si>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</si>
  <si>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</si>
  <si>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</si>
  <si>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</si>
  <si>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</si>
  <si>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</si>
  <si>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</si>
  <si>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</si>
  <si>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</si>
  <si>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</si>
  <si>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</si>
  <si>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</si>
  <si>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</si>
  <si>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</si>
  <si>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</si>
  <si>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</si>
  <si>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</si>
  <si>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</si>
  <si>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</si>
  <si>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</si>
  <si>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</si>
  <si>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</si>
  <si>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</si>
  <si>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</si>
  <si>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</si>
  <si>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</si>
  <si>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</si>
  <si>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</si>
  <si>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</si>
  <si>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</si>
  <si>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</si>
  <si>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</si>
  <si>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</si>
  <si>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</si>
  <si>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</si>
  <si>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</si>
  <si>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</si>
  <si>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</si>
  <si>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</si>
  <si>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</si>
  <si>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</si>
  <si>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</si>
  <si>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</si>
  <si>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</si>
  <si>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</si>
  <si>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</si>
  <si>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</si>
  <si>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</si>
  <si>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</si>
  <si>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</si>
  <si>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</si>
  <si>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</si>
  <si>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</si>
  <si>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</si>
  <si>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</si>
  <si>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</si>
  <si>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</si>
  <si>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</si>
  <si>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</si>
  <si>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</si>
  <si>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</si>
  <si>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</si>
  <si>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</si>
  <si>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</si>
  <si>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</si>
  <si>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</si>
  <si>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</si>
  <si>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</si>
  <si>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</si>
  <si>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</si>
  <si>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</si>
  <si>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</si>
  <si>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</si>
  <si>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</si>
  <si>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</si>
  <si>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</si>
  <si>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</si>
  <si>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</si>
  <si>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</si>
  <si>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</si>
  <si>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</si>
  <si>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</si>
  <si>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</si>
  <si>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</si>
  <si>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</si>
  <si>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</si>
  <si>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</si>
  <si>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</si>
  <si>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</si>
  <si>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</si>
  <si>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</si>
  <si>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</si>
  <si>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</si>
  <si>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</si>
  <si>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</si>
  <si>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</si>
  <si>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</si>
  <si>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</si>
  <si>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</si>
  <si>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</si>
  <si>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</si>
  <si>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</si>
  <si>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</si>
  <si>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</si>
  <si>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</si>
  <si>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</si>
  <si>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</si>
  <si>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</si>
  <si>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</si>
  <si>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</si>
  <si>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</si>
  <si>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</si>
  <si>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</si>
  <si>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</si>
  <si>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</si>
  <si>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</si>
  <si>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</si>
  <si>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</si>
  <si>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</si>
  <si>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</si>
  <si>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</si>
  <si>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</si>
  <si>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</si>
  <si>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</si>
  <si>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</si>
  <si>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</si>
  <si>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</si>
  <si>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</si>
  <si>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</si>
  <si>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</si>
  <si>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</si>
  <si>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</si>
  <si>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</si>
  <si>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</si>
  <si>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</si>
  <si>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</si>
  <si>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</si>
  <si>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</si>
  <si>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</si>
  <si>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</si>
  <si>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</si>
  <si>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</si>
  <si>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</si>
  <si>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</si>
  <si>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</si>
  <si>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</si>
  <si>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</si>
  <si>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</si>
  <si>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</si>
  <si>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</si>
  <si>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</si>
  <si>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</si>
  <si>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</si>
  <si>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</si>
  <si>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</si>
  <si>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</si>
  <si>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</si>
  <si>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</si>
  <si>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</si>
  <si>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</si>
  <si>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</si>
  <si>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</si>
  <si>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</si>
  <si>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</si>
  <si>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</si>
  <si>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</si>
  <si>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</si>
  <si>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</si>
  <si>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</si>
  <si>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</si>
  <si>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</si>
  <si>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</si>
  <si>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</si>
  <si>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</si>
  <si>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</si>
  <si>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</si>
  <si>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</si>
  <si>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</si>
  <si>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</si>
  <si>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</si>
  <si>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</si>
  <si>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</si>
  <si>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</si>
  <si>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</si>
  <si>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</si>
  <si>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</si>
  <si>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</si>
  <si>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</si>
  <si>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</si>
  <si>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</si>
  <si>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</si>
  <si>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</si>
  <si>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</si>
  <si>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</si>
  <si>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</si>
  <si>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</si>
  <si>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</si>
  <si>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</si>
  <si>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</si>
  <si>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</si>
  <si>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</si>
  <si>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</si>
  <si>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</si>
  <si>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</si>
  <si>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</si>
  <si>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</si>
  <si>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</si>
  <si>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</si>
  <si>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</si>
  <si>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</si>
  <si>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</si>
  <si>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</si>
  <si>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</si>
  <si>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</si>
  <si>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</si>
  <si>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</si>
  <si>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</si>
  <si>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</si>
  <si>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</si>
  <si>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</si>
  <si>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</si>
  <si>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</si>
  <si>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</si>
  <si>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</si>
  <si>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</si>
  <si>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</si>
  <si>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</si>
  <si>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</si>
  <si>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</si>
  <si>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</si>
  <si>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</si>
  <si>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</si>
  <si>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</si>
  <si>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</si>
  <si>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</si>
  <si>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</si>
  <si>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</si>
  <si>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</si>
  <si>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</si>
  <si>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</si>
  <si>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</si>
  <si>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</si>
  <si>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</si>
  <si>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</si>
  <si>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</si>
  <si>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</si>
  <si>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</si>
  <si>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</si>
  <si>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</si>
  <si>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</si>
  <si>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</si>
  <si>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</si>
  <si>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</si>
  <si>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</si>
  <si>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</si>
  <si>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</si>
  <si>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</si>
  <si>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</si>
  <si>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</si>
  <si>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</si>
  <si>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</si>
  <si>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</si>
  <si>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</si>
  <si>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</si>
  <si>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</si>
  <si>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</si>
  <si>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</si>
  <si>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</si>
  <si>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</si>
  <si>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</si>
  <si>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</si>
  <si>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</si>
  <si>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</si>
  <si>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</si>
  <si>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</si>
  <si>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</si>
  <si>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</si>
  <si>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</si>
  <si>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</si>
  <si>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</si>
  <si>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</si>
  <si>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</si>
  <si>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</si>
  <si>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</si>
  <si>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</si>
  <si>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</si>
  <si>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</si>
  <si>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</si>
  <si>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</si>
  <si>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</si>
  <si>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</si>
  <si>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</si>
  <si>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</si>
  <si>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</si>
  <si>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</si>
  <si>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</si>
  <si>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</si>
  <si>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</si>
  <si>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</si>
  <si>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</si>
  <si>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</si>
  <si>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</si>
  <si>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</si>
  <si>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</si>
  <si>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</si>
  <si>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</si>
  <si>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</si>
  <si>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</si>
  <si>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</si>
  <si>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</si>
  <si>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</si>
  <si>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</si>
  <si>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</si>
  <si>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</si>
  <si>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</si>
  <si>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</si>
  <si>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</si>
  <si>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</si>
  <si>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</si>
  <si>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</si>
  <si>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</si>
  <si>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</si>
  <si>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</si>
  <si>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</si>
  <si>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</si>
  <si>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</si>
  <si>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</si>
  <si>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</si>
  <si>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</si>
  <si>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</si>
  <si>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</si>
  <si>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</si>
  <si>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</si>
  <si>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</si>
  <si>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</si>
  <si>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</si>
  <si>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</si>
  <si>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</si>
  <si>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</si>
  <si>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</si>
  <si>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</si>
  <si>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</si>
  <si>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</si>
  <si>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</si>
  <si>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</si>
  <si>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</si>
  <si>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</si>
  <si>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</si>
  <si>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</si>
  <si>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</si>
  <si>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</si>
  <si>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</si>
  <si>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</si>
  <si>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</si>
  <si>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</si>
  <si>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</si>
  <si>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</si>
  <si>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</si>
  <si>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</si>
  <si>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</si>
  <si>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</si>
  <si>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</si>
  <si>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</si>
  <si>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</si>
  <si>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</si>
  <si>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</si>
  <si>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</si>
  <si>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</si>
  <si>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</si>
  <si>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</si>
  <si>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</si>
  <si>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</si>
  <si>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</si>
  <si>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</si>
  <si>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</si>
  <si>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</si>
  <si>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</si>
  <si>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</si>
  <si>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</si>
  <si>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</si>
  <si>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</si>
  <si>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</si>
  <si>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</si>
  <si>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</si>
  <si>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</si>
  <si>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</si>
  <si>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</si>
  <si>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</si>
  <si>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</si>
  <si>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</si>
  <si>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</si>
  <si>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</si>
  <si>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</si>
  <si>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</si>
  <si>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</si>
  <si>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</si>
  <si>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</si>
  <si>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</si>
  <si>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</si>
  <si>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</si>
  <si>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</si>
  <si>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</si>
  <si>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</si>
  <si>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</si>
  <si>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</si>
  <si>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</si>
  <si>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</si>
  <si>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</si>
  <si>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</si>
  <si>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</si>
  <si>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</si>
  <si>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</si>
  <si>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</si>
  <si>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</si>
  <si>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</si>
  <si>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</si>
  <si>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</si>
  <si>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</si>
  <si>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</si>
  <si>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</si>
  <si>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</si>
  <si>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</si>
  <si>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</si>
  <si>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</si>
  <si>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</si>
  <si>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</si>
  <si>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</si>
  <si>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</si>
  <si>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</si>
  <si>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</si>
  <si>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</si>
  <si>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</si>
  <si>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</si>
  <si>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</si>
  <si>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</si>
  <si>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</si>
  <si>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</si>
  <si>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</si>
  <si>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</si>
  <si>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</si>
  <si>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</si>
  <si>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</si>
  <si>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</si>
  <si>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</si>
  <si>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</si>
  <si>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</si>
  <si>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</si>
  <si>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</si>
  <si>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</si>
  <si>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</si>
  <si>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</si>
  <si>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</si>
  <si>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</si>
  <si>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</si>
  <si>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</si>
  <si>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</si>
  <si>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</si>
  <si>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</si>
  <si>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</si>
  <si>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</si>
  <si>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</si>
  <si>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</si>
  <si>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</si>
  <si>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</si>
  <si>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</si>
  <si>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</si>
  <si>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</si>
  <si>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</si>
  <si>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</si>
  <si>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</si>
  <si>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</si>
  <si>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</si>
  <si>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</si>
  <si>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</si>
  <si>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</si>
  <si>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</si>
  <si>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</si>
  <si>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</si>
  <si>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</si>
  <si>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</si>
  <si>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</si>
  <si>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</si>
  <si>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</si>
  <si>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</si>
  <si>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</si>
  <si>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</si>
  <si>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</si>
  <si>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</si>
  <si>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</si>
  <si>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</si>
  <si>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</si>
  <si>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</si>
  <si>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</si>
  <si>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</si>
  <si>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</si>
  <si>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</si>
  <si>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</si>
  <si>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</si>
  <si>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</si>
  <si>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</si>
  <si>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</si>
  <si>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</si>
  <si>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</si>
  <si>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</si>
  <si>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</si>
  <si>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</si>
  <si>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</si>
  <si>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</si>
  <si>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</si>
  <si>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</si>
  <si>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</si>
  <si>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</si>
  <si>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</si>
  <si>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</si>
  <si>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</si>
  <si>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</si>
  <si>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</si>
  <si>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</si>
  <si>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</si>
  <si>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</si>
  <si>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</si>
  <si>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</si>
  <si>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</si>
  <si>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</si>
  <si>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</si>
  <si>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</si>
  <si>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</si>
  <si>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</si>
  <si>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</si>
  <si>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</si>
  <si>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</si>
  <si>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</si>
  <si>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</si>
  <si>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</si>
  <si>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</si>
  <si>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</si>
  <si>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</si>
  <si>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</si>
  <si>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</si>
  <si>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</si>
  <si>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</si>
  <si>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</si>
  <si>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</si>
  <si>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</si>
  <si>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</si>
  <si>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</si>
  <si>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</si>
  <si>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</si>
  <si>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</si>
  <si>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</si>
  <si>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</si>
  <si>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</si>
  <si>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</si>
  <si>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</si>
  <si>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</si>
  <si>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</si>
  <si>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</si>
  <si>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</si>
  <si>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</si>
  <si>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</si>
  <si>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</si>
  <si>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</si>
  <si>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</si>
  <si>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</si>
  <si>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</si>
  <si>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</si>
  <si>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</si>
  <si>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</si>
  <si>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</si>
  <si>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</si>
  <si>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</si>
  <si>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</si>
  <si>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</si>
  <si>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</si>
  <si>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</si>
  <si>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</si>
  <si>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</si>
  <si>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</si>
  <si>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</si>
  <si>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</si>
  <si>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</si>
  <si>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</si>
  <si>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</si>
  <si>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</si>
  <si>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</si>
  <si>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</si>
  <si>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</si>
  <si>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</si>
  <si>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</si>
  <si>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</si>
  <si>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</si>
  <si>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</si>
  <si>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</si>
  <si>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</si>
  <si>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</si>
  <si>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</si>
  <si>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</si>
  <si>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</si>
  <si>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</si>
  <si>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</si>
  <si>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</si>
  <si>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</si>
  <si>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</si>
  <si>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</si>
  <si>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</si>
  <si>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</si>
  <si>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</si>
  <si>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</si>
  <si>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</si>
  <si>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</si>
  <si>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</si>
  <si>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</si>
  <si>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</si>
  <si>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</si>
  <si>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</si>
  <si>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</si>
  <si>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</si>
  <si>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</si>
  <si>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</si>
  <si>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</si>
  <si>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</si>
  <si>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</si>
  <si>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</si>
  <si>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</si>
  <si>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</si>
  <si>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</si>
  <si>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</si>
  <si>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</si>
  <si>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</si>
  <si>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</si>
  <si>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</si>
  <si>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</si>
  <si>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</si>
  <si>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</si>
  <si>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</si>
  <si>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</si>
  <si>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</si>
  <si>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</si>
  <si>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</si>
  <si>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</si>
  <si>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</si>
  <si>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</si>
  <si>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</si>
  <si>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</si>
  <si>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</si>
  <si>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</si>
  <si>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</si>
  <si>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</si>
  <si>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</si>
  <si>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</si>
  <si>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</si>
  <si>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</si>
  <si>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</si>
  <si>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</si>
  <si>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</si>
  <si>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</si>
  <si>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</si>
  <si>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</si>
  <si>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</si>
  <si>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</si>
  <si>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</si>
  <si>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</si>
  <si>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</si>
  <si>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</si>
  <si>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</si>
  <si>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</si>
  <si>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</si>
  <si>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</si>
  <si>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</si>
  <si>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</si>
  <si>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</si>
  <si>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</si>
  <si>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</si>
  <si>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</si>
  <si>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</si>
  <si>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</si>
  <si>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</si>
  <si>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</si>
  <si>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</si>
  <si>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</si>
  <si>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</si>
  <si>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</si>
  <si>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</si>
  <si>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</si>
  <si>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</si>
  <si>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</si>
  <si>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</si>
  <si>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</si>
  <si>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</si>
  <si>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</si>
  <si>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</si>
  <si>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</si>
  <si>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</si>
  <si>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</si>
  <si>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</si>
  <si>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</si>
  <si>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</si>
  <si>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</si>
  <si>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</si>
  <si>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</si>
  <si>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</si>
  <si>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</si>
  <si>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</si>
  <si>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</si>
  <si>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</si>
  <si>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</si>
  <si>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</si>
  <si>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</si>
  <si>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</si>
  <si>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</si>
  <si>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</si>
  <si>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</si>
  <si>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</si>
  <si>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</si>
  <si>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</si>
  <si>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</si>
  <si>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</si>
  <si>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</si>
  <si>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</si>
  <si>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</si>
  <si>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</si>
  <si>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</si>
  <si>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</si>
  <si>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</si>
  <si>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</si>
  <si>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</si>
  <si>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</si>
  <si>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</si>
  <si>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</si>
  <si>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</si>
  <si>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</si>
  <si>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</si>
  <si>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</si>
  <si>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</si>
  <si>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</si>
  <si>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</si>
  <si>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</si>
  <si>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</si>
  <si>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</si>
  <si>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</si>
  <si>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</si>
  <si>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</si>
  <si>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</si>
  <si>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</si>
  <si>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</si>
  <si>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</si>
  <si>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</si>
  <si>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</si>
  <si>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</si>
  <si>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</si>
  <si>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</si>
  <si>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</si>
  <si>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</si>
  <si>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</si>
  <si>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</si>
  <si>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</si>
  <si>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</si>
  <si>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</si>
  <si>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</si>
  <si>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</si>
  <si>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</si>
  <si>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</si>
  <si>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</si>
  <si>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</si>
  <si>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</si>
  <si>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</si>
  <si>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</si>
  <si>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</si>
  <si>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</si>
  <si>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</si>
  <si>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</si>
  <si>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</si>
  <si>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</si>
  <si>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</si>
  <si>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</si>
  <si>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</si>
  <si>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</si>
  <si>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</si>
  <si>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</si>
  <si>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</si>
  <si>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</si>
  <si>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</si>
  <si>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</si>
  <si>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</si>
  <si>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</si>
  <si>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</si>
  <si>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</si>
  <si>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</si>
  <si>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</si>
  <si>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</si>
  <si>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</si>
  <si>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</si>
  <si>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</si>
  <si>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</si>
  <si>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</si>
  <si>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</si>
  <si>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</si>
  <si>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</si>
  <si>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</si>
  <si>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</si>
  <si>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</si>
  <si>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</si>
  <si>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</si>
  <si>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</si>
  <si>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</si>
  <si>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</si>
  <si>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</si>
  <si>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</si>
  <si>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</si>
  <si>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</si>
  <si>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</si>
  <si>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</si>
  <si>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</si>
  <si>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</si>
  <si>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</si>
  <si>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</si>
  <si>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</si>
  <si>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</si>
  <si>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</si>
  <si>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</si>
  <si>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</si>
  <si>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</si>
  <si>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</si>
  <si>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</si>
  <si>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</si>
  <si>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</si>
  <si>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</si>
  <si>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</si>
  <si>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</si>
  <si>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</si>
  <si>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</si>
  <si>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</si>
  <si>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</si>
  <si>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</si>
  <si>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</si>
  <si>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</si>
  <si>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</si>
  <si>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</si>
  <si>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</si>
  <si>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</si>
  <si>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</si>
  <si>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</si>
  <si>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</si>
  <si>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</si>
  <si>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</si>
  <si>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</si>
  <si>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</si>
  <si>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</si>
  <si>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</si>
  <si>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</si>
  <si>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</si>
  <si>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</si>
  <si>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</si>
  <si>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</si>
  <si>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</si>
  <si>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</si>
  <si>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</si>
  <si>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</si>
  <si>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</si>
  <si>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</si>
  <si>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</si>
  <si>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</si>
  <si>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</si>
  <si>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</si>
  <si>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</si>
  <si>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</si>
  <si>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</si>
  <si>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</si>
  <si>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</si>
  <si>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</si>
  <si>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</si>
  <si>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</si>
  <si>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</si>
  <si>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</si>
  <si>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</si>
  <si>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</si>
  <si>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</si>
  <si>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</si>
  <si>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</si>
  <si>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</si>
  <si>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</si>
  <si>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</si>
  <si>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</si>
  <si>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</si>
  <si>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</si>
  <si>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</si>
  <si>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</si>
  <si>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</si>
  <si>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</si>
  <si>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</si>
  <si>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</si>
  <si>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</si>
  <si>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</si>
  <si>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</si>
  <si>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</si>
  <si>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</si>
  <si>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</si>
  <si>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</si>
  <si>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</si>
  <si>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</si>
  <si>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</si>
  <si>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</si>
  <si>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</si>
  <si>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</si>
  <si>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</si>
  <si>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</si>
  <si>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</si>
  <si>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</si>
  <si>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</si>
  <si>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</si>
  <si>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</si>
  <si>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</si>
  <si>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</si>
  <si>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</si>
  <si>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</si>
  <si>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</si>
  <si>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</si>
  <si>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</si>
  <si>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</si>
  <si>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</si>
  <si>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</si>
  <si>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</si>
  <si>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</si>
  <si>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</si>
  <si>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</si>
  <si>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</si>
  <si>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</si>
  <si>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</si>
  <si>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</si>
  <si>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</si>
  <si>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</si>
  <si>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</si>
  <si>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</si>
  <si>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</si>
  <si>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</si>
  <si>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</si>
  <si>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</si>
  <si>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</si>
  <si>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</si>
  <si>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</si>
  <si>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</si>
  <si>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</si>
  <si>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</si>
  <si>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</si>
  <si>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</si>
  <si>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</si>
  <si>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</si>
  <si>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</si>
  <si>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</si>
  <si>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</si>
  <si>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</si>
  <si>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</si>
  <si>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</si>
  <si>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</si>
  <si>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</si>
  <si>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</si>
  <si>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</si>
  <si>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</si>
  <si>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</si>
  <si>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</si>
  <si>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</si>
  <si>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</si>
  <si>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</si>
  <si>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</si>
  <si>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</si>
  <si>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</si>
  <si>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</si>
  <si>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</si>
  <si>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</si>
  <si>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</si>
  <si>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</si>
  <si>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</si>
  <si>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</si>
  <si>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</si>
  <si>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</si>
  <si>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</si>
  <si>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</si>
  <si>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</si>
  <si>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</si>
  <si>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</si>
  <si>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</si>
  <si>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</si>
  <si>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</si>
  <si>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</si>
  <si>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</si>
  <si>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</si>
  <si>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</si>
  <si>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</si>
  <si>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</si>
  <si>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</si>
  <si>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</si>
  <si>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</si>
  <si>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</si>
  <si>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</si>
  <si>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</si>
  <si>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</si>
  <si>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</si>
  <si>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</si>
  <si>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</si>
  <si>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</si>
  <si>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</si>
  <si>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</si>
  <si>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</si>
  <si>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</si>
  <si>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</si>
  <si>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</si>
  <si>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</si>
  <si>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</si>
  <si>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</si>
  <si>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</si>
  <si>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</si>
  <si>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</si>
  <si>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</si>
  <si>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</si>
  <si>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</si>
  <si>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</si>
  <si>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</si>
  <si>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</si>
  <si>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</si>
  <si>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</si>
  <si>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</si>
  <si>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</si>
  <si>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</si>
  <si>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</si>
  <si>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</si>
  <si>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</si>
  <si>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</si>
  <si>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</si>
  <si>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</si>
  <si>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</si>
  <si>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</si>
  <si>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</si>
  <si>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</si>
  <si>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</si>
  <si>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</si>
  <si>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</si>
  <si>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</si>
  <si>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</si>
  <si>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</si>
  <si>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</si>
  <si>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</si>
  <si>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</si>
  <si>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</si>
  <si>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</si>
  <si>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</si>
  <si>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</si>
  <si>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</si>
  <si>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</si>
  <si>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</si>
  <si>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</si>
  <si>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</si>
  <si>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</si>
  <si>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</si>
  <si>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</si>
  <si>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</si>
  <si>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</si>
  <si>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</si>
  <si>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</si>
  <si>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</si>
  <si>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</si>
  <si>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</si>
  <si>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</si>
  <si>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</si>
  <si>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</si>
  <si>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</si>
  <si>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</si>
  <si>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</si>
  <si>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</si>
  <si>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</si>
  <si>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</si>
  <si>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</si>
  <si>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</si>
  <si>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</si>
  <si>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</si>
  <si>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</si>
  <si>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</si>
  <si>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</si>
  <si>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</si>
  <si>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</si>
  <si>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</si>
  <si>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</si>
  <si>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</si>
  <si>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</si>
  <si>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</si>
  <si>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</si>
  <si>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</si>
  <si>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</si>
  <si>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</si>
  <si>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</si>
  <si>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</si>
  <si>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</si>
  <si>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</si>
  <si>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</si>
  <si>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</si>
  <si>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</si>
  <si>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</si>
  <si>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</si>
  <si>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</si>
  <si>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</si>
  <si>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</si>
  <si>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</si>
  <si>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</si>
  <si>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</si>
  <si>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</si>
  <si>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</si>
  <si>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</si>
  <si>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</si>
  <si>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</si>
  <si>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</si>
  <si>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</si>
  <si>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</si>
  <si>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</si>
  <si>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</si>
  <si>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</si>
  <si>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</si>
  <si>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</si>
  <si>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</si>
  <si>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</si>
  <si>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</si>
  <si>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</si>
  <si>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</si>
  <si>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</si>
  <si>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</si>
  <si>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</si>
  <si>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</si>
  <si>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</si>
  <si>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</si>
  <si>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</si>
  <si>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</si>
  <si>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</si>
  <si>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</si>
  <si>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</si>
  <si>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</si>
  <si>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</si>
  <si>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</si>
  <si>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</si>
  <si>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</si>
  <si>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</si>
  <si>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</si>
  <si>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</si>
  <si>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</si>
  <si>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</si>
  <si>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</si>
  <si>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</si>
  <si>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</si>
  <si>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</si>
  <si>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</si>
  <si>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</si>
  <si>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</si>
  <si>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</si>
  <si>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</si>
  <si>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</si>
  <si>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</si>
  <si>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</si>
  <si>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</si>
  <si>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</si>
  <si>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</si>
  <si>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</si>
  <si>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</si>
  <si>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</si>
  <si>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</si>
  <si>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</si>
  <si>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</si>
  <si>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</si>
  <si>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</si>
  <si>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</si>
  <si>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</si>
  <si>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</si>
  <si>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</si>
  <si>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</si>
  <si>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</si>
  <si>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</si>
  <si>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</si>
  <si>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</si>
  <si>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</si>
  <si>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</si>
  <si>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</si>
  <si>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</si>
  <si>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</si>
  <si>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</si>
  <si>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</si>
  <si>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</si>
  <si>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</si>
  <si>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</si>
  <si>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</si>
  <si>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</si>
  <si>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</si>
  <si>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</si>
  <si>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</si>
  <si>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</si>
  <si>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</si>
  <si>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</si>
  <si>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</si>
  <si>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</si>
  <si>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</si>
  <si>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</si>
  <si>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</si>
  <si>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</si>
  <si>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</si>
  <si>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</si>
  <si>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</si>
  <si>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</si>
  <si>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</si>
  <si>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</si>
  <si>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</si>
  <si>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</si>
  <si>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</si>
  <si>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</si>
  <si>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</si>
  <si>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</si>
  <si>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</si>
  <si>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</si>
  <si>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</si>
  <si>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</si>
  <si>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</si>
  <si>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</si>
  <si>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</si>
  <si>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</si>
  <si>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</si>
  <si>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</si>
  <si>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</si>
  <si>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</si>
  <si>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</si>
  <si>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</si>
  <si>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</si>
  <si>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</si>
  <si>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</si>
  <si>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</si>
  <si>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</si>
  <si>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</si>
  <si>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</si>
  <si>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</si>
  <si>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</si>
  <si>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</si>
  <si>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</si>
  <si>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</si>
  <si>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</si>
  <si>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</si>
  <si>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</si>
  <si>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</si>
  <si>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</si>
  <si>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</si>
  <si>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</si>
  <si>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</si>
  <si>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</si>
  <si>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</si>
  <si>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</si>
  <si>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</si>
  <si>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</si>
  <si>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</si>
  <si>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</si>
  <si>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</si>
  <si>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</si>
  <si>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</si>
  <si>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</si>
  <si>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</si>
  <si>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</si>
  <si>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</si>
  <si>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</si>
  <si>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</si>
  <si>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</si>
  <si>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</si>
  <si>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</si>
  <si>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</si>
  <si>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</si>
  <si>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</si>
  <si>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</si>
  <si>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</si>
  <si>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</si>
  <si>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</si>
  <si>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</si>
  <si>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</si>
  <si>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</si>
  <si>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</si>
  <si>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</si>
  <si>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</si>
  <si>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</si>
  <si>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</si>
  <si>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</si>
  <si>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</si>
  <si>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</si>
  <si>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</si>
  <si>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</si>
  <si>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</si>
  <si>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</si>
  <si>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</si>
  <si>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</si>
  <si>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</si>
  <si>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</si>
  <si>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</si>
  <si>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</si>
  <si>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</si>
  <si>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</si>
  <si>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</si>
  <si>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</si>
  <si>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</si>
  <si>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</si>
  <si>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</si>
  <si>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</si>
  <si>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</si>
  <si>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</si>
  <si>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</si>
  <si>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</si>
  <si>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</si>
  <si>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</si>
  <si>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</si>
  <si>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</si>
  <si>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</si>
  <si>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</si>
  <si>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</si>
  <si>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</si>
  <si>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</si>
  <si>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</si>
  <si>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</si>
  <si>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</si>
  <si>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</si>
  <si>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</si>
  <si>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</si>
  <si>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</si>
  <si>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</si>
  <si>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</si>
  <si>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</si>
  <si>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</si>
  <si>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</si>
  <si>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</si>
  <si>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</si>
  <si>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</si>
  <si>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</si>
  <si>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</si>
  <si>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</si>
  <si>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</si>
  <si>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</si>
  <si>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</si>
  <si>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</si>
  <si>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</si>
  <si>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</si>
  <si>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</si>
  <si>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</si>
  <si>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</si>
  <si>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</si>
  <si>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</si>
  <si>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</si>
  <si>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</si>
  <si>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</si>
  <si>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</si>
  <si>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</si>
  <si>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</si>
  <si>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</si>
  <si>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</si>
  <si>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</si>
  <si>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</si>
  <si>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</si>
  <si>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</si>
  <si>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</si>
  <si>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</si>
  <si>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</si>
  <si>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</si>
  <si>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</si>
  <si>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</si>
  <si>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</si>
  <si>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</si>
  <si>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</si>
  <si>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</si>
  <si>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</si>
  <si>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</si>
  <si>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</si>
  <si>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</si>
  <si>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</si>
  <si>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</si>
  <si>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</si>
  <si>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</si>
  <si>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</si>
  <si>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</si>
  <si>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</si>
  <si>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</si>
  <si>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</si>
  <si>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</si>
  <si>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</si>
  <si>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</si>
  <si>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</si>
  <si>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</si>
  <si>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</si>
  <si>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</si>
  <si>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</si>
  <si>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</si>
  <si>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</si>
  <si>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</si>
  <si>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</si>
  <si>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</si>
  <si>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</si>
  <si>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</si>
  <si>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</si>
  <si>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</si>
  <si>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</si>
  <si>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</si>
  <si>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</si>
  <si>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</si>
  <si>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</si>
  <si>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</si>
  <si>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</si>
  <si>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</si>
  <si>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</si>
  <si>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</si>
  <si>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</si>
  <si>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</si>
  <si>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</si>
  <si>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</si>
  <si>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</si>
  <si>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</si>
  <si>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</si>
  <si>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</si>
  <si>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</si>
  <si>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</si>
  <si>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</si>
  <si>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</si>
  <si>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</si>
  <si>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</si>
  <si>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</si>
  <si>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</si>
  <si>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</si>
  <si>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</si>
  <si>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</si>
  <si>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</si>
  <si>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</si>
  <si>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</si>
  <si>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</si>
  <si>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</si>
  <si>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</si>
  <si>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</si>
  <si>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</si>
  <si>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</si>
  <si>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</si>
  <si>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</si>
  <si>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</si>
  <si>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</si>
  <si>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</si>
  <si>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</si>
  <si>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</si>
  <si>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</si>
  <si>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</si>
  <si>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</si>
  <si>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</si>
  <si>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</si>
  <si>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</si>
  <si>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</si>
  <si>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</si>
  <si>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</si>
  <si>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</si>
  <si>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</si>
  <si>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</si>
  <si>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</si>
  <si>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</si>
  <si>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</si>
  <si>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</si>
  <si>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</si>
  <si>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</si>
  <si>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</si>
  <si>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</si>
  <si>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</si>
  <si>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</si>
  <si>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</si>
  <si>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</si>
  <si>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</si>
  <si>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</si>
  <si>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</si>
  <si>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</si>
  <si>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</si>
  <si>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</si>
  <si>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</si>
  <si>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</si>
  <si>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</si>
  <si>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</si>
  <si>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</si>
  <si>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</si>
  <si>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</si>
  <si>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</si>
  <si>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</si>
  <si>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</si>
  <si>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</si>
  <si>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</si>
  <si>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</si>
  <si>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</si>
  <si>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</si>
  <si>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</si>
  <si>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</si>
  <si>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</si>
  <si>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</si>
  <si>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</si>
  <si>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</si>
  <si>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</si>
  <si>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</si>
  <si>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</si>
  <si>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</si>
  <si>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</si>
  <si>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</si>
  <si>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</si>
  <si>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</si>
  <si>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</si>
  <si>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</si>
  <si>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</si>
  <si>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</si>
  <si>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</si>
  <si>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</si>
  <si>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</si>
  <si>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</si>
  <si>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</si>
  <si>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</si>
  <si>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</si>
  <si>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</si>
  <si>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</si>
  <si>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</si>
  <si>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</si>
  <si>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</si>
  <si>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</si>
  <si>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</si>
  <si>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</si>
  <si>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</si>
  <si>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</si>
  <si>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</si>
  <si>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</si>
  <si>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</si>
  <si>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</si>
  <si>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</si>
  <si>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</si>
  <si>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</si>
  <si>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</si>
  <si>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</si>
  <si>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</si>
  <si>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</si>
  <si>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</si>
  <si>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</si>
  <si>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</si>
  <si>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</si>
  <si>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</si>
  <si>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</si>
  <si>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</si>
  <si>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</si>
  <si>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</si>
  <si>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</si>
  <si>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</si>
  <si>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</si>
  <si>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</si>
  <si>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</si>
  <si>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</si>
  <si>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</si>
  <si>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</si>
  <si>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</si>
  <si>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</si>
  <si>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</si>
  <si>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</si>
  <si>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</si>
  <si>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</si>
  <si>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</si>
  <si>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</si>
  <si>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</si>
  <si>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</si>
  <si>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</si>
  <si>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</si>
  <si>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</si>
  <si>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</si>
  <si>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</si>
  <si>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</si>
  <si>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</si>
  <si>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</si>
  <si>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</si>
  <si>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</si>
  <si>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</si>
  <si>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</si>
  <si>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</si>
  <si>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</si>
  <si>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</si>
  <si>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</si>
  <si>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</si>
  <si>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</si>
  <si>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</si>
  <si>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</si>
  <si>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</si>
  <si>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</si>
  <si>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</si>
  <si>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</si>
  <si>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</si>
  <si>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</si>
  <si>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</si>
  <si>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</si>
  <si>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</si>
  <si>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</si>
  <si>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</si>
  <si>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</si>
  <si>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</si>
  <si>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</si>
  <si>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</si>
  <si>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</si>
  <si>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</si>
  <si>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</si>
  <si>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</si>
  <si>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</si>
  <si>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</si>
  <si>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</si>
  <si>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</si>
  <si>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</si>
  <si>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</si>
  <si>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</si>
  <si>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</si>
  <si>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</si>
  <si>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</si>
  <si>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</si>
  <si>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</si>
  <si>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</si>
  <si>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</si>
  <si>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</si>
  <si>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</si>
  <si>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</si>
  <si>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</si>
  <si>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</si>
  <si>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</si>
  <si>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</si>
  <si>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</si>
  <si>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</si>
  <si>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</si>
  <si>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</si>
  <si>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</si>
  <si>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</si>
  <si>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</si>
  <si>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</si>
  <si>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</si>
  <si>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</si>
  <si>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</si>
  <si>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</si>
  <si>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</si>
  <si>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</si>
  <si>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</si>
  <si>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</si>
  <si>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</si>
  <si>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</si>
  <si>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</si>
  <si>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</si>
  <si>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</si>
  <si>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</si>
  <si>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</si>
  <si>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</si>
  <si>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</si>
  <si>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</si>
  <si>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</si>
  <si>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</si>
  <si>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</si>
  <si>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</si>
  <si>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</si>
  <si>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</si>
  <si>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</si>
  <si>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</si>
  <si>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</si>
  <si>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</si>
  <si>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</si>
  <si>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</si>
  <si>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</si>
  <si>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</si>
  <si>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</si>
  <si>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</si>
  <si>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</si>
  <si>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</si>
  <si>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</si>
  <si>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</si>
  <si>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</si>
  <si>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</si>
  <si>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</si>
  <si>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</si>
  <si>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</si>
  <si>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</si>
  <si>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</si>
  <si>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</si>
  <si>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</si>
  <si>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</si>
  <si>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</si>
  <si>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</si>
  <si>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</si>
  <si>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</si>
  <si>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</si>
  <si>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</si>
  <si>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</si>
  <si>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</si>
  <si>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</si>
  <si>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</si>
  <si>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</si>
  <si>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</si>
  <si>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</si>
  <si>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</si>
  <si>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</si>
  <si>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</si>
  <si>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</si>
  <si>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</si>
  <si>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</si>
  <si>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</si>
  <si>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</si>
  <si>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</si>
  <si>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</si>
  <si>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</si>
  <si>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</si>
  <si>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</si>
  <si>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</si>
  <si>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</si>
  <si>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</si>
  <si>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</si>
  <si>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</si>
  <si>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</si>
  <si>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</si>
  <si>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</si>
  <si>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</si>
  <si>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</si>
  <si>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</si>
  <si>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</si>
  <si>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</si>
  <si>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</si>
  <si>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</si>
  <si>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</si>
  <si>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</si>
  <si>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</si>
  <si>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</si>
  <si>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</si>
  <si>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</si>
  <si>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</si>
  <si>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</si>
  <si>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</si>
  <si>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</si>
  <si>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</si>
  <si>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</si>
  <si>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</si>
  <si>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</si>
  <si>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</si>
  <si>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</si>
  <si>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</si>
  <si>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</si>
  <si>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</si>
  <si>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</si>
  <si>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</si>
  <si>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</si>
  <si>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</si>
  <si>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</si>
  <si>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</si>
  <si>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</si>
  <si>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</si>
  <si>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</si>
  <si>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</si>
  <si>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</si>
  <si>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</si>
  <si>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</si>
  <si>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</si>
  <si>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</si>
  <si>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</si>
  <si>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</si>
  <si>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</si>
  <si>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</si>
  <si>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</si>
  <si>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</si>
  <si>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</si>
  <si>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</si>
  <si>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</si>
  <si>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</si>
  <si>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</si>
  <si>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</si>
  <si>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</si>
  <si>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</si>
  <si>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</si>
  <si>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</si>
  <si>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</si>
  <si>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</si>
  <si>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</si>
  <si>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</si>
  <si>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</si>
  <si>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</si>
  <si>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</si>
  <si>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</si>
  <si>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</si>
  <si>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</si>
  <si>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</si>
  <si>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</si>
  <si>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</si>
  <si>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</si>
  <si>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</si>
  <si>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</si>
  <si>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</si>
  <si>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</si>
  <si>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</si>
  <si>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</si>
  <si>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</si>
  <si>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</si>
  <si>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</si>
  <si>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</si>
  <si>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</si>
  <si>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</si>
  <si>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</si>
  <si>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</si>
  <si>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</si>
  <si>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</si>
  <si>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</si>
  <si>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</si>
  <si>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</si>
  <si>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</si>
  <si>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</si>
  <si>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</si>
  <si>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</si>
  <si>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</si>
  <si>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</si>
  <si>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</si>
  <si>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</si>
  <si>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</si>
  <si>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</si>
  <si>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</si>
  <si>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</si>
  <si>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</si>
  <si>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</si>
  <si>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</si>
  <si>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</si>
  <si>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</si>
  <si>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</si>
  <si>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</si>
  <si>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</si>
  <si>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</si>
  <si>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</si>
  <si>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</si>
  <si>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</si>
  <si>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</si>
  <si>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</si>
  <si>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</si>
  <si>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</si>
  <si>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</si>
  <si>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</si>
  <si>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</si>
  <si>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</si>
  <si>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</si>
  <si>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</si>
  <si>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</si>
  <si>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</si>
  <si>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</si>
  <si>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</si>
  <si>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</si>
  <si>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</si>
  <si>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</si>
  <si>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</si>
  <si>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</si>
  <si>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</si>
  <si>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</si>
  <si>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</si>
  <si>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</si>
  <si>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</si>
  <si>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</si>
  <si>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</si>
  <si>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</si>
  <si>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</si>
  <si>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</si>
  <si>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</si>
  <si>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</si>
  <si>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</si>
  <si>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</si>
  <si>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</si>
  <si>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</si>
  <si>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</si>
  <si>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</si>
  <si>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</si>
  <si>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</si>
  <si>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</si>
  <si>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</si>
  <si>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</si>
  <si>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</si>
  <si>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</si>
  <si>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</si>
  <si>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</si>
  <si>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</si>
  <si>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</si>
  <si>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</si>
  <si>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</si>
  <si>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</si>
  <si>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</si>
  <si>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</si>
  <si>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</si>
  <si>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</si>
  <si>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</si>
  <si>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</si>
  <si>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</si>
  <si>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</si>
  <si>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</si>
  <si>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</si>
  <si>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</si>
  <si>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</si>
  <si>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</si>
  <si>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</si>
  <si>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</si>
  <si>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</si>
  <si>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</si>
  <si>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</si>
  <si>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</si>
  <si>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</si>
  <si>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</si>
  <si>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</si>
  <si>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</si>
  <si>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</si>
  <si>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</si>
  <si>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</si>
  <si>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</si>
  <si>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</si>
  <si>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</si>
  <si>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</si>
  <si>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</si>
  <si>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</si>
  <si>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</si>
  <si>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</si>
  <si>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</si>
  <si>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</si>
  <si>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</si>
  <si>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</si>
  <si>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</si>
  <si>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</si>
  <si>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</si>
  <si>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</si>
  <si>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</si>
  <si>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</si>
  <si>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</si>
  <si>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</si>
  <si>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</si>
  <si>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</si>
  <si>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</si>
  <si>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</si>
  <si>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</si>
  <si>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</si>
  <si>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</si>
  <si>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</si>
  <si>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</si>
  <si>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</si>
  <si>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</si>
  <si>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</si>
  <si>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</si>
  <si>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</si>
  <si>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</si>
  <si>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</si>
  <si>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</si>
  <si>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</si>
  <si>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</si>
  <si>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</si>
  <si>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</si>
  <si>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</si>
  <si>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</si>
  <si>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</si>
  <si>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</si>
  <si>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</si>
  <si>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</si>
  <si>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</si>
  <si>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</si>
  <si>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</si>
  <si>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</si>
  <si>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</si>
  <si>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</si>
  <si>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</si>
  <si>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</si>
  <si>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</si>
  <si>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</si>
  <si>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</si>
  <si>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</si>
  <si>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</si>
  <si>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</si>
  <si>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</si>
  <si>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</si>
  <si>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</si>
  <si>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</si>
  <si>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</si>
  <si>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</si>
  <si>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</si>
  <si>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</si>
  <si>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</si>
  <si>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</si>
  <si>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</si>
  <si>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</si>
  <si>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</si>
  <si>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</si>
  <si>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</si>
  <si>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</si>
  <si>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</si>
  <si>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</si>
  <si>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</si>
  <si>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</si>
  <si>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</si>
  <si>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</si>
  <si>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</si>
  <si>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</si>
  <si>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</si>
  <si>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</si>
  <si>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</si>
  <si>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</si>
  <si>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</si>
  <si>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</si>
  <si>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</si>
  <si>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</si>
  <si>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</si>
  <si>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</si>
  <si>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</si>
  <si>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</si>
  <si>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</si>
  <si>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</si>
  <si>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</si>
  <si>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</si>
  <si>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</si>
  <si>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</si>
  <si>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</si>
  <si>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</si>
  <si>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</si>
  <si>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</si>
  <si>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</si>
  <si>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</si>
  <si>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</si>
  <si>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</si>
  <si>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</si>
  <si>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</si>
  <si>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</si>
  <si>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</si>
  <si>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</si>
  <si>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</si>
  <si>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</si>
  <si>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</si>
  <si>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</si>
  <si>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</si>
  <si>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</si>
  <si>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</si>
  <si>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</si>
  <si>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</si>
  <si>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</si>
  <si>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</si>
  <si>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</si>
  <si>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</si>
  <si>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</si>
  <si>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</si>
  <si>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</si>
  <si>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</si>
  <si>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</si>
  <si>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</si>
  <si>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</si>
  <si>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</si>
  <si>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</si>
  <si>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</si>
  <si>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</si>
  <si>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</si>
  <si>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</si>
  <si>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</si>
  <si>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</si>
  <si>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</si>
  <si>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</si>
  <si>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</si>
  <si>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</si>
  <si>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</si>
  <si>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</si>
  <si>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</si>
  <si>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</si>
  <si>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</si>
  <si>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</si>
  <si>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</si>
  <si>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</si>
  <si>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</si>
  <si>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</si>
  <si>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</si>
  <si>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</si>
  <si>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</si>
  <si>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</si>
  <si>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</si>
  <si>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</si>
  <si>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</si>
  <si>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</si>
  <si>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</si>
  <si>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</si>
  <si>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</si>
  <si>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</si>
  <si>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</si>
  <si>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</si>
  <si>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</si>
  <si>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</si>
  <si>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</si>
  <si>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</si>
  <si>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</si>
  <si>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</si>
  <si>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</si>
  <si>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</si>
  <si>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</si>
  <si>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</si>
  <si>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</si>
  <si>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</si>
  <si>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</si>
  <si>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</si>
  <si>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</si>
  <si>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</si>
  <si>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</si>
  <si>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</si>
  <si>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</si>
  <si>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</si>
  <si>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</si>
  <si>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</si>
  <si>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</si>
  <si>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</si>
  <si>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</si>
  <si>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</si>
  <si>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</si>
  <si>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</si>
  <si>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</si>
  <si>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</si>
  <si>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</si>
  <si>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</si>
  <si>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</si>
  <si>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</si>
  <si>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</si>
  <si>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</si>
  <si>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</si>
  <si>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</si>
  <si>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</si>
  <si>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</si>
  <si>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</si>
  <si>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</si>
  <si>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</si>
  <si>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</si>
  <si>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</si>
  <si>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</si>
  <si>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</si>
  <si>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</si>
  <si>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</si>
  <si>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</si>
  <si>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</si>
  <si>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</si>
  <si>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</si>
  <si>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</si>
  <si>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</si>
  <si>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</si>
  <si>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</si>
  <si>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</si>
  <si>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</si>
  <si>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</si>
  <si>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</si>
  <si>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</si>
  <si>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</si>
  <si>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</si>
  <si>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</si>
  <si>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</si>
  <si>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</si>
  <si>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</si>
  <si>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</si>
  <si>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</si>
  <si>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</si>
  <si>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</si>
  <si>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</si>
  <si>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</si>
  <si>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</si>
  <si>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</si>
  <si>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</si>
  <si>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</si>
  <si>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</si>
  <si>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</si>
  <si>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</si>
  <si>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</si>
  <si>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</si>
  <si>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</si>
  <si>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</si>
  <si>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</si>
  <si>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</si>
  <si>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</si>
  <si>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</si>
  <si>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</si>
  <si>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</si>
  <si>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</si>
  <si>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</si>
  <si>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</si>
  <si>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</si>
  <si>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</si>
  <si>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</si>
  <si>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</si>
  <si>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</si>
  <si>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</si>
  <si>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</si>
  <si>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</si>
  <si>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</si>
  <si>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</si>
  <si>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</si>
  <si>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</si>
  <si>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</si>
  <si>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</si>
  <si>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</si>
  <si>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</si>
  <si>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</si>
  <si>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</si>
  <si>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</si>
  <si>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</si>
  <si>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</si>
  <si>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</si>
  <si>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</si>
  <si>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</si>
  <si>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</si>
  <si>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</si>
  <si>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</si>
  <si>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</si>
  <si>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</si>
  <si>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</si>
  <si>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</si>
  <si>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</si>
  <si>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</si>
  <si>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</si>
  <si>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</si>
  <si>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</si>
  <si>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</si>
  <si>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</si>
  <si>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</si>
  <si>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</si>
  <si>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</si>
  <si>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</si>
  <si>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</si>
  <si>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</si>
  <si>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</si>
  <si>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</si>
  <si>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</si>
  <si>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</si>
  <si>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</si>
  <si>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</si>
  <si>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</si>
  <si>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</si>
  <si>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</si>
  <si>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</si>
  <si>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</si>
  <si>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</si>
  <si>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</si>
  <si>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</si>
  <si>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</si>
  <si>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</si>
  <si>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</si>
  <si>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</si>
  <si>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</si>
  <si>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</si>
  <si>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</si>
  <si>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</si>
  <si>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</si>
  <si>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</si>
  <si>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</si>
  <si>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</si>
  <si>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</si>
  <si>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</si>
  <si>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</si>
  <si>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</si>
  <si>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</si>
  <si>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</si>
  <si>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</si>
  <si>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</si>
  <si>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</si>
  <si>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</si>
  <si>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</si>
  <si>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</si>
  <si>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</si>
  <si>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</si>
  <si>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</si>
  <si>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</si>
  <si>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</si>
  <si>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</si>
  <si>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</si>
  <si>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</si>
  <si>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</si>
  <si>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</si>
  <si>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</si>
  <si>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</si>
  <si>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</si>
  <si>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</si>
  <si>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</si>
  <si>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</si>
  <si>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</si>
  <si>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</si>
  <si>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</si>
  <si>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</si>
  <si>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</si>
  <si>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</si>
  <si>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</si>
  <si>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</si>
  <si>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</si>
  <si>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</si>
  <si>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</si>
  <si>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</si>
  <si>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</si>
  <si>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</si>
  <si>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</si>
  <si>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</si>
  <si>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</si>
  <si>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</si>
  <si>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</si>
  <si>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</si>
  <si>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</si>
  <si>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</si>
  <si>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</si>
  <si>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</si>
  <si>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</si>
  <si>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</si>
  <si>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</si>
  <si>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</si>
  <si>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</si>
  <si>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</si>
  <si>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</si>
  <si>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</si>
  <si>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</si>
  <si>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</si>
  <si>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</si>
  <si>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</si>
  <si>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</si>
  <si>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</si>
  <si>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</si>
  <si>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</si>
  <si>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</si>
  <si>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</si>
  <si>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</si>
  <si>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</si>
  <si>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</si>
  <si>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</si>
  <si>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</si>
  <si>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</si>
  <si>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</si>
  <si>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</si>
  <si>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</si>
  <si>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</si>
  <si>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</si>
  <si>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</si>
  <si>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</si>
  <si>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</si>
  <si>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</si>
  <si>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</si>
  <si>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</si>
  <si>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</si>
  <si>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</si>
  <si>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</si>
  <si>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</si>
  <si>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</si>
  <si>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</si>
  <si>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</si>
  <si>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</si>
  <si>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</si>
  <si>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</si>
  <si>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</si>
  <si>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</si>
  <si>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</si>
  <si>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</si>
  <si>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</si>
  <si>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</si>
  <si>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</si>
  <si>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</si>
  <si>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</si>
  <si>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</si>
  <si>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</si>
  <si>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</si>
  <si>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</si>
  <si>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</si>
  <si>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</si>
  <si>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</si>
  <si>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</si>
  <si>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</si>
  <si>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</si>
  <si>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</si>
  <si>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</si>
  <si>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</si>
  <si>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</si>
  <si>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</si>
  <si>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</si>
  <si>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</si>
  <si>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</si>
  <si>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</si>
  <si>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</si>
  <si>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</si>
  <si>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</si>
  <si>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</si>
  <si>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</si>
  <si>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</si>
  <si>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</si>
  <si>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</si>
  <si>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</si>
  <si>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</si>
  <si>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</si>
  <si>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</si>
  <si>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</si>
  <si>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</si>
  <si>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</si>
  <si>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</si>
  <si>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</si>
  <si>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</si>
  <si>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</si>
  <si>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</si>
  <si>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</si>
  <si>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</si>
  <si>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</si>
  <si>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</si>
  <si>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</si>
  <si>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</si>
  <si>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</si>
  <si>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</si>
  <si>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</si>
  <si>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</si>
  <si>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</si>
  <si>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</si>
  <si>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</si>
  <si>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</si>
  <si>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</si>
  <si>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</si>
  <si>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</si>
  <si>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</si>
  <si>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</si>
  <si>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</si>
  <si>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</si>
  <si>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</si>
  <si>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</si>
  <si>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</si>
  <si>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</si>
  <si>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</si>
  <si>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</si>
  <si>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</si>
  <si>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</si>
  <si>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</si>
  <si>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</si>
  <si>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</si>
  <si>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</si>
  <si>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</si>
  <si>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</si>
  <si>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</si>
  <si>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</si>
  <si>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</si>
  <si>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</si>
  <si>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</si>
  <si>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</si>
  <si>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</si>
  <si>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</si>
  <si>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</si>
  <si>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</si>
  <si>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</si>
  <si>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</si>
  <si>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</si>
  <si>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</si>
  <si>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</si>
  <si>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</si>
  <si>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</si>
  <si>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</si>
  <si>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</si>
  <si>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</si>
  <si>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</si>
  <si>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</si>
  <si>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</si>
  <si>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</si>
  <si>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</si>
  <si>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</si>
  <si>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</si>
  <si>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</si>
  <si>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</si>
  <si>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</si>
  <si>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</si>
  <si>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</si>
  <si>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</si>
  <si>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</si>
  <si>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</si>
  <si>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</si>
  <si>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</si>
  <si>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</si>
  <si>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</si>
  <si>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</si>
  <si>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</si>
  <si>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</si>
  <si>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</si>
  <si>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</si>
  <si>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</si>
  <si>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</si>
  <si>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</si>
  <si>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</si>
  <si>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</si>
  <si>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</si>
  <si>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</si>
  <si>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</si>
  <si>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</si>
  <si>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</si>
  <si>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</si>
  <si>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</si>
  <si>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</si>
  <si>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</si>
  <si>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</si>
  <si>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</si>
  <si>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</si>
  <si>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</si>
  <si>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</si>
  <si>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</si>
  <si>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</si>
  <si>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</si>
  <si>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</si>
  <si>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</si>
  <si>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</si>
  <si>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</si>
  <si>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</si>
  <si>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</si>
  <si>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</si>
  <si>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</si>
  <si>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</si>
  <si>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</si>
  <si>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</si>
  <si>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</si>
  <si>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</si>
  <si>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</si>
  <si>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</si>
  <si>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</si>
  <si>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</si>
  <si>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</si>
  <si>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</si>
  <si>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</si>
  <si>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</si>
  <si>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</si>
  <si>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</si>
  <si>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</si>
  <si>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</si>
  <si>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</si>
  <si>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</si>
  <si>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</si>
  <si>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</si>
  <si>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</si>
  <si>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</si>
  <si>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</si>
  <si>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</si>
  <si>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</si>
  <si>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</si>
  <si>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</si>
  <si>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</si>
  <si>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</si>
  <si>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</si>
  <si>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</si>
  <si>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</si>
  <si>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</si>
  <si>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</si>
  <si>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</si>
  <si>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</si>
  <si>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</si>
  <si>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</si>
  <si>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</si>
  <si>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</si>
  <si>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</si>
  <si>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</si>
  <si>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</si>
  <si>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</si>
  <si>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</si>
  <si>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</si>
  <si>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</si>
  <si>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</si>
  <si>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</si>
  <si>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</si>
  <si>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</si>
  <si>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</si>
  <si>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</si>
  <si>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</si>
  <si>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</si>
  <si>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</si>
  <si>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</si>
  <si>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</si>
  <si>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</si>
  <si>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</si>
  <si>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</si>
  <si>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</si>
  <si>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</si>
  <si>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</si>
  <si>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</si>
  <si>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</si>
  <si>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</si>
  <si>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</si>
  <si>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</si>
  <si>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</si>
  <si>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</si>
  <si>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</si>
  <si>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</si>
  <si>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</si>
  <si>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</si>
  <si>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</si>
  <si>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</si>
  <si>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</si>
  <si>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</si>
  <si>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</si>
  <si>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</si>
  <si>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</si>
  <si>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</si>
  <si>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</si>
  <si>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</si>
  <si>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</si>
  <si>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</si>
  <si>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</si>
  <si>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</si>
  <si>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</si>
  <si>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</si>
  <si>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</si>
  <si>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</si>
  <si>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</si>
  <si>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</si>
  <si>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</si>
  <si>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</si>
  <si>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</si>
  <si>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</si>
  <si>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</si>
  <si>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</si>
  <si>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</si>
  <si>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</si>
  <si>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</si>
  <si>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</si>
  <si>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</si>
  <si>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</si>
  <si>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</si>
  <si>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</si>
  <si>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</si>
  <si>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</si>
  <si>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</si>
  <si>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</si>
  <si>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</si>
  <si>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</si>
  <si>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</si>
  <si>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</si>
  <si>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</si>
  <si>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</si>
  <si>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</si>
  <si>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</si>
  <si>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</si>
  <si>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</si>
  <si>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</si>
  <si>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</si>
  <si>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</si>
  <si>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</si>
  <si>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</si>
  <si>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</si>
  <si>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</si>
  <si>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</si>
  <si>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</si>
  <si>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</si>
  <si>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</si>
  <si>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</si>
  <si>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</si>
  <si>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</si>
  <si>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</si>
  <si>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</si>
  <si>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</si>
  <si>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</si>
  <si>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</si>
  <si>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</si>
  <si>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</si>
  <si>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</si>
  <si>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</si>
  <si>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</si>
  <si>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</si>
  <si>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</si>
  <si>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</si>
  <si>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</si>
  <si>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</si>
  <si>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</si>
  <si>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</si>
  <si>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</si>
  <si>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</si>
  <si>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</si>
  <si>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</si>
  <si>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</si>
  <si>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</si>
  <si>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</si>
  <si>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</si>
  <si>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</si>
  <si>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</si>
  <si>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</si>
  <si>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</si>
  <si>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</si>
  <si>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</si>
  <si>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</si>
  <si>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</si>
  <si>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</si>
  <si>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</si>
  <si>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</si>
  <si>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</si>
  <si>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</si>
  <si>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</si>
  <si>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</si>
  <si>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</si>
  <si>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</si>
  <si>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</si>
  <si>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</si>
  <si>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</si>
  <si>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</si>
  <si>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</si>
  <si>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</si>
  <si>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</si>
  <si>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</si>
  <si>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</si>
  <si>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</si>
  <si>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</si>
  <si>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</si>
  <si>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</si>
  <si>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</si>
  <si>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</si>
  <si>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</si>
  <si>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</si>
  <si>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</si>
  <si>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</si>
  <si>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</si>
  <si>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</si>
  <si>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</si>
  <si>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</si>
  <si>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</si>
  <si>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</si>
  <si>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</si>
  <si>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</si>
  <si>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</si>
  <si>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</si>
  <si>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</si>
  <si>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</si>
  <si>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</si>
  <si>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</si>
  <si>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</si>
  <si>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</si>
  <si>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</si>
  <si>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</si>
  <si>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</si>
  <si>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</si>
  <si>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</si>
  <si>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</si>
  <si>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</si>
  <si>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</si>
  <si>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</si>
  <si>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</si>
  <si>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</si>
  <si>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</si>
  <si>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</si>
  <si>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</si>
  <si>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</si>
  <si>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</si>
  <si>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</si>
  <si>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</si>
  <si>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</si>
  <si>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</si>
  <si>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</si>
  <si>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</si>
  <si>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</si>
  <si>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</si>
  <si>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</si>
  <si>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</si>
  <si>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</si>
  <si>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</si>
  <si>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</si>
  <si>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</si>
  <si>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</si>
  <si>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</si>
  <si>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</si>
  <si>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</si>
  <si>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</si>
  <si>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</si>
  <si>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</si>
  <si>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</si>
  <si>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</si>
  <si>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</si>
  <si>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</si>
  <si>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</si>
  <si>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</si>
  <si>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</si>
  <si>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</si>
  <si>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</si>
  <si>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</si>
  <si>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</si>
  <si>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</si>
  <si>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</si>
  <si>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</si>
  <si>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</si>
  <si>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</si>
  <si>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</si>
  <si>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</si>
  <si>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</si>
  <si>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</si>
  <si>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</si>
  <si>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</si>
  <si>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</si>
  <si>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</si>
  <si>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</si>
  <si>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</si>
  <si>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</si>
  <si>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</si>
  <si>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</si>
  <si>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</si>
  <si>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</si>
  <si>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</si>
  <si>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</si>
  <si>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</si>
  <si>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</si>
  <si>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</si>
  <si>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</si>
  <si>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</si>
  <si>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</si>
  <si>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</si>
  <si>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</si>
  <si>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</si>
  <si>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</si>
  <si>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</si>
  <si>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</si>
  <si>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</si>
  <si>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</si>
  <si>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</si>
  <si>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</si>
  <si>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</si>
  <si>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</si>
  <si>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</si>
  <si>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</si>
  <si>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</si>
  <si>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</si>
  <si>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</si>
  <si>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</si>
  <si>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</si>
  <si>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</si>
  <si>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</si>
  <si>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</si>
  <si>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</si>
  <si>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</si>
  <si>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</si>
  <si>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</si>
  <si>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</si>
  <si>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</si>
  <si>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</si>
  <si>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</si>
  <si>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</si>
  <si>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</si>
  <si>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</si>
  <si>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</si>
  <si>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</si>
  <si>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</si>
  <si>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</si>
  <si>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</si>
  <si>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</si>
  <si>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</si>
  <si>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</si>
  <si>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</si>
  <si>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</si>
  <si>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</si>
  <si>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</si>
  <si>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</si>
  <si>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</si>
  <si>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郑燚</t>
  </si>
  <si>
    <t>吴薇</t>
  </si>
  <si>
    <t>北京科华国际幕墙工程有限公司</t>
    <phoneticPr fontId="6" type="noConversion"/>
  </si>
  <si>
    <t>上海浦东发展银行北京市分行</t>
    <phoneticPr fontId="6" type="noConversion"/>
  </si>
  <si>
    <t>北京科华国际幕墙工程有限公司</t>
    <phoneticPr fontId="6" type="noConversion"/>
  </si>
  <si>
    <t>抵押</t>
  </si>
  <si>
    <t>房地产抵押价值</t>
  </si>
  <si>
    <t>北京市</t>
  </si>
  <si>
    <t>企业</t>
  </si>
  <si>
    <t>出让</t>
  </si>
  <si>
    <t>工业</t>
    <phoneticPr fontId="6" type="noConversion"/>
  </si>
  <si>
    <r>
      <rPr>
        <sz val="12"/>
        <color theme="9" tint="-0.249977111117893"/>
        <rFont val="宋体"/>
        <family val="3"/>
        <charset val="134"/>
      </rPr>
      <t>工业</t>
    </r>
    <r>
      <rPr>
        <sz val="12"/>
        <color theme="9" tint="-0.249977111117893"/>
        <rFont val="Arial"/>
        <family val="2"/>
      </rPr>
      <t>33.53</t>
    </r>
    <r>
      <rPr>
        <sz val="12"/>
        <color theme="9" tint="-0.249977111117893"/>
        <rFont val="宋体"/>
        <family val="3"/>
        <charset val="134"/>
      </rPr>
      <t>年</t>
    </r>
    <phoneticPr fontId="6" type="noConversion"/>
  </si>
  <si>
    <t>工业项目</t>
  </si>
  <si>
    <t>无</t>
  </si>
  <si>
    <t>否</t>
  </si>
  <si>
    <t>现房</t>
  </si>
  <si>
    <t>通路</t>
  </si>
  <si>
    <t>通电</t>
  </si>
  <si>
    <t>通讯</t>
  </si>
  <si>
    <t>通上水</t>
  </si>
  <si>
    <t>通下水</t>
  </si>
  <si>
    <t>平整</t>
  </si>
  <si>
    <t>Ⅸ-雁栖开发区A</t>
  </si>
  <si>
    <t>是</t>
  </si>
  <si>
    <t>地上</t>
  </si>
  <si>
    <t>标准厂房</t>
  </si>
  <si>
    <t>办公楼</t>
  </si>
  <si>
    <t>工业</t>
    <phoneticPr fontId="7" type="noConversion"/>
  </si>
  <si>
    <t>配套办公</t>
  </si>
  <si>
    <t>配套办公</t>
    <phoneticPr fontId="7" type="noConversion"/>
  </si>
  <si>
    <t>成新度</t>
  </si>
  <si>
    <t>工业</t>
    <phoneticPr fontId="3" type="noConversion"/>
  </si>
  <si>
    <t>配套办公</t>
    <phoneticPr fontId="3" type="noConversion"/>
  </si>
  <si>
    <t>收益法 (配套办公)</t>
  </si>
  <si>
    <t>收益法 (配套办公)</t>
    <phoneticPr fontId="16" type="noConversion"/>
  </si>
  <si>
    <t>收益法</t>
  </si>
  <si>
    <t>估价对象位于北京雁栖经济开发区，园区建设成熟，周边有波尔亚太金属容器公司、星达顺五星建材产业集聚程度较好。</t>
    <phoneticPr fontId="41" type="noConversion"/>
  </si>
  <si>
    <t>估价对象紧邻城市次干道——杨雁路，公共交通通达情况一般，周边有864、936路等公交线路，停车便捷程度一般，综合评价交通便捷度一般。</t>
    <phoneticPr fontId="41" type="noConversion"/>
  </si>
  <si>
    <t>估价对象周边2公里范围内有银行（中国银行），超市（世纪华联超市），学校（怀柔区职业学校），医院（雁栖镇北台下社区卫生服务站），公共配套设施程度一般。</t>
    <phoneticPr fontId="41" type="noConversion"/>
  </si>
  <si>
    <t>估价对象所在区域基础设施水平达到“五通”。</t>
    <phoneticPr fontId="25" type="noConversion"/>
  </si>
  <si>
    <t>该园区内无污染型企业，绿化较好，卫生条件良好，整体环境状况较好。</t>
    <phoneticPr fontId="41" type="noConversion"/>
  </si>
  <si>
    <t>收益法（汇总）</t>
  </si>
  <si>
    <t>成本法</t>
  </si>
  <si>
    <t>未包含在土地购买价格中</t>
  </si>
  <si>
    <t>全部缴纳</t>
  </si>
  <si>
    <t>已包含在土地取得成本中</t>
  </si>
  <si>
    <t>工业用地</t>
  </si>
  <si>
    <t>不临58条商业街</t>
  </si>
  <si>
    <t>按公示增长率计算</t>
  </si>
  <si>
    <t>容积率修正</t>
  </si>
  <si>
    <t>较好</t>
  </si>
  <si>
    <t>一般</t>
  </si>
  <si>
    <t>好</t>
  </si>
  <si>
    <r>
      <rPr>
        <sz val="11"/>
        <color indexed="8"/>
        <rFont val="宋体"/>
        <family val="3"/>
        <charset val="134"/>
      </rPr>
      <t>城市次干道</t>
    </r>
    <r>
      <rPr>
        <sz val="11"/>
        <color indexed="8"/>
        <rFont val="Arial"/>
        <family val="2"/>
      </rPr>
      <t>——</t>
    </r>
    <r>
      <rPr>
        <sz val="11"/>
        <color indexed="8"/>
        <rFont val="宋体"/>
        <family val="3"/>
        <charset val="134"/>
      </rPr>
      <t>杨雁路</t>
    </r>
    <phoneticPr fontId="25" type="noConversion"/>
  </si>
  <si>
    <t>单面临街</t>
  </si>
  <si>
    <t>周边多为工业用地，对宗地利用无不利影响。</t>
    <phoneticPr fontId="25" type="noConversion"/>
  </si>
  <si>
    <t>押一</t>
  </si>
  <si>
    <t>按租金收入计税</t>
  </si>
  <si>
    <t>钢混</t>
  </si>
  <si>
    <t>生产用房</t>
  </si>
  <si>
    <t>非生产用房</t>
  </si>
  <si>
    <r>
      <rPr>
        <sz val="12"/>
        <color theme="9" tint="-0.249977111117893"/>
        <rFont val="宋体"/>
        <family val="3"/>
        <charset val="134"/>
      </rPr>
      <t>怀柔区雁栖经济开发区雁栖路</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3</t>
    </r>
    <r>
      <rPr>
        <sz val="12"/>
        <color theme="9" tint="-0.249977111117893"/>
        <rFont val="宋体"/>
        <family val="3"/>
        <charset val="134"/>
      </rPr>
      <t>幢</t>
    </r>
    <phoneticPr fontId="6" type="noConversion"/>
  </si>
  <si>
    <t>总价</t>
  </si>
  <si>
    <t>成本比率</t>
  </si>
  <si>
    <r>
      <t>[78%×</t>
    </r>
    <r>
      <rPr>
        <sz val="10"/>
        <color indexed="8"/>
        <rFont val="宋体"/>
        <family val="3"/>
        <charset val="134"/>
      </rPr>
      <t>（</t>
    </r>
    <r>
      <rPr>
        <sz val="10"/>
        <color indexed="8"/>
        <rFont val="Arial"/>
        <family val="2"/>
      </rPr>
      <t>7065.53</t>
    </r>
    <r>
      <rPr>
        <sz val="10"/>
        <color indexed="8"/>
        <rFont val="宋体"/>
        <family val="3"/>
        <charset val="134"/>
      </rPr>
      <t>＋</t>
    </r>
    <r>
      <rPr>
        <sz val="10"/>
        <color indexed="8"/>
        <rFont val="Arial"/>
        <family val="2"/>
      </rPr>
      <t>7065.53</t>
    </r>
    <r>
      <rPr>
        <sz val="10"/>
        <color indexed="8"/>
        <rFont val="宋体"/>
        <family val="3"/>
        <charset val="134"/>
      </rPr>
      <t>）＋</t>
    </r>
    <r>
      <rPr>
        <sz val="10"/>
        <color indexed="8"/>
        <rFont val="Arial"/>
        <family val="2"/>
      </rPr>
      <t>80%×1819.3]÷15950.36</t>
    </r>
    <phoneticPr fontId="3" type="noConversion"/>
  </si>
  <si>
    <t>季度</t>
  </si>
  <si>
    <t>年度</t>
  </si>
  <si>
    <r>
      <t>1</t>
    </r>
    <r>
      <rPr>
        <sz val="9"/>
        <color theme="1"/>
        <rFont val="华文细黑"/>
        <family val="3"/>
        <charset val="134"/>
      </rPr>
      <t>季度</t>
    </r>
  </si>
  <si>
    <r>
      <t>2</t>
    </r>
    <r>
      <rPr>
        <sz val="9"/>
        <color theme="1"/>
        <rFont val="华文细黑"/>
        <family val="3"/>
        <charset val="134"/>
      </rPr>
      <t>季度</t>
    </r>
  </si>
  <si>
    <r>
      <t>3</t>
    </r>
    <r>
      <rPr>
        <sz val="9"/>
        <color theme="1"/>
        <rFont val="华文细黑"/>
        <family val="3"/>
        <charset val="134"/>
      </rPr>
      <t>季度</t>
    </r>
  </si>
  <si>
    <r>
      <t>4</t>
    </r>
    <r>
      <rPr>
        <sz val="9"/>
        <color theme="1"/>
        <rFont val="华文细黑"/>
        <family val="3"/>
        <charset val="134"/>
      </rPr>
      <t>季度</t>
    </r>
  </si>
  <si>
    <t xml:space="preserve"> 2020-1-0137-F01DYGJ2</t>
    <phoneticPr fontId="6" type="noConversion"/>
  </si>
  <si>
    <t>原件</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</si>
  <si>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0205</t>
    </r>
    <r>
      <rPr>
        <sz val="12"/>
        <color theme="9" tint="-0.249977111117893"/>
        <rFont val="宋体"/>
        <family val="3"/>
        <charset val="134"/>
      </rPr>
      <t>号</t>
    </r>
    <r>
      <rPr>
        <sz val="12"/>
        <color theme="9" tint="-0.249977111117893"/>
        <rFont val="Arial"/>
        <family val="2"/>
      </rPr>
      <t>]</t>
    </r>
    <phoneticPr fontId="6" type="noConversion"/>
  </si>
  <si>
    <t>《房屋所有权证》[X京房权证怀字第013272号]</t>
    <phoneticPr fontId="6" type="noConversion"/>
  </si>
  <si>
    <t>通热</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</si>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</sst>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medium">
        <color rgb="FF404040"/>
      </left>
      <right style="medium">
        <color rgb="FF404040"/>
      </right>
      <top style="medium">
        <color rgb="FF404040"/>
      </top>
      <bottom/>
      <diagonal style="thin">
        <color rgb="FF404040"/>
      </diagonal>
    </border>
    <border diagonalDown="1">
      <left style="medium">
        <color rgb="FF404040"/>
      </left>
      <right style="medium">
        <color rgb="FF404040"/>
      </right>
      <top/>
      <bottom style="medium">
        <color rgb="FF404040"/>
      </bottom>
      <diagonal style="thin">
        <color rgb="FF404040"/>
      </diagonal>
    </border>
    <border>
      <left/>
      <right style="medium">
        <color rgb="FF404040"/>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style="medium">
        <color rgb="FF404040"/>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54" fillId="0" borderId="156" xfId="0" applyFont="1" applyBorder="1" applyAlignment="1">
      <alignment horizontal="right" vertical="center" wrapText="1" indent="4"/>
    </xf>
    <xf numFmtId="0" fontId="254" fillId="0" borderId="157" xfId="0" applyFont="1" applyBorder="1" applyAlignment="1">
      <alignment vertical="center" wrapText="1"/>
    </xf>
    <xf numFmtId="0" fontId="255" fillId="0" borderId="159" xfId="0" applyFont="1" applyBorder="1" applyAlignment="1">
      <alignment vertical="center" wrapText="1"/>
    </xf>
    <xf numFmtId="10" fontId="255" fillId="0" borderId="158" xfId="0" applyNumberFormat="1" applyFont="1" applyBorder="1" applyAlignment="1">
      <alignment vertical="center" wrapText="1"/>
    </xf>
    <xf numFmtId="197"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0" xfId="0" applyFont="1" applyBorder="1" applyAlignment="1">
      <alignment vertical="center" wrapText="1"/>
    </xf>
    <xf numFmtId="0" fontId="255" fillId="0" borderId="159" xfId="0" applyFont="1" applyBorder="1" applyAlignment="1">
      <alignment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513515</xdr:colOff>
      <xdr:row>29</xdr:row>
      <xdr:rowOff>151824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514350"/>
          <a:ext cx="6685715" cy="4609524"/>
        </a:xfrm>
        <a:prstGeom prst="rect">
          <a:avLst/>
        </a:prstGeom>
      </xdr:spPr>
    </xdr:pic>
    <xdr:clientData/>
  </xdr:twoCellAnchor>
  <xdr:twoCellAnchor editAs="oneCell">
    <xdr:from>
      <xdr:col>0</xdr:col>
      <xdr:colOff>0</xdr:colOff>
      <xdr:row>30</xdr:row>
      <xdr:rowOff>0</xdr:rowOff>
    </xdr:from>
    <xdr:to>
      <xdr:col>9</xdr:col>
      <xdr:colOff>551608</xdr:colOff>
      <xdr:row>35</xdr:row>
      <xdr:rowOff>105714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5080000"/>
          <a:ext cx="6742858" cy="952381"/>
        </a:xfrm>
        <a:prstGeom prst="rect">
          <a:avLst/>
        </a:prstGeom>
      </xdr:spPr>
    </xdr:pic>
    <xdr:clientData/>
  </xdr:twoCellAnchor>
  <xdr:twoCellAnchor editAs="oneCell">
    <xdr:from>
      <xdr:col>0</xdr:col>
      <xdr:colOff>21167</xdr:colOff>
      <xdr:row>35</xdr:row>
      <xdr:rowOff>63500</xdr:rowOff>
    </xdr:from>
    <xdr:to>
      <xdr:col>9</xdr:col>
      <xdr:colOff>363251</xdr:colOff>
      <xdr:row>47</xdr:row>
      <xdr:rowOff>88643</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21167" y="5990167"/>
          <a:ext cx="6533334" cy="2057143"/>
        </a:xfrm>
        <a:prstGeom prst="rect">
          <a:avLst/>
        </a:prstGeom>
      </xdr:spPr>
    </xdr:pic>
    <xdr:clientData/>
  </xdr:twoCellAnchor>
  <xdr:twoCellAnchor editAs="oneCell">
    <xdr:from>
      <xdr:col>11</xdr:col>
      <xdr:colOff>0</xdr:colOff>
      <xdr:row>3</xdr:row>
      <xdr:rowOff>10584</xdr:rowOff>
    </xdr:from>
    <xdr:to>
      <xdr:col>20</xdr:col>
      <xdr:colOff>475417</xdr:colOff>
      <xdr:row>37</xdr:row>
      <xdr:rowOff>72299</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7567083" y="518584"/>
          <a:ext cx="6666667" cy="5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北京市怀柔区雁栖经济开发区雁栖路2号1幢等3幢房地产抵押价值预评估</v>
      </c>
    </row>
    <row r="3" spans="1:2" s="1593" customFormat="1">
      <c r="A3" s="1591" t="s">
        <v>1216</v>
      </c>
      <c r="B3" s="1592" t="str">
        <f>'预评函-封皮'!B40</f>
        <v>北京科华国际幕墙工程有限公司</v>
      </c>
    </row>
    <row r="4" spans="1:2" s="1593" customFormat="1">
      <c r="A4" s="1591" t="s">
        <v>1217</v>
      </c>
      <c r="B4" s="1592" t="str">
        <f ca="1">'预评函-封皮'!B46</f>
        <v>郑燚（注册号：1120070131)、吴薇（注册号：1419970001)</v>
      </c>
    </row>
    <row r="5" spans="1:2" s="1587" customFormat="1" ht="16.2" thickBot="1">
      <c r="A5" s="1594" t="s">
        <v>1218</v>
      </c>
      <c r="B5" s="1595" t="str">
        <f>'预评函-封皮'!B49</f>
        <v>康正预评字 2020-1-0137-F01DYGJ2号</v>
      </c>
    </row>
    <row r="6" spans="1:2" s="1590" customFormat="1" ht="16.2" thickTop="1">
      <c r="A6" s="1588" t="s">
        <v>1219</v>
      </c>
      <c r="B6" s="1589" t="str">
        <f>'预评函-1'!A4</f>
        <v>受贵公司委托，我公司对北京市怀柔区雁栖经济开发区雁栖路2号1幢等3幢房地产抵押价值进行了预评估。</v>
      </c>
    </row>
    <row r="7" spans="1:2" s="1593" customFormat="1">
      <c r="A7" s="1591" t="s">
        <v>1259</v>
      </c>
      <c r="B7" s="1592" t="str">
        <f>'预评函-1'!A7</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为估价委托人在向上海浦东发展银行北京市分行办理贷款手续过程中，确定房地产抵押贷款额度提供参考依据而评估房地产抵押价值。</v>
      </c>
    </row>
    <row r="12" spans="1:2" s="1593" customFormat="1">
      <c r="A12" s="1591" t="s">
        <v>1221</v>
      </c>
      <c r="B12" s="1592" t="str">
        <f>'预评函-1'!A15</f>
        <v>2020年3月31日</v>
      </c>
    </row>
    <row r="13" spans="1:2" s="1593" customFormat="1">
      <c r="A13" s="1591" t="s">
        <v>1222</v>
      </c>
      <c r="B13" s="1592" t="str">
        <f>'预评函-1'!A18</f>
        <v>本次估价的“房地产价值”是指在正常市场情况下，在价值时点2020年3月31日，估价对象规划用途为工业，土地取得方式为出让，出让国有建设用地使用权剩余土地使用年限为工业33.53年，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六通”（即通路、通电、通讯、通上水、通下水、通热）、红线内场地平整条件下，剩余土地使用年限为工业33.53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6.2" thickBot="1">
      <c r="A18" s="1594" t="s">
        <v>1227</v>
      </c>
      <c r="B18" s="1595" t="str">
        <f>'预评函-1'!A24</f>
        <v>本次评估采用的主估价方法为成本法和收益法。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8288</v>
      </c>
    </row>
    <row r="21" spans="1:2" s="1593" customFormat="1">
      <c r="A21" s="1591" t="s">
        <v>1230</v>
      </c>
      <c r="B21" s="1592">
        <f ca="1">'预评函-2'!D7</f>
        <v>5196</v>
      </c>
    </row>
    <row r="22" spans="1:2" s="1593" customFormat="1">
      <c r="A22" s="1591" t="s">
        <v>1231</v>
      </c>
      <c r="B22" s="1592" t="str">
        <f ca="1">'预评函-2'!D6</f>
        <v>捌仟贰佰捌拾捌万元整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8288</v>
      </c>
    </row>
    <row r="31" spans="1:2" s="1593" customFormat="1">
      <c r="A31" s="1591" t="s">
        <v>1269</v>
      </c>
      <c r="B31" s="1592">
        <f ca="1">'预评函-2'!D15</f>
        <v>5196</v>
      </c>
    </row>
    <row r="32" spans="1:2" s="1593" customFormat="1">
      <c r="A32" s="1591" t="s">
        <v>1236</v>
      </c>
      <c r="B32" s="1592" t="str">
        <f ca="1">'预评函-2'!D14</f>
        <v>捌仟贰佰捌拾捌万元整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北京市怀柔区雁栖经济开发区雁栖路2号1幢等3幢房地产</v>
      </c>
    </row>
    <row r="42" spans="1:2" s="1593" customFormat="1" ht="31.2">
      <c r="A42" s="1591" t="s">
        <v>1283</v>
      </c>
      <c r="B42" s="1592" t="str">
        <f>'预评函-3'!B2</f>
        <v>建筑面积</v>
      </c>
    </row>
    <row r="43" spans="1:2" s="1593" customFormat="1">
      <c r="A43" s="1591" t="s">
        <v>1284</v>
      </c>
      <c r="B43" s="1592">
        <f>'预评函-3'!B4</f>
        <v>15950.36</v>
      </c>
    </row>
    <row r="44" spans="1:2" s="1593" customFormat="1" ht="31.2">
      <c r="A44" s="1591" t="s">
        <v>1268</v>
      </c>
      <c r="B44" s="1592" t="str">
        <f>'预评函-3'!C2</f>
        <v>(分摊)土地面积</v>
      </c>
    </row>
    <row r="45" spans="1:2" s="1593" customFormat="1">
      <c r="A45" s="1591" t="s">
        <v>1240</v>
      </c>
      <c r="B45" s="1592">
        <f>'预评函-3'!C4</f>
        <v>24215.7</v>
      </c>
    </row>
    <row r="46" spans="1:2" s="1593" customFormat="1">
      <c r="A46" s="1591" t="s">
        <v>1266</v>
      </c>
      <c r="B46" s="1592" t="str">
        <f>'预评函-3'!D2</f>
        <v>出让国有建设用地使用权价值</v>
      </c>
    </row>
    <row r="47" spans="1:2" s="1593" customFormat="1">
      <c r="A47" s="1591" t="s">
        <v>1241</v>
      </c>
      <c r="B47" s="1592">
        <f ca="1">'预评函-3'!D4</f>
        <v>3929</v>
      </c>
    </row>
    <row r="48" spans="1:2" s="1593" customFormat="1">
      <c r="A48" s="1591" t="s">
        <v>1242</v>
      </c>
      <c r="B48" s="1592">
        <f ca="1">'预评函-3'!E4</f>
        <v>2463</v>
      </c>
    </row>
    <row r="49" spans="1:2" s="1593" customFormat="1">
      <c r="A49" s="1591" t="s">
        <v>1243</v>
      </c>
      <c r="B49" s="1592" t="str">
        <f ca="1">'预评函-3'!D5</f>
        <v>叁仟玖佰贰拾玖万元整</v>
      </c>
    </row>
    <row r="50" spans="1:2" s="1593" customFormat="1">
      <c r="A50" s="1591" t="s">
        <v>1267</v>
      </c>
      <c r="B50" s="1592" t="str">
        <f>'预评函-3'!F2</f>
        <v>在建建筑物价值</v>
      </c>
    </row>
    <row r="51" spans="1:2" s="1593" customFormat="1">
      <c r="A51" s="1591" t="s">
        <v>1244</v>
      </c>
      <c r="B51" s="1592">
        <f ca="1">'预评函-3'!F4</f>
        <v>4359</v>
      </c>
    </row>
    <row r="52" spans="1:2" s="1593" customFormat="1">
      <c r="A52" s="1591" t="s">
        <v>1245</v>
      </c>
      <c r="B52" s="1592">
        <f ca="1">'预评函-3'!G4</f>
        <v>2733</v>
      </c>
    </row>
    <row r="53" spans="1:2" s="1593" customFormat="1">
      <c r="A53" s="1591" t="s">
        <v>1273</v>
      </c>
      <c r="B53" s="1592" t="str">
        <f ca="1">'预评函-3'!F5</f>
        <v>肆仟叁佰伍拾玖万元整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（1）根据估价对象《房屋所有权证》原件、《国有土地使用权》原件，截至价值时点，估价对象已设定抵押。上述抵押权设定日期为，权利人为，权利范围为，权利价值为。</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t="str">
        <f>'预评函-4'!A4</f>
        <v>郑燚</v>
      </c>
    </row>
    <row r="71" spans="1:2">
      <c r="A71" s="1591" t="s">
        <v>1256</v>
      </c>
      <c r="B71" s="1592">
        <f ca="1">'预评函-4'!B4</f>
        <v>1120070131</v>
      </c>
    </row>
    <row r="72" spans="1:2">
      <c r="A72" s="1591" t="s">
        <v>1257</v>
      </c>
      <c r="B72" s="1600" t="str">
        <f>'预评函-4'!A5</f>
        <v>吴薇</v>
      </c>
    </row>
    <row r="73" spans="1:2" s="1587" customFormat="1" ht="16.2" thickBot="1">
      <c r="A73" s="1594" t="s">
        <v>1258</v>
      </c>
      <c r="B73" s="1595">
        <f ca="1">'预评函-4'!B5</f>
        <v>1419970001</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5" sqref="F25"/>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3083</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1幢等3幢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5"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5"/>
      <c r="B54" s="2021" t="s">
        <v>860</v>
      </c>
      <c r="C54" s="2018" t="s">
        <v>1276</v>
      </c>
    </row>
    <row r="55" spans="1:4">
      <c r="A55" s="3015"/>
      <c r="B55" s="2021" t="s">
        <v>861</v>
      </c>
      <c r="C55" s="2018" t="s">
        <v>1277</v>
      </c>
    </row>
    <row r="56" spans="1:4">
      <c r="A56" s="3015"/>
      <c r="B56" s="2021" t="s">
        <v>862</v>
      </c>
      <c r="C56" s="2018" t="s">
        <v>1281</v>
      </c>
    </row>
    <row r="57" spans="1:4">
      <c r="A57" s="3015"/>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25" zoomScale="90" zoomScaleNormal="100" zoomScaleSheetLayoutView="90" workbookViewId="0">
      <selection activeCell="L38" sqref="L38"/>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24" t="str">
        <f>IF(B10="北京市","北京市",C10)&amp;F10&amp;IF(结果表!G1="在建","出让国有建设用地使用权及在建建筑物",IF(结果表!G1="土地","出让国有建设用地使用权",))&amp;B9&amp;"预评估"</f>
        <v>北京市怀柔区雁栖经济开发区雁栖路2号1幢等3幢房地产抵押价值预评估</v>
      </c>
      <c r="C1" s="3025"/>
      <c r="D1" s="3025"/>
      <c r="E1" s="3025"/>
      <c r="F1" s="3025"/>
      <c r="G1" s="3025"/>
      <c r="H1" s="3025"/>
      <c r="I1" s="302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北京市怀柔区雁栖经济开发区雁栖路2号1幢等3幢房地产抵押价值</v>
      </c>
    </row>
    <row r="2" spans="1:19" ht="18" customHeight="1">
      <c r="A2" s="2025" t="s">
        <v>1771</v>
      </c>
      <c r="B2" s="1039" t="s">
        <v>3120</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北京市怀柔区雁栖经济开发区雁栖路2号1幢等3幢房地产</v>
      </c>
    </row>
    <row r="3" spans="1:19" ht="18" customHeight="1">
      <c r="A3" s="2034" t="s">
        <v>1772</v>
      </c>
      <c r="B3" s="2035">
        <v>43922</v>
      </c>
      <c r="C3" s="2036" t="s">
        <v>1773</v>
      </c>
      <c r="D3" s="2035">
        <v>43921</v>
      </c>
      <c r="E3" s="2025"/>
      <c r="F3" s="2025"/>
      <c r="G3" s="2025"/>
      <c r="H3" s="2025"/>
      <c r="I3" s="2025"/>
      <c r="J3" s="2025"/>
      <c r="K3" s="2026"/>
      <c r="L3" s="2027"/>
      <c r="M3" s="2027"/>
      <c r="N3" s="2028"/>
      <c r="O3" s="2029"/>
      <c r="P3" s="2028"/>
      <c r="Q3" s="2028"/>
      <c r="R3" s="2028"/>
      <c r="S3" s="2030"/>
    </row>
    <row r="4" spans="1:19" ht="18" customHeight="1" thickBot="1">
      <c r="A4" s="2037" t="s">
        <v>1774</v>
      </c>
      <c r="B4" s="2038" t="s">
        <v>3049</v>
      </c>
      <c r="C4" s="1037">
        <f ca="1">SUMIF(注册房地产估价师,B4,估价师及机构信息!B3:B24)</f>
        <v>1120070131</v>
      </c>
      <c r="D4" s="2038" t="s">
        <v>3050</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1775</v>
      </c>
      <c r="B5" s="2959" t="s">
        <v>3053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8" t="s">
        <v>3052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58" t="s">
        <v>3051</v>
      </c>
      <c r="C7" s="2047"/>
      <c r="D7" s="2048"/>
      <c r="E7" s="2033"/>
      <c r="F7" s="2041"/>
      <c r="G7" s="2041"/>
      <c r="H7" s="2041"/>
      <c r="I7" s="2041"/>
      <c r="J7" s="2041"/>
      <c r="K7" s="2050"/>
      <c r="L7" s="2027"/>
      <c r="M7" s="2027"/>
      <c r="N7" s="2028"/>
      <c r="O7" s="2029"/>
      <c r="P7" s="2028"/>
      <c r="Q7" s="2028"/>
      <c r="R7" s="2028"/>
    </row>
    <row r="8" spans="1:19" ht="18" customHeight="1">
      <c r="A8" s="2046" t="s">
        <v>1778</v>
      </c>
      <c r="B8" s="2051" t="s">
        <v>3054</v>
      </c>
      <c r="C8" s="2052"/>
      <c r="D8" s="3027" t="s">
        <v>1779</v>
      </c>
      <c r="E8" s="2053" t="s">
        <v>3055</v>
      </c>
      <c r="F8" s="2054"/>
      <c r="G8" s="2025"/>
      <c r="H8" s="2025"/>
      <c r="I8" s="2025"/>
      <c r="J8" s="2041"/>
      <c r="K8" s="2042"/>
      <c r="L8" s="2027"/>
      <c r="M8" s="2027"/>
      <c r="N8" s="2028"/>
      <c r="O8" s="2029"/>
      <c r="P8" s="2028"/>
      <c r="Q8" s="2028"/>
      <c r="R8" s="2028"/>
    </row>
    <row r="9" spans="1:19" ht="18" customHeight="1" thickBot="1">
      <c r="A9" s="2039" t="s">
        <v>1780</v>
      </c>
      <c r="B9" s="2055" t="s">
        <v>3055</v>
      </c>
      <c r="C9" s="2056"/>
      <c r="D9" s="3028"/>
      <c r="E9" s="2055" t="s">
        <v>70</v>
      </c>
      <c r="F9" s="2057"/>
      <c r="G9" s="2058"/>
      <c r="H9" s="2058"/>
      <c r="I9" s="2058"/>
      <c r="J9" s="2041"/>
      <c r="K9" s="2050"/>
      <c r="L9" s="2027"/>
      <c r="M9" s="2027"/>
      <c r="N9" s="2028"/>
      <c r="O9" s="2029"/>
      <c r="P9" s="2028"/>
      <c r="Q9" s="2028"/>
      <c r="R9" s="2028"/>
    </row>
    <row r="10" spans="1:19" ht="18" customHeight="1" thickTop="1">
      <c r="A10" s="2059" t="s">
        <v>1781</v>
      </c>
      <c r="B10" s="2060" t="s">
        <v>3056</v>
      </c>
      <c r="C10" s="2061"/>
      <c r="D10" s="2045"/>
      <c r="E10" s="2062" t="s">
        <v>1782</v>
      </c>
      <c r="F10" s="2063" t="s">
        <v>3110</v>
      </c>
      <c r="G10" s="2064"/>
      <c r="H10" s="2065"/>
      <c r="I10" s="2045"/>
      <c r="J10" s="2041"/>
      <c r="K10" s="2050"/>
      <c r="L10" s="2027"/>
      <c r="M10" s="2027"/>
      <c r="N10" s="2028"/>
      <c r="O10" s="2029"/>
      <c r="P10" s="2028"/>
      <c r="Q10" s="2028"/>
      <c r="R10" s="2028"/>
    </row>
    <row r="11" spans="1:19" ht="18" customHeight="1">
      <c r="A11" s="2066" t="s">
        <v>1783</v>
      </c>
      <c r="B11" s="2067" t="s">
        <v>3057</v>
      </c>
      <c r="C11" s="2960" t="s">
        <v>3051</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3058</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56164</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33.54</v>
      </c>
      <c r="J15" s="2041"/>
      <c r="K15" s="2078"/>
      <c r="L15" s="2079"/>
      <c r="M15" s="2079"/>
      <c r="N15" s="2080"/>
      <c r="O15" s="2079"/>
      <c r="P15" s="2080"/>
      <c r="Q15" s="2028"/>
      <c r="R15" s="2028"/>
    </row>
    <row r="16" spans="1:19" ht="30.75" customHeight="1">
      <c r="A16" s="2062" t="s">
        <v>1795</v>
      </c>
      <c r="B16" s="3034" t="s">
        <v>3059</v>
      </c>
      <c r="C16" s="3035"/>
      <c r="D16" s="3036"/>
      <c r="E16" s="2081" t="s">
        <v>1796</v>
      </c>
      <c r="F16" s="3037" t="s">
        <v>3060</v>
      </c>
      <c r="G16" s="3038"/>
      <c r="H16" s="3038"/>
      <c r="I16" s="3039"/>
      <c r="J16" s="2028"/>
      <c r="K16" s="2078"/>
      <c r="L16" s="2079"/>
      <c r="M16" s="2079"/>
      <c r="N16" s="2080"/>
      <c r="O16" s="2079"/>
      <c r="P16" s="2080"/>
      <c r="Q16" s="2028"/>
      <c r="R16" s="2028"/>
    </row>
    <row r="17" spans="1:22" ht="18" customHeight="1">
      <c r="A17" s="2082" t="s">
        <v>1797</v>
      </c>
      <c r="B17" s="2034" t="s">
        <v>1798</v>
      </c>
      <c r="C17" s="1054">
        <f>'数据-汇总表'!E3</f>
        <v>15950.36</v>
      </c>
      <c r="D17" s="2083" t="s">
        <v>1799</v>
      </c>
      <c r="E17" s="3040" t="s">
        <v>3123</v>
      </c>
      <c r="F17" s="3041"/>
      <c r="G17" s="3041"/>
      <c r="H17" s="3041"/>
      <c r="I17" s="3042"/>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24215.7</v>
      </c>
      <c r="D18" s="2086" t="s">
        <v>1799</v>
      </c>
      <c r="E18" s="3043" t="s">
        <v>3122</v>
      </c>
      <c r="F18" s="3044"/>
      <c r="G18" s="3044"/>
      <c r="H18" s="3044"/>
      <c r="I18" s="3045"/>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3072</v>
      </c>
      <c r="D19" s="2088" t="s">
        <v>1804</v>
      </c>
      <c r="E19" s="2089" t="s">
        <v>3072</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1805</v>
      </c>
      <c r="B20" s="3030" t="s">
        <v>1806</v>
      </c>
      <c r="C20" s="3031"/>
      <c r="D20" s="3032" t="s">
        <v>1807</v>
      </c>
      <c r="E20" s="3033"/>
      <c r="F20" s="2093" t="s">
        <v>1808</v>
      </c>
      <c r="G20" s="2041"/>
      <c r="H20" s="2041"/>
      <c r="I20" s="2041"/>
      <c r="J20" s="2041"/>
      <c r="K20" s="3029"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1810</v>
      </c>
      <c r="C21" s="2095" t="s">
        <v>1811</v>
      </c>
      <c r="D21" s="2096"/>
      <c r="E21" s="2097"/>
      <c r="F21" s="2098"/>
      <c r="G21" s="2041"/>
      <c r="H21" s="2041"/>
      <c r="I21" s="2041"/>
      <c r="J21" s="2041"/>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0"/>
      <c r="O21" s="2079"/>
      <c r="P21" s="2080"/>
      <c r="Q21" s="2028"/>
      <c r="R21" s="2028"/>
      <c r="S21" s="2028"/>
      <c r="T21" s="2028"/>
      <c r="U21" s="2028"/>
      <c r="V21" s="2028"/>
    </row>
    <row r="22" spans="1:22" ht="24.75" customHeight="1" thickBot="1">
      <c r="A22" s="2092"/>
      <c r="B22" s="2099" t="s">
        <v>1812</v>
      </c>
      <c r="C22" s="2095" t="s">
        <v>3121</v>
      </c>
      <c r="D22" s="2025"/>
      <c r="E22" s="2025"/>
      <c r="F22" s="2100"/>
      <c r="G22" s="2041"/>
      <c r="H22" s="2041"/>
      <c r="I22" s="2041"/>
      <c r="J22" s="2041"/>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1813</v>
      </c>
      <c r="B23" s="183" t="s">
        <v>1814</v>
      </c>
      <c r="C23" s="2102"/>
      <c r="D23" s="2103" t="s">
        <v>1814</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1815</v>
      </c>
      <c r="C24" s="2107"/>
      <c r="D24" s="2101" t="s">
        <v>1815</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1816</v>
      </c>
      <c r="C25" s="2107"/>
      <c r="D25" s="2101" t="s">
        <v>1816</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1817</v>
      </c>
      <c r="C26" s="2111"/>
      <c r="D26" s="2112" t="s">
        <v>1818</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17" t="s">
        <v>1819</v>
      </c>
      <c r="B27" s="2059" t="s">
        <v>1820</v>
      </c>
      <c r="C27" s="2115" t="s">
        <v>3061</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17"/>
      <c r="B28" s="2034" t="s">
        <v>1821</v>
      </c>
      <c r="C28" s="2117" t="s">
        <v>3062</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17"/>
      <c r="B29" s="2034" t="s">
        <v>1822</v>
      </c>
      <c r="C29" s="2120" t="s">
        <v>3063</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18"/>
      <c r="B30" s="2034" t="s">
        <v>1823</v>
      </c>
      <c r="C30" s="3019"/>
      <c r="D30" s="3020"/>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21" t="s">
        <v>1824</v>
      </c>
      <c r="B31" s="2122" t="s">
        <v>3064</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22"/>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22"/>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1825</v>
      </c>
      <c r="B34" s="2129" t="s">
        <v>3065</v>
      </c>
      <c r="C34" s="2129" t="s">
        <v>3066</v>
      </c>
      <c r="D34" s="2129" t="s">
        <v>3067</v>
      </c>
      <c r="E34" s="2129" t="s">
        <v>3068</v>
      </c>
      <c r="F34" s="2129" t="s">
        <v>3069</v>
      </c>
      <c r="G34" s="2129" t="s">
        <v>3124</v>
      </c>
      <c r="H34" s="2129" t="s">
        <v>70</v>
      </c>
      <c r="I34" s="2041"/>
      <c r="J34" s="2041"/>
      <c r="K34" s="1795">
        <f>COUNTIF(B34:H34,"——")</f>
        <v>1</v>
      </c>
      <c r="L34" s="2070" t="s">
        <v>1826</v>
      </c>
      <c r="M34" s="2070" t="s">
        <v>1827</v>
      </c>
      <c r="N34" s="2070" t="s">
        <v>1828</v>
      </c>
      <c r="O34" s="2070" t="s">
        <v>1829</v>
      </c>
      <c r="P34" s="2070" t="s">
        <v>1830</v>
      </c>
      <c r="Q34" s="2070" t="s">
        <v>1831</v>
      </c>
      <c r="R34" s="2070" t="s">
        <v>1832</v>
      </c>
      <c r="S34" s="3016" t="s">
        <v>1833</v>
      </c>
      <c r="T34" s="2130" t="str">
        <f>NUMBERSTRING(7-K34,1)&amp;"通"</f>
        <v>六通</v>
      </c>
      <c r="U34" s="2028"/>
      <c r="V34" s="2028"/>
    </row>
    <row r="35" spans="1:22" ht="18" customHeight="1">
      <c r="A35" s="2131"/>
      <c r="B35" s="3023" t="s">
        <v>1834</v>
      </c>
      <c r="C35" s="3023"/>
      <c r="D35" s="3023"/>
      <c r="E35" s="3023"/>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6"/>
      <c r="T35" s="48" t="str">
        <f>IF(T34="一通",L35,IF(T34="二通",M35,IF(T34="三通",N35,IF(T34="四通",O35,IF(T34="五通",P35,IF(T34="六通",Q35,R35))))))</f>
        <v>通路、通电、通讯、通上水、通下水、通热</v>
      </c>
      <c r="U35" s="2028"/>
      <c r="V35" s="2028"/>
    </row>
    <row r="36" spans="1:22" ht="18" customHeight="1">
      <c r="A36" s="2133"/>
      <c r="B36" s="2132" t="s">
        <v>1835</v>
      </c>
      <c r="C36" s="2132" t="s">
        <v>1836</v>
      </c>
      <c r="D36" s="2132" t="s">
        <v>1837</v>
      </c>
      <c r="E36" s="2132" t="s">
        <v>1838</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1839</v>
      </c>
      <c r="B37" s="2136"/>
      <c r="C37" s="2136"/>
      <c r="D37" s="2136"/>
      <c r="E37" s="2136" t="s">
        <v>530</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1840</v>
      </c>
      <c r="B38" s="2138"/>
      <c r="C38" s="2138"/>
      <c r="D38" s="2138"/>
      <c r="E38" s="2138" t="s">
        <v>3071</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1842</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1843</v>
      </c>
      <c r="B42" s="1795" t="s">
        <v>1844</v>
      </c>
      <c r="C42" s="1795" t="s">
        <v>1845</v>
      </c>
      <c r="D42" s="1795" t="s">
        <v>1846</v>
      </c>
      <c r="E42" s="1795" t="s">
        <v>1847</v>
      </c>
      <c r="F42" s="1795" t="s">
        <v>1848</v>
      </c>
      <c r="G42" s="1795" t="s">
        <v>1849</v>
      </c>
      <c r="H42" s="1795" t="s">
        <v>1850</v>
      </c>
      <c r="I42" s="1795" t="s">
        <v>1851</v>
      </c>
      <c r="J42" s="2148" t="s">
        <v>1852</v>
      </c>
      <c r="K42" s="2071" t="s">
        <v>1853</v>
      </c>
      <c r="L42" s="2071" t="s">
        <v>1854</v>
      </c>
      <c r="M42" s="2071" t="s">
        <v>1855</v>
      </c>
      <c r="N42" s="1795" t="s">
        <v>1856</v>
      </c>
      <c r="O42" s="1795" t="s">
        <v>1857</v>
      </c>
      <c r="P42" s="1795" t="s">
        <v>1858</v>
      </c>
      <c r="Q42" s="2070" t="s">
        <v>1859</v>
      </c>
      <c r="R42" s="2070" t="s">
        <v>1860</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1866</v>
      </c>
      <c r="AZ2" s="1270"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24215.7</v>
      </c>
      <c r="B3" s="14">
        <f>IF(C3="否",G5-AT5,G5)</f>
        <v>15950.36</v>
      </c>
      <c r="C3" s="2164" t="s">
        <v>1869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1870</v>
      </c>
      <c r="B5" s="1803"/>
      <c r="C5" s="1803"/>
      <c r="D5" s="1806"/>
      <c r="E5" s="16" t="s">
        <v>1</v>
      </c>
      <c r="F5" s="16">
        <f>SUM(F13:F587)</f>
        <v>0</v>
      </c>
      <c r="G5" s="16">
        <f>SUM(G13:G587)</f>
        <v>15950.36</v>
      </c>
      <c r="H5" s="16">
        <f t="shared" ref="H5:AT5" si="0">SUM(H13:H656)</f>
        <v>15950.36</v>
      </c>
      <c r="I5" s="16">
        <f t="shared" si="0"/>
        <v>14131.06</v>
      </c>
      <c r="J5" s="16">
        <f t="shared" si="0"/>
        <v>0</v>
      </c>
      <c r="K5" s="16">
        <f t="shared" si="0"/>
        <v>1819.3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15950.36</v>
      </c>
      <c r="BA5" s="18">
        <f t="shared" si="1"/>
        <v>15950.36</v>
      </c>
      <c r="BB5" s="18">
        <f t="shared" si="1"/>
        <v>14131.06</v>
      </c>
      <c r="BC5" s="18">
        <f t="shared" si="1"/>
        <v>1819.3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1871</v>
      </c>
      <c r="B6" s="2170"/>
      <c r="C6" s="2170"/>
      <c r="D6" s="2171"/>
      <c r="E6" s="16">
        <f>H6+AC6+AT6</f>
        <v>24215.7</v>
      </c>
      <c r="F6" s="16" t="s">
        <v>1</v>
      </c>
      <c r="G6" s="16" t="s">
        <v>2</v>
      </c>
      <c r="H6" s="20">
        <f>SUMIF(I$12:AB$12,"总值",I6:AB6)</f>
        <v>24215.7</v>
      </c>
      <c r="I6" s="16">
        <f t="shared" ref="I6:AB6" si="2">ROUND($A$3*I5/$B$3,2)</f>
        <v>21453.65</v>
      </c>
      <c r="J6" s="16">
        <f t="shared" si="2"/>
        <v>0</v>
      </c>
      <c r="K6" s="16">
        <f t="shared" si="2"/>
        <v>2762.05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24215.7</v>
      </c>
      <c r="AZ6" s="16" t="s">
        <v>3</v>
      </c>
      <c r="BA6" s="16">
        <f>ROUND($AY$6*BA5/$AZ$5,2)</f>
        <v>24215.7</v>
      </c>
      <c r="BB6" s="16">
        <f>ROUND($AY$6*BB5/$AZ$5,2)</f>
        <v>21453.65</v>
      </c>
      <c r="BC6" s="16">
        <f t="shared" ref="BC6:BH6" si="4">ROUND($AY$6*BC5/$AZ$5,2)</f>
        <v>2762.05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1879</v>
      </c>
      <c r="AV7" s="23" t="s">
        <v>1880</v>
      </c>
      <c r="AW7" s="2162" t="s">
        <v>1881</v>
      </c>
      <c r="AX7" s="23" t="s">
        <v>1874</v>
      </c>
      <c r="AY7" s="1803"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8"/>
      <c r="K8" s="1818"/>
      <c r="L8" s="1818"/>
      <c r="M8" s="1818"/>
      <c r="N8" s="1818"/>
      <c r="O8" s="1818"/>
      <c r="P8" s="1818"/>
      <c r="Q8" s="1818"/>
      <c r="R8" s="1818"/>
      <c r="S8" s="1818"/>
      <c r="T8" s="1818"/>
      <c r="U8" s="1818"/>
      <c r="V8" s="2182"/>
      <c r="W8" s="1818"/>
      <c r="X8" s="1818"/>
      <c r="Y8" s="1818"/>
      <c r="Z8" s="1818"/>
      <c r="AA8" s="2182"/>
      <c r="AB8" s="2183"/>
      <c r="AC8" s="981" t="s">
        <v>1885</v>
      </c>
      <c r="AD8" s="2184"/>
      <c r="AE8" s="2176"/>
      <c r="AF8" s="1818"/>
      <c r="AG8" s="1818"/>
      <c r="AH8" s="1818"/>
      <c r="AI8" s="1818"/>
      <c r="AJ8" s="1818"/>
      <c r="AK8" s="1818"/>
      <c r="AL8" s="1818"/>
      <c r="AM8" s="1818"/>
      <c r="AN8" s="1818"/>
      <c r="AO8" s="1818"/>
      <c r="AP8" s="1818"/>
      <c r="AQ8" s="1818"/>
      <c r="AR8" s="1818"/>
      <c r="AS8" s="1818"/>
      <c r="AT8" s="1292" t="s">
        <v>1886</v>
      </c>
      <c r="AU8" s="2178" t="s">
        <v>1887</v>
      </c>
      <c r="AV8" s="1292"/>
      <c r="AW8" s="2161"/>
      <c r="AX8" s="1292"/>
      <c r="AY8" s="2162"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3.2">
      <c r="A9" s="2178"/>
      <c r="B9" s="2178"/>
      <c r="C9" s="2178"/>
      <c r="D9" s="2178"/>
      <c r="E9" s="2178"/>
      <c r="F9" s="2178"/>
      <c r="G9" s="1292"/>
      <c r="H9" s="2186" t="s">
        <v>1890</v>
      </c>
      <c r="I9" s="2187" t="s">
        <v>3073</v>
      </c>
      <c r="J9" s="981"/>
      <c r="K9" s="2187" t="s">
        <v>3073</v>
      </c>
      <c r="L9" s="981"/>
      <c r="M9" s="2187"/>
      <c r="N9" s="981"/>
      <c r="O9" s="2187"/>
      <c r="P9" s="981"/>
      <c r="Q9" s="2187"/>
      <c r="R9" s="981"/>
      <c r="S9" s="2187"/>
      <c r="T9" s="981"/>
      <c r="U9" s="2187"/>
      <c r="V9" s="981"/>
      <c r="W9" s="2187"/>
      <c r="X9" s="2188"/>
      <c r="Y9" s="2187"/>
      <c r="Z9" s="981"/>
      <c r="AA9" s="2187"/>
      <c r="AB9" s="981"/>
      <c r="AC9" s="2179"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9"/>
      <c r="AT9" s="2178"/>
      <c r="AU9" s="2178" t="s">
        <v>1893</v>
      </c>
      <c r="AV9" s="1292"/>
      <c r="AW9" s="2161"/>
      <c r="AX9" s="1292"/>
      <c r="AY9" s="28"/>
      <c r="AZ9" s="28" t="s">
        <v>1883</v>
      </c>
      <c r="BA9" s="2190" t="s">
        <v>1894</v>
      </c>
      <c r="BB9" s="2191"/>
      <c r="BC9" s="1338"/>
      <c r="BD9" s="1338"/>
      <c r="BE9" s="1338"/>
      <c r="BF9" s="1338"/>
      <c r="BG9" s="1338"/>
      <c r="BH9" s="1338"/>
      <c r="BI9" s="1338"/>
      <c r="BJ9" s="1338"/>
      <c r="BK9" s="2192"/>
      <c r="BL9" s="15" t="s">
        <v>1895</v>
      </c>
      <c r="BM9" s="1818"/>
      <c r="BN9" s="2181"/>
      <c r="BO9" s="1818"/>
      <c r="BP9" s="1818"/>
      <c r="BQ9" s="1818"/>
      <c r="BR9" s="1818"/>
      <c r="BS9" s="1818"/>
      <c r="BT9" s="26"/>
    </row>
    <row r="10" spans="1:72" s="2185" customFormat="1" ht="13.2">
      <c r="A10" s="2178"/>
      <c r="B10" s="2178"/>
      <c r="C10" s="2178"/>
      <c r="D10" s="2178"/>
      <c r="E10" s="2178"/>
      <c r="F10" s="2178"/>
      <c r="G10" s="1292"/>
      <c r="H10" s="28"/>
      <c r="I10" s="2187" t="s">
        <v>6</v>
      </c>
      <c r="J10" s="981"/>
      <c r="K10" s="2193" t="s">
        <v>27</v>
      </c>
      <c r="L10" s="981"/>
      <c r="M10" s="2193"/>
      <c r="N10" s="981"/>
      <c r="O10" s="2193"/>
      <c r="P10" s="981"/>
      <c r="Q10" s="2193"/>
      <c r="R10" s="981"/>
      <c r="S10" s="2193"/>
      <c r="T10" s="981"/>
      <c r="U10" s="2193"/>
      <c r="V10" s="981"/>
      <c r="W10" s="2193"/>
      <c r="X10" s="981"/>
      <c r="Y10" s="2193"/>
      <c r="Z10" s="981"/>
      <c r="AA10" s="2193"/>
      <c r="AB10" s="981"/>
      <c r="AC10" s="1292"/>
      <c r="AD10" s="15" t="s">
        <v>1896</v>
      </c>
      <c r="AE10" s="2194"/>
      <c r="AF10" s="15" t="s">
        <v>1896</v>
      </c>
      <c r="AG10" s="2194"/>
      <c r="AH10" s="15" t="s">
        <v>1897</v>
      </c>
      <c r="AI10" s="2194"/>
      <c r="AJ10" s="15" t="s">
        <v>1897</v>
      </c>
      <c r="AK10" s="2194"/>
      <c r="AL10" s="15" t="s">
        <v>1898</v>
      </c>
      <c r="AM10" s="1298"/>
      <c r="AN10" s="15" t="s">
        <v>1898</v>
      </c>
      <c r="AO10" s="1298"/>
      <c r="AP10" s="15" t="s">
        <v>1899</v>
      </c>
      <c r="AQ10" s="1298"/>
      <c r="AR10" s="15" t="s">
        <v>1899</v>
      </c>
      <c r="AS10" s="1298"/>
      <c r="AT10" s="2178"/>
      <c r="AU10" s="2178"/>
      <c r="AV10" s="1292"/>
      <c r="AW10" s="2161"/>
      <c r="AX10" s="1292"/>
      <c r="AY10" s="28"/>
      <c r="AZ10" s="28"/>
      <c r="BA10" s="2195" t="s">
        <v>1890</v>
      </c>
      <c r="BB10" s="2196" t="str">
        <f>I9</f>
        <v>地上</v>
      </c>
      <c r="BC10" s="29" t="str">
        <f>K9</f>
        <v>地上</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3.2">
      <c r="A11" s="2178"/>
      <c r="B11" s="2178"/>
      <c r="C11" s="2178"/>
      <c r="D11" s="2178"/>
      <c r="E11" s="2178"/>
      <c r="F11" s="2178"/>
      <c r="G11" s="1292"/>
      <c r="H11" s="2195"/>
      <c r="I11" s="2198" t="s">
        <v>3074</v>
      </c>
      <c r="J11" s="2199"/>
      <c r="K11" s="2198" t="s">
        <v>3075</v>
      </c>
      <c r="L11" s="2199"/>
      <c r="M11" s="2198"/>
      <c r="N11" s="2199"/>
      <c r="O11" s="2198"/>
      <c r="P11" s="2199"/>
      <c r="Q11" s="2198"/>
      <c r="R11" s="2199"/>
      <c r="S11" s="2198"/>
      <c r="T11" s="2199"/>
      <c r="U11" s="2198"/>
      <c r="V11" s="2199"/>
      <c r="W11" s="2198"/>
      <c r="X11" s="2199"/>
      <c r="Y11" s="2198"/>
      <c r="Z11" s="2199"/>
      <c r="AA11" s="2198"/>
      <c r="AB11" s="2199"/>
      <c r="AC11" s="1292"/>
      <c r="AD11" s="2200" t="s">
        <v>1900</v>
      </c>
      <c r="AE11" s="1819"/>
      <c r="AF11" s="2200" t="s">
        <v>1900</v>
      </c>
      <c r="AG11" s="1819"/>
      <c r="AH11" s="2200" t="s">
        <v>1901</v>
      </c>
      <c r="AI11" s="2201"/>
      <c r="AJ11" s="2200" t="s">
        <v>1901</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办公</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5"/>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t="str">
        <f>I11</f>
        <v>标准厂房</v>
      </c>
      <c r="BC12" s="2208" t="str">
        <f>K11</f>
        <v>办公楼</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3.2">
      <c r="A13" s="1272"/>
      <c r="B13" s="1272"/>
      <c r="C13" s="1272">
        <v>1</v>
      </c>
      <c r="D13" s="2209" t="s">
        <v>3072</v>
      </c>
      <c r="E13" s="16">
        <f>IF($C$3="是",ROUND($A$3*G13/$B$3,2),ROUND($A$3*(G13-AT13)/$B$3,2))</f>
        <v>10726.83</v>
      </c>
      <c r="F13" s="32"/>
      <c r="G13" s="33">
        <f>H13+AC13+AT13</f>
        <v>7065.53</v>
      </c>
      <c r="H13" s="20">
        <f>SUMIF(I$12:AB$12,"总值",I13:AB13)</f>
        <v>7065.53</v>
      </c>
      <c r="I13" s="2210">
        <v>7065.53</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10726.83</v>
      </c>
      <c r="AZ13" s="16">
        <f>BA13+BL13</f>
        <v>7065.53</v>
      </c>
      <c r="BA13" s="16">
        <f>SUM(BB13:BK13)</f>
        <v>7065.53</v>
      </c>
      <c r="BB13" s="16">
        <f>IF($D13="是",I13-J13,0)</f>
        <v>7065.53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2"/>
      <c r="B14" s="1272"/>
      <c r="C14" s="1272">
        <v>2</v>
      </c>
      <c r="D14" s="2209" t="s">
        <v>3072</v>
      </c>
      <c r="E14" s="16">
        <f>IF($C$3="是",ROUND($A$3*G14/$B$3,2),ROUND($A$3*(G14-AT14)/$B$3,2))</f>
        <v>2762.05</v>
      </c>
      <c r="F14" s="32"/>
      <c r="G14" s="33">
        <f>H14+AC14+AT14</f>
        <v>1819.3</v>
      </c>
      <c r="H14" s="20">
        <f>SUMIF(I$12:AB$12,"总值",I14:AB14)</f>
        <v>1819.3</v>
      </c>
      <c r="I14" s="2210"/>
      <c r="J14" s="2210"/>
      <c r="K14" s="2210">
        <v>1819.3</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2762.05</v>
      </c>
      <c r="AZ14" s="16">
        <f>BA14+BL14</f>
        <v>1819.3</v>
      </c>
      <c r="BA14" s="16">
        <f>SUM(BB14:BK14)</f>
        <v>1819.3</v>
      </c>
      <c r="BB14" s="16">
        <f>IF($D14="是",I14-J14,0)</f>
        <v>0</v>
      </c>
      <c r="BC14" s="16">
        <f>IF($D14="是",K14-L14,0)</f>
        <v>1819.3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2"/>
      <c r="B15" s="1272"/>
      <c r="C15" s="1272">
        <v>3</v>
      </c>
      <c r="D15" s="2209" t="s">
        <v>3072</v>
      </c>
      <c r="E15" s="16">
        <f>IF($C$3="是",ROUND($A$3*G15/$B$3,2),ROUND($A$3*(G15-AT15)/$B$3,2))</f>
        <v>10726.83</v>
      </c>
      <c r="F15" s="32"/>
      <c r="G15" s="33">
        <f>H15+AC15+AT15</f>
        <v>7065.53</v>
      </c>
      <c r="H15" s="20">
        <f>SUMIF(I$12:AB$12,"总值",I15:AB15)</f>
        <v>7065.53</v>
      </c>
      <c r="I15" s="2210">
        <v>7065.53</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6">
        <f>ROUND($AY$6*AZ15/$AZ$5,2)</f>
        <v>10726.83</v>
      </c>
      <c r="AZ15" s="16">
        <f>BA15+BL15</f>
        <v>7065.53</v>
      </c>
      <c r="BA15" s="16">
        <f>SUM(BB15:BK15)</f>
        <v>7065.53</v>
      </c>
      <c r="BB15" s="16">
        <f>IF($D15="是",I15-J15,0)</f>
        <v>7065.53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46.8">
      <c r="A3" s="3046"/>
      <c r="B3" s="3046"/>
      <c r="C3" s="3046"/>
      <c r="D3" s="3047"/>
      <c r="E3" s="304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D36" sqref="D36"/>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1929</v>
      </c>
      <c r="B1" s="1392"/>
      <c r="C1" s="1392"/>
      <c r="D1" s="1392"/>
      <c r="E1" s="1392"/>
      <c r="F1" s="1392"/>
      <c r="G1" s="1392"/>
      <c r="H1" s="1392"/>
      <c r="I1" s="1392"/>
      <c r="J1" s="1392"/>
      <c r="K1" s="1392"/>
      <c r="L1" s="1392"/>
      <c r="M1" s="1392"/>
      <c r="N1" s="1392"/>
      <c r="O1" s="1392"/>
      <c r="P1" s="1392"/>
    </row>
    <row r="2" spans="1:16" ht="14.4">
      <c r="A2" s="3057" t="s">
        <v>1930</v>
      </c>
      <c r="B2" s="3057"/>
      <c r="C2" s="3057"/>
      <c r="D2" s="967" t="s">
        <v>1906</v>
      </c>
      <c r="E2" s="2223" t="s">
        <v>1907</v>
      </c>
      <c r="F2" s="1392"/>
      <c r="G2" s="2224"/>
      <c r="H2" s="2225"/>
      <c r="I2" s="2226" t="s">
        <v>1931</v>
      </c>
      <c r="J2" s="1392"/>
      <c r="K2" s="1392"/>
      <c r="L2" s="1392"/>
      <c r="M2" s="1392"/>
      <c r="N2" s="1427"/>
      <c r="O2" s="1392"/>
      <c r="P2" s="1392"/>
    </row>
    <row r="3" spans="1:16" ht="15" thickBot="1">
      <c r="A3" s="3058" t="s">
        <v>1904</v>
      </c>
      <c r="B3" s="3058"/>
      <c r="C3" s="3058"/>
      <c r="D3" s="46">
        <f>'数据-基础表'!AY6</f>
        <v>24215.7</v>
      </c>
      <c r="E3" s="46">
        <f>'数据-基础表'!AZ5</f>
        <v>15950.36</v>
      </c>
      <c r="F3" s="1392"/>
      <c r="G3" s="1399"/>
      <c r="H3" s="1247" t="s">
        <v>1905</v>
      </c>
      <c r="I3" s="55">
        <f>ROUND('数据-基础表'!B3/'数据-基础表'!A3,2)</f>
        <v>0.66</v>
      </c>
      <c r="J3" s="1392"/>
      <c r="K3" s="1392"/>
      <c r="L3" s="1392"/>
      <c r="M3" s="1392"/>
      <c r="N3" s="1427"/>
      <c r="O3" s="1392"/>
      <c r="P3" s="1392"/>
    </row>
    <row r="4" spans="1:16" ht="14.4">
      <c r="A4" s="3059"/>
      <c r="B4" s="3060"/>
      <c r="C4" s="3061"/>
      <c r="D4" s="2227" t="s">
        <v>1906</v>
      </c>
      <c r="E4" s="2228" t="s">
        <v>1907</v>
      </c>
      <c r="F4" s="1392"/>
      <c r="G4" s="2229" t="s">
        <v>1932</v>
      </c>
      <c r="H4" s="1247" t="s">
        <v>1912</v>
      </c>
      <c r="I4" s="55">
        <f>ROUND(SUMIF('数据-基础表'!I9:AS9,"地上",'数据-基础表'!I5:AS5)/'数据-基础表'!A3,2)</f>
        <v>0.66</v>
      </c>
      <c r="J4" s="1392"/>
      <c r="K4" s="1392"/>
      <c r="L4" s="1392"/>
      <c r="M4" s="1392"/>
      <c r="N4" s="1427"/>
      <c r="O4" s="1392"/>
      <c r="P4" s="1392"/>
    </row>
    <row r="5" spans="1:16" ht="14.4">
      <c r="A5" s="47" t="s">
        <v>1908</v>
      </c>
      <c r="B5" s="3062" t="s">
        <v>1909</v>
      </c>
      <c r="C5" s="3062"/>
      <c r="D5" s="48">
        <f>ROUND($D$3*E5/$E$3,2)</f>
        <v>0</v>
      </c>
      <c r="E5" s="49">
        <f>SUMIF('数据-基础表'!$11:$11,"住宅",'数据-基础表'!$5:$5)</f>
        <v>0</v>
      </c>
      <c r="F5" s="1392"/>
      <c r="G5" s="1399"/>
      <c r="H5" s="1247" t="s">
        <v>1905</v>
      </c>
      <c r="I5" s="55">
        <f>ROUND(E31/D31,2)</f>
        <v>0.66</v>
      </c>
      <c r="J5" s="1392"/>
      <c r="K5" s="1392"/>
      <c r="L5" s="1392"/>
      <c r="M5" s="1392"/>
      <c r="N5" s="1392"/>
      <c r="O5" s="1392"/>
      <c r="P5" s="1392"/>
    </row>
    <row r="6" spans="1:16" ht="15" thickBot="1">
      <c r="A6" s="2230"/>
      <c r="B6" s="3062" t="s">
        <v>1910</v>
      </c>
      <c r="C6" s="3062"/>
      <c r="D6" s="48">
        <f>ROUND($D$3*E6/$E$3,2)</f>
        <v>24215.7</v>
      </c>
      <c r="E6" s="49">
        <f>E3-E5</f>
        <v>15950.36</v>
      </c>
      <c r="F6" s="1392"/>
      <c r="G6" s="2231" t="s">
        <v>1911</v>
      </c>
      <c r="H6" s="1399" t="s">
        <v>1912</v>
      </c>
      <c r="I6" s="939">
        <f>ROUND(F31/D31,2)</f>
        <v>0.66</v>
      </c>
      <c r="J6" s="1392"/>
      <c r="K6" s="1392"/>
      <c r="L6" s="1392"/>
      <c r="M6" s="1392"/>
      <c r="N6" s="1392"/>
      <c r="O6" s="1392"/>
      <c r="P6" s="1392"/>
    </row>
    <row r="7" spans="1:16" ht="14.4">
      <c r="A7" s="3054"/>
      <c r="B7" s="3055"/>
      <c r="C7" s="3056"/>
      <c r="D7" s="2227" t="s">
        <v>1906</v>
      </c>
      <c r="E7" s="2232" t="s">
        <v>1913</v>
      </c>
      <c r="F7" s="1392"/>
      <c r="G7" s="2224" t="s">
        <v>1914</v>
      </c>
      <c r="H7" s="64"/>
      <c r="I7" s="420"/>
      <c r="J7" s="1392"/>
      <c r="K7" s="1392"/>
      <c r="L7" s="1392"/>
      <c r="M7" s="1392"/>
      <c r="N7" s="1392"/>
      <c r="O7" s="1392"/>
      <c r="P7" s="1392"/>
    </row>
    <row r="8" spans="1:16" ht="14.4">
      <c r="A8" s="47" t="s">
        <v>1915</v>
      </c>
      <c r="B8" s="50" t="s">
        <v>1916</v>
      </c>
      <c r="C8" s="48" t="s">
        <v>1917</v>
      </c>
      <c r="D8" s="48">
        <f t="shared" ref="D8:D15" si="0">ROUND($D$3*E8/$E$3,2)</f>
        <v>24215.7</v>
      </c>
      <c r="E8" s="51">
        <f>SUMIF('数据-基础表'!BB10:BK10,"地上",'数据-基础表'!BB5:BK5)</f>
        <v>15950.359999999999</v>
      </c>
      <c r="F8" s="1392"/>
      <c r="G8" s="2233"/>
      <c r="H8" s="2233"/>
      <c r="I8" s="1392"/>
      <c r="J8" s="1392"/>
      <c r="K8" s="1392"/>
      <c r="L8" s="1392"/>
      <c r="M8" s="1392"/>
      <c r="N8" s="1392"/>
      <c r="O8" s="1392"/>
      <c r="P8" s="1392"/>
    </row>
    <row r="9" spans="1:16" ht="14.4">
      <c r="A9" s="2234"/>
      <c r="B9" s="2235"/>
      <c r="C9" s="48" t="s">
        <v>1918</v>
      </c>
      <c r="D9" s="48">
        <f t="shared" si="0"/>
        <v>0</v>
      </c>
      <c r="E9" s="52">
        <v>0</v>
      </c>
      <c r="F9" s="1392"/>
      <c r="G9" s="2233"/>
      <c r="H9" s="2233"/>
      <c r="I9" s="1392"/>
      <c r="J9" s="1392"/>
      <c r="K9" s="1392"/>
      <c r="L9" s="1392"/>
      <c r="M9" s="1392"/>
      <c r="N9" s="1392"/>
      <c r="O9" s="1392"/>
      <c r="P9" s="1392"/>
    </row>
    <row r="10" spans="1:16" ht="14.4">
      <c r="A10" s="2234"/>
      <c r="B10" s="2235"/>
      <c r="C10" s="48" t="s">
        <v>1927</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ht="14.4">
      <c r="A11" s="2234"/>
      <c r="B11" s="2235"/>
      <c r="C11" s="48" t="s">
        <v>1919</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ht="14.4">
      <c r="A12" s="2234"/>
      <c r="B12" s="2235"/>
      <c r="C12" s="48" t="s">
        <v>1920</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ht="14.4">
      <c r="A13" s="2234"/>
      <c r="B13" s="2235"/>
      <c r="C13" s="48" t="s">
        <v>1921</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ht="14.4">
      <c r="A14" s="2234"/>
      <c r="B14" s="2235"/>
      <c r="C14" s="48" t="s">
        <v>1933</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1928</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 thickBot="1">
      <c r="A16" s="2230"/>
      <c r="B16" s="2235"/>
      <c r="C16" s="50" t="s">
        <v>1922</v>
      </c>
      <c r="D16" s="50">
        <f>SUM(D8:D15)</f>
        <v>24215.7</v>
      </c>
      <c r="E16" s="53">
        <f>SUM(E8:E15)</f>
        <v>15950.359999999999</v>
      </c>
      <c r="F16" s="1392"/>
      <c r="G16" s="2233"/>
      <c r="H16" s="2236" t="s">
        <v>1934</v>
      </c>
      <c r="I16" s="2237"/>
      <c r="J16" s="1392"/>
      <c r="K16" s="3051" t="s">
        <v>1934</v>
      </c>
      <c r="L16" s="3052"/>
      <c r="M16" s="3052"/>
      <c r="N16" s="3052"/>
      <c r="O16" s="3052"/>
      <c r="P16" s="3053"/>
    </row>
    <row r="17" spans="1:19" ht="14.4">
      <c r="A17" s="2238" t="s">
        <v>1935</v>
      </c>
      <c r="B17" s="2239" t="s">
        <v>1936</v>
      </c>
      <c r="C17" s="2240" t="s">
        <v>1937</v>
      </c>
      <c r="D17" s="2241" t="s">
        <v>1925</v>
      </c>
      <c r="E17" s="2242" t="s">
        <v>1926</v>
      </c>
      <c r="F17" s="2243"/>
      <c r="G17" s="2244"/>
      <c r="H17" s="2245" t="s">
        <v>1938</v>
      </c>
      <c r="I17" s="2246" t="s">
        <v>1923</v>
      </c>
      <c r="J17" s="1392"/>
      <c r="K17" s="3048" t="s">
        <v>1939</v>
      </c>
      <c r="L17" s="3049"/>
      <c r="M17" s="3050"/>
      <c r="N17" s="3048" t="s">
        <v>1940</v>
      </c>
      <c r="O17" s="3049"/>
      <c r="P17" s="3050"/>
      <c r="R17" s="2224" t="s">
        <v>1941</v>
      </c>
      <c r="S17" s="64"/>
    </row>
    <row r="18" spans="1:19" ht="14.4">
      <c r="A18" s="2234"/>
      <c r="B18" s="2247"/>
      <c r="C18" s="2248"/>
      <c r="D18" s="2249"/>
      <c r="E18" s="2250" t="s">
        <v>1942</v>
      </c>
      <c r="F18" s="2251" t="s">
        <v>1943</v>
      </c>
      <c r="G18" s="2252" t="s">
        <v>1944</v>
      </c>
      <c r="H18" s="1262" t="s">
        <v>1945</v>
      </c>
      <c r="I18" s="2253" t="s">
        <v>1946</v>
      </c>
      <c r="J18" s="1392"/>
      <c r="K18" s="1262" t="s">
        <v>1947</v>
      </c>
      <c r="L18" s="2254" t="s">
        <v>1948</v>
      </c>
      <c r="M18" s="1046" t="s">
        <v>1949</v>
      </c>
      <c r="N18" s="1262" t="s">
        <v>1947</v>
      </c>
      <c r="O18" s="2254" t="s">
        <v>1948</v>
      </c>
      <c r="P18" s="1046" t="s">
        <v>1949</v>
      </c>
      <c r="R18" s="1247" t="s">
        <v>1950</v>
      </c>
      <c r="S18" s="1247" t="s">
        <v>1951</v>
      </c>
    </row>
    <row r="19" spans="1:19" ht="14.4">
      <c r="A19" s="2255"/>
      <c r="B19" s="50" t="s">
        <v>1924</v>
      </c>
      <c r="C19" s="2961" t="s">
        <v>3076</v>
      </c>
      <c r="D19" s="48">
        <f>ROUND($D$3*E19/$E$3,2)</f>
        <v>21453.65</v>
      </c>
      <c r="E19" s="56">
        <f t="shared" ref="E19:E26" si="1">SUM(F19:G19)</f>
        <v>14131.06</v>
      </c>
      <c r="F19" s="57">
        <f>'数据-基础表'!I13+'数据-基础表'!I15</f>
        <v>14131.06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21453.65</v>
      </c>
      <c r="S19" s="1248">
        <f t="shared" si="5"/>
        <v>14131.06</v>
      </c>
    </row>
    <row r="20" spans="1:19" ht="14.4">
      <c r="A20" s="2259"/>
      <c r="B20" s="50" t="s">
        <v>1952</v>
      </c>
      <c r="C20" s="2961" t="s">
        <v>3078</v>
      </c>
      <c r="D20" s="48">
        <f t="shared" ref="D20:D26" si="6">ROUND($D$3*E20/$E$3,2)</f>
        <v>2762.05</v>
      </c>
      <c r="E20" s="56">
        <f t="shared" si="1"/>
        <v>1819.3</v>
      </c>
      <c r="F20" s="57">
        <f>'数据-基础表'!K14</f>
        <v>1819.3</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2762.05</v>
      </c>
      <c r="S20" s="1248">
        <f t="shared" si="5"/>
        <v>1819.3</v>
      </c>
    </row>
    <row r="21" spans="1:19" ht="14.4">
      <c r="A21" s="2259"/>
      <c r="B21" s="50" t="s">
        <v>1952</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ht="14.4">
      <c r="A22" s="2259"/>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t="14.4">
      <c r="A23" s="2259"/>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t="14.4">
      <c r="A24" s="2259"/>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t="14.4">
      <c r="A25" s="2259"/>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t="14.4">
      <c r="A26" s="2259"/>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 thickBot="1">
      <c r="A27" s="2259"/>
      <c r="B27" s="48"/>
      <c r="C27" s="2262" t="s">
        <v>1953</v>
      </c>
      <c r="D27" s="1393">
        <f>SUM(D19:D26)</f>
        <v>24215.7</v>
      </c>
      <c r="E27" s="1394">
        <f>IF(SUM(E19:E26)='数据-基础表'!BA5,SUM(E19:E26),IF(F27="地上面积有误","面积有误","地下面积有误"))</f>
        <v>15950.359999999999</v>
      </c>
      <c r="F27" s="1393">
        <f>IF(SUM(F19:F26)=E8,SUM(F19:F26),"地上面积有误")</f>
        <v>15950.359999999999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24215.7</v>
      </c>
      <c r="S27" s="1247">
        <f>IF(SUM(S19:S26)=$E$3,SUM(S19:S26),SUM(S19:S26)&amp;"误差"&amp;ROUND(SUM(S19:S26)-E3,2))</f>
        <v>15950.359999999999</v>
      </c>
    </row>
    <row r="28" spans="1:19" ht="14.4">
      <c r="A28" s="2259"/>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9"/>
      <c r="B29" s="50" t="s">
        <v>1954</v>
      </c>
      <c r="C29" s="2263"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9"/>
      <c r="B30" s="50"/>
      <c r="C30" s="2264" t="s">
        <v>1953</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5"/>
      <c r="B31" s="2266"/>
      <c r="C31" s="1007" t="s">
        <v>1957</v>
      </c>
      <c r="D31" s="729">
        <f>D27+D30</f>
        <v>24215.7</v>
      </c>
      <c r="E31" s="729">
        <f>E27+E30</f>
        <v>15950.359999999999</v>
      </c>
      <c r="F31" s="730">
        <f>F27+F30</f>
        <v>15950.359999999999</v>
      </c>
      <c r="G31" s="731">
        <f>G27+G30</f>
        <v>0</v>
      </c>
      <c r="H31" s="1392"/>
      <c r="I31" s="1392"/>
      <c r="J31" s="1392"/>
      <c r="K31" s="1392"/>
      <c r="L31" s="1392"/>
      <c r="M31" s="1392"/>
      <c r="N31" s="1392"/>
      <c r="O31" s="1392"/>
      <c r="P31" s="1392"/>
    </row>
    <row r="32" spans="1:19" ht="14.4">
      <c r="A32" s="2229"/>
      <c r="B32" s="2229" t="s">
        <v>1958</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AJ6" activePane="bottomRight" state="frozen"/>
      <selection activeCell="C50" sqref="C50"/>
      <selection pane="topRight" activeCell="C50" sqref="C50"/>
      <selection pane="bottomLeft" activeCell="C50" sqref="C50"/>
      <selection pane="bottomRight" activeCell="AN21" sqref="AN21"/>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1959</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2" t="s">
        <v>1960</v>
      </c>
      <c r="B2" s="1266">
        <f>项目基本情况!D3</f>
        <v>43921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4.4"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0" t="s">
        <v>1965</v>
      </c>
      <c r="AA4" s="2240"/>
      <c r="AB4" s="2240"/>
      <c r="AC4" s="2240"/>
      <c r="AD4" s="2240"/>
      <c r="AE4" s="2238" t="s">
        <v>1966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57.6">
      <c r="A5" s="2285" t="s">
        <v>1967</v>
      </c>
      <c r="B5" s="2286" t="s">
        <v>1968</v>
      </c>
      <c r="C5" s="2287" t="s">
        <v>1969</v>
      </c>
      <c r="D5" s="2288" t="s">
        <v>1970</v>
      </c>
      <c r="E5" s="1268" t="s">
        <v>1971</v>
      </c>
      <c r="F5" s="2289" t="s">
        <v>1972</v>
      </c>
      <c r="G5" s="1268" t="s">
        <v>1973</v>
      </c>
      <c r="H5" s="1268" t="s">
        <v>1974</v>
      </c>
      <c r="I5" s="1268" t="s">
        <v>1975</v>
      </c>
      <c r="J5" s="2290" t="s">
        <v>1976</v>
      </c>
      <c r="K5" s="2291" t="s">
        <v>1977</v>
      </c>
      <c r="L5" s="2292" t="s">
        <v>1978</v>
      </c>
      <c r="M5" s="2293" t="s">
        <v>1979</v>
      </c>
      <c r="N5" s="2294" t="s">
        <v>3079</v>
      </c>
      <c r="O5" s="2292" t="s">
        <v>1980</v>
      </c>
      <c r="P5" s="2295" t="s">
        <v>1981</v>
      </c>
      <c r="Q5" s="69" t="s">
        <v>1982</v>
      </c>
      <c r="R5" s="2296" t="s">
        <v>1983</v>
      </c>
      <c r="S5" s="2297" t="s">
        <v>1984</v>
      </c>
      <c r="T5" s="2298" t="s">
        <v>1985</v>
      </c>
      <c r="U5" s="1267" t="s">
        <v>1986</v>
      </c>
      <c r="V5" s="1268" t="s">
        <v>1987</v>
      </c>
      <c r="W5" s="1268" t="s">
        <v>1988</v>
      </c>
      <c r="X5" s="71"/>
      <c r="Y5" s="70" t="s">
        <v>1989</v>
      </c>
      <c r="Z5" s="2299" t="s">
        <v>1986</v>
      </c>
      <c r="AA5" s="1268" t="s">
        <v>1987</v>
      </c>
      <c r="AB5" s="1268" t="s">
        <v>1988</v>
      </c>
      <c r="AC5" s="71"/>
      <c r="AD5" s="71" t="s">
        <v>1989</v>
      </c>
      <c r="AE5" s="1267" t="s">
        <v>1990</v>
      </c>
      <c r="AF5" s="1268" t="s">
        <v>1991</v>
      </c>
      <c r="AG5" s="70" t="s">
        <v>1992</v>
      </c>
      <c r="AH5" s="1267" t="s">
        <v>1993</v>
      </c>
      <c r="AI5" s="2299" t="s">
        <v>1994</v>
      </c>
      <c r="AJ5" s="2299" t="s">
        <v>1995</v>
      </c>
      <c r="AK5" s="1268" t="s">
        <v>1996</v>
      </c>
      <c r="AL5" s="1268" t="s">
        <v>1997</v>
      </c>
      <c r="AM5" s="70" t="s">
        <v>1998</v>
      </c>
      <c r="AN5" s="2300" t="s">
        <v>1999</v>
      </c>
      <c r="AO5" s="2070" t="s">
        <v>2000</v>
      </c>
      <c r="AP5" s="1249" t="s">
        <v>2001</v>
      </c>
      <c r="AQ5" s="2301" t="s">
        <v>2002</v>
      </c>
      <c r="AR5" s="2301"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3.8">
      <c r="A6" s="2302" t="str">
        <f>'数据-汇总表'!C19</f>
        <v>工业</v>
      </c>
      <c r="B6" s="2303" t="str">
        <f>IF(A6=0,"","经营性")</f>
        <v>经营性</v>
      </c>
      <c r="C6" s="2304" t="s">
        <v>6</v>
      </c>
      <c r="D6" s="1051">
        <f>SUMIF(项目基本情况!D$12:I$12,C6,项目基本情况!D$14:I$14)</f>
        <v>50</v>
      </c>
      <c r="E6" s="1048">
        <f>IF(B6="","",SUMIF(项目基本情况!D$12:I$12,C6,项目基本情况!D$13:I$13))</f>
        <v>56164</v>
      </c>
      <c r="F6" s="72">
        <f>SUMIF(项目基本情况!D$12:I$12,C6,项目基本情况!D$15:I$15)</f>
        <v>33.54</v>
      </c>
      <c r="G6" s="73">
        <f ca="1">IF(ISERROR(ROUND(POWER(1+H6,D6-F6)*(POWER(1+H6,F6)-1)/(POWER(1+H6,D6)-1),3)),0,ROUND(POWER(1+H6,D6-F6)*(POWER(1+H6,F6)-1)/(POWER(1+H6,D6)-1),3))</f>
        <v>0.877</v>
      </c>
      <c r="H6" s="802">
        <f ca="1">基准地价修正!G20</f>
        <v>4.8000000000000001E-2</v>
      </c>
      <c r="I6" s="802">
        <v>0.05</v>
      </c>
      <c r="J6" s="74">
        <v>8.5000000000000006E-2</v>
      </c>
      <c r="K6" s="1251">
        <f>SUMIF('数据-汇总表'!C$19:C$33,A6,'数据-汇总表'!E$19:E$33)</f>
        <v>14131.06</v>
      </c>
      <c r="L6" s="803">
        <v>2300</v>
      </c>
      <c r="M6" s="75">
        <f t="shared" ref="M6:M14" si="0">ROUND(K6*L6/10000,0)</f>
        <v>3250</v>
      </c>
      <c r="N6" s="801">
        <f>P19</f>
        <v>0.78</v>
      </c>
      <c r="O6" s="75" t="str">
        <f>IF($N$5="成新度","——",ROUND(M6*N6,0))</f>
        <v>——</v>
      </c>
      <c r="P6" s="76" t="str">
        <f>IF($N$5="成新度","——",M6-O6)</f>
        <v>——</v>
      </c>
      <c r="Q6" s="804">
        <v>0.1</v>
      </c>
      <c r="R6" s="77">
        <f ca="1">SUMIF('数据-汇总表'!C$19:C$33,A6,'数据-汇总表'!R$19:R$27)</f>
        <v>21453.65</v>
      </c>
      <c r="S6" s="54">
        <f>IF('数据-汇总表'!$I$17="按面积比例",SUMIF('数据-汇总表'!C$19:C$33,A6,'数据-汇总表'!K$19:K$33),SUMIF('数据-汇总表'!C$19:C$33,A6,'数据-汇总表'!N$19:N$33))</f>
        <v>0</v>
      </c>
      <c r="T6" s="1443">
        <f>ROUND($L$14*S6/10000,0)</f>
        <v>0</v>
      </c>
      <c r="U6" s="78">
        <v>1</v>
      </c>
      <c r="V6" s="79">
        <v>2.5000000000000001E-2</v>
      </c>
      <c r="W6" s="79">
        <v>0.1</v>
      </c>
      <c r="X6" s="1261"/>
      <c r="Y6" s="80">
        <f>N6</f>
        <v>0.78</v>
      </c>
      <c r="Z6" s="81"/>
      <c r="AA6" s="74"/>
      <c r="AB6" s="74"/>
      <c r="AC6" s="1261"/>
      <c r="AD6" s="82"/>
      <c r="AE6" s="1262">
        <f ca="1">IF(AN6="",0,SUMIF(INDIRECT("'"&amp;AN6&amp;"'"&amp;"!E:E"),$AE$5,INDIRECT("'"&amp;AN6&amp;"'"&amp;"!F:F")))</f>
        <v>33.54</v>
      </c>
      <c r="AF6" s="1804"/>
      <c r="AG6" s="147">
        <f>IF(AF6="",0,AE6-AF6)</f>
        <v>0</v>
      </c>
      <c r="AH6" s="83"/>
      <c r="AI6" s="85">
        <v>365</v>
      </c>
      <c r="AJ6" s="86"/>
      <c r="AK6" s="87">
        <v>0.01</v>
      </c>
      <c r="AL6" s="88">
        <v>1E-3</v>
      </c>
      <c r="AM6" s="89">
        <v>0.01</v>
      </c>
      <c r="AN6" s="2305" t="s">
        <v>3084</v>
      </c>
      <c r="AO6" s="55">
        <f ca="1">SUMIF(INDIRECT("'"&amp;AN6&amp;"'"&amp;"!A:A"),"总价",INDIRECT("'"&amp;AN6&amp;"'"&amp;"!B:B"))</f>
        <v>7340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3.8">
      <c r="A7" s="2302" t="str">
        <f>'数据-汇总表'!C20</f>
        <v>配套办公</v>
      </c>
      <c r="B7" s="2303" t="str">
        <f t="shared" ref="B7:B13" si="1">IF(A7=0,"","经营性")</f>
        <v>经营性</v>
      </c>
      <c r="C7" s="2304" t="s">
        <v>6</v>
      </c>
      <c r="D7" s="1051">
        <f>SUMIF(项目基本情况!D$12:I$12,C7,项目基本情况!D$14:I$14)</f>
        <v>50</v>
      </c>
      <c r="E7" s="1048">
        <f>IF(B7="","",SUMIF(项目基本情况!D$12:I$12,C7,项目基本情况!D$13:I$13))</f>
        <v>56164</v>
      </c>
      <c r="F7" s="72">
        <f>SUMIF(项目基本情况!D$12:I$12,C7,项目基本情况!D$15:I$15)</f>
        <v>33.54</v>
      </c>
      <c r="G7" s="73">
        <f t="shared" ref="G7:G11" ca="1" si="2">IF(ISERROR(ROUND(POWER(1+H7,D7-F7)*(POWER(1+H7,F7)-1)/(POWER(1+H7,D7)-1),3)),0,ROUND(POWER(1+H7,D7-F7)*(POWER(1+H7,F7)-1)/(POWER(1+H7,D7)-1),3))</f>
        <v>0.877</v>
      </c>
      <c r="H7" s="802">
        <f ca="1">H6</f>
        <v>4.8000000000000001E-2</v>
      </c>
      <c r="I7" s="802">
        <f>I6</f>
        <v>0.05</v>
      </c>
      <c r="J7" s="74">
        <f>J6</f>
        <v>8.5000000000000006E-2</v>
      </c>
      <c r="K7" s="1251">
        <f>SUMIF('数据-汇总表'!C$19:C$33,A7,'数据-汇总表'!E$19:E$33)</f>
        <v>1819.3</v>
      </c>
      <c r="L7" s="803">
        <v>2600</v>
      </c>
      <c r="M7" s="75">
        <f t="shared" si="0"/>
        <v>473</v>
      </c>
      <c r="N7" s="801">
        <f>P20</f>
        <v>0.8</v>
      </c>
      <c r="O7" s="75" t="str">
        <f t="shared" ref="O7:O14" si="3">IF($N$5="成新度","——",ROUND(M7*N7,0))</f>
        <v>——</v>
      </c>
      <c r="P7" s="76" t="str">
        <f t="shared" ref="P7:P14" si="4">IF($N$5="成新度","——",M7-O7)</f>
        <v>——</v>
      </c>
      <c r="Q7" s="804">
        <f>Q6</f>
        <v>0.1</v>
      </c>
      <c r="R7" s="77">
        <f ca="1">SUMIF('数据-汇总表'!C$19:C$33,A7,'数据-汇总表'!R$19:R$27)</f>
        <v>2762.05</v>
      </c>
      <c r="S7" s="54">
        <f>IF('数据-汇总表'!$I$17="按面积比例",SUMIF('数据-汇总表'!C$19:C$33,A7,'数据-汇总表'!K$19:K$33),SUMIF('数据-汇总表'!C$19:C$33,A7,'数据-汇总表'!N$19:N$33))</f>
        <v>0</v>
      </c>
      <c r="T7" s="1443">
        <f t="shared" ref="T7:T13" si="5">ROUND($L$14*S7/10000,0)</f>
        <v>0</v>
      </c>
      <c r="U7" s="78">
        <v>1.5</v>
      </c>
      <c r="V7" s="79">
        <f>V6</f>
        <v>2.5000000000000001E-2</v>
      </c>
      <c r="W7" s="79">
        <f>W6</f>
        <v>0.1</v>
      </c>
      <c r="X7" s="1261"/>
      <c r="Y7" s="80">
        <f>N7</f>
        <v>0.8</v>
      </c>
      <c r="Z7" s="81"/>
      <c r="AA7" s="74"/>
      <c r="AB7" s="74"/>
      <c r="AC7" s="1261"/>
      <c r="AD7" s="82"/>
      <c r="AE7" s="1262">
        <f t="shared" ref="AE7:AE13" ca="1" si="6">IF(AN7="",0,SUMIF(INDIRECT("'"&amp;AN7&amp;"'"&amp;"!E:E"),$AE$5,INDIRECT("'"&amp;AN7&amp;"'"&amp;"!F:F")))</f>
        <v>33.54</v>
      </c>
      <c r="AF7" s="1804"/>
      <c r="AG7" s="147">
        <f t="shared" ref="AG7:AG13" si="7">IF(AF7="",0,AE7-AF7)</f>
        <v>0</v>
      </c>
      <c r="AH7" s="83"/>
      <c r="AI7" s="85">
        <v>365</v>
      </c>
      <c r="AJ7" s="86"/>
      <c r="AK7" s="87">
        <f>AK6</f>
        <v>0.01</v>
      </c>
      <c r="AL7" s="88">
        <f>AL6</f>
        <v>1E-3</v>
      </c>
      <c r="AM7" s="89">
        <f>AM6</f>
        <v>0.01</v>
      </c>
      <c r="AN7" s="2305" t="s">
        <v>3082</v>
      </c>
      <c r="AO7" s="55">
        <f t="shared" ref="AO7:AO13" ca="1" si="8">SUMIF(INDIRECT("'"&amp;AN7&amp;"'"&amp;"!A:A"),"总价",INDIRECT("'"&amp;AN7&amp;"'"&amp;"!B:B"))</f>
        <v>1486</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3.8">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3.8">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3.8">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3.8">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3.8">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3.8">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4">
      <c r="A14" s="2307" t="s">
        <v>2004</v>
      </c>
      <c r="B14" s="2303" t="s">
        <v>2005</v>
      </c>
      <c r="C14" s="2308"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8.8">
      <c r="A15" s="2307" t="s">
        <v>2006</v>
      </c>
      <c r="B15" s="2303" t="s">
        <v>2005</v>
      </c>
      <c r="C15" s="2308"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 thickBot="1">
      <c r="A16" s="2309" t="s">
        <v>2008</v>
      </c>
      <c r="B16" s="97"/>
      <c r="C16" s="1005"/>
      <c r="D16" s="2310"/>
      <c r="E16" s="97"/>
      <c r="F16" s="97"/>
      <c r="G16" s="98">
        <f ca="1">ROUND(SUMPRODUCT(G6:G13,K6:K13)/SUMPRODUCT((G6:G13&gt;0)*(K6:K13)),3)</f>
        <v>0.877</v>
      </c>
      <c r="H16" s="99">
        <f ca="1">ROUND(SUMPRODUCT(H6:H13,K6:K13)/SUMPRODUCT((H6:H13&gt;0)*(K6:K13)),3)</f>
        <v>4.8000000000000001E-2</v>
      </c>
      <c r="I16" s="100"/>
      <c r="J16" s="100"/>
      <c r="K16" s="101">
        <f>SUM(K6:K15)</f>
        <v>15950.359999999999</v>
      </c>
      <c r="L16" s="102">
        <f>ROUND(M16*10000/SUM(K6:K14),0)</f>
        <v>2334</v>
      </c>
      <c r="M16" s="102">
        <f>SUM(M6:M14)</f>
        <v>3723</v>
      </c>
      <c r="N16" s="103">
        <f>ROUND(SUMPRODUCT(M6:M14,N6:N14)/M16,3)</f>
        <v>0.78300000000000003</v>
      </c>
      <c r="O16" s="102">
        <f>SUM(O6:O14)</f>
        <v>0</v>
      </c>
      <c r="P16" s="102">
        <f>SUM(P6:P14)</f>
        <v>0</v>
      </c>
      <c r="Q16" s="104">
        <f>ROUND(SUMPRODUCT(Q6:Q13,K6:K13)/SUMPRODUCT((Q6:Q13&gt;0)*(K6:K13)),2)</f>
        <v>0.1</v>
      </c>
      <c r="R16" s="1255">
        <f ca="1">SUM(R6:R13)</f>
        <v>24215.7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6"/>
      <c r="C18" s="2273"/>
      <c r="D18" s="2274"/>
      <c r="E18" s="2273"/>
      <c r="F18" s="2273"/>
      <c r="G18" s="2273"/>
      <c r="H18" s="2273"/>
      <c r="I18" s="2273"/>
      <c r="J18" s="2273"/>
      <c r="K18" s="168"/>
      <c r="L18" s="168"/>
      <c r="M18" s="1581"/>
      <c r="N18" s="168">
        <v>2005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2" t="s">
        <v>2010</v>
      </c>
      <c r="B19" s="112">
        <v>0</v>
      </c>
      <c r="C19" s="2273" t="s">
        <v>2011</v>
      </c>
      <c r="D19" s="2274"/>
      <c r="E19" s="2273"/>
      <c r="F19" s="2273"/>
      <c r="G19" s="2273"/>
      <c r="H19" s="2273"/>
      <c r="I19" s="2273"/>
      <c r="J19" s="2273"/>
      <c r="K19" s="168"/>
      <c r="L19" s="168"/>
      <c r="M19" s="2962" t="s">
        <v>3080</v>
      </c>
      <c r="N19" s="168">
        <f>ROUND(1-(2020-N18)/50,2)</f>
        <v>0.7</v>
      </c>
      <c r="O19" s="1581">
        <v>0.85</v>
      </c>
      <c r="P19" s="1581">
        <f>ROUND((N19+O19)/2,2)</f>
        <v>0.78</v>
      </c>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3" t="s">
        <v>2012</v>
      </c>
      <c r="B20" s="113">
        <v>1</v>
      </c>
      <c r="C20" s="2273" t="s">
        <v>2013</v>
      </c>
      <c r="D20" s="2274"/>
      <c r="E20" s="2273"/>
      <c r="F20" s="2273"/>
      <c r="G20" s="2273"/>
      <c r="H20" s="2273"/>
      <c r="I20" s="2273"/>
      <c r="J20" s="2273"/>
      <c r="K20" s="168"/>
      <c r="L20" s="168"/>
      <c r="M20" s="2962" t="s">
        <v>3081</v>
      </c>
      <c r="N20" s="168">
        <f>ROUND(1-(2020-N18)/60,2)</f>
        <v>0.75</v>
      </c>
      <c r="O20" s="1581">
        <f>O19</f>
        <v>0.85</v>
      </c>
      <c r="P20" s="1581">
        <f>ROUND((N20+O20)/2,2)</f>
        <v>0.8</v>
      </c>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4" t="s">
        <v>2014</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3" t="s">
        <v>2015</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4" t="s">
        <v>2016</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2017</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2018</v>
      </c>
      <c r="B26" s="2316" t="s">
        <v>2019</v>
      </c>
      <c r="C26" s="2317" t="s">
        <v>2020</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8.8">
      <c r="A27" s="2318" t="s">
        <v>2021</v>
      </c>
      <c r="B27" s="116">
        <v>80</v>
      </c>
      <c r="C27" s="1764" t="s">
        <v>2022</v>
      </c>
      <c r="D27" s="2319"/>
      <c r="E27" s="1427"/>
      <c r="F27" s="1427"/>
      <c r="G27" s="2273"/>
      <c r="H27" s="2273"/>
      <c r="I27" s="2273"/>
      <c r="J27" s="2273"/>
      <c r="K27" s="168" t="s">
        <v>3113</v>
      </c>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2023</v>
      </c>
      <c r="B28" s="119">
        <v>120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2024</v>
      </c>
      <c r="B29" s="121">
        <f ca="1">成本法!C10</f>
        <v>191</v>
      </c>
      <c r="C29" s="1764" t="s">
        <v>2025</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2026</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2027</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2028</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2029</v>
      </c>
      <c r="B33" s="726">
        <v>0.03</v>
      </c>
      <c r="C33" s="1763" t="s">
        <v>2030</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2031</v>
      </c>
      <c r="B34" s="122">
        <v>0</v>
      </c>
      <c r="C34" s="1763" t="s">
        <v>2032</v>
      </c>
      <c r="D34" s="2274" t="s">
        <v>2033</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2034</v>
      </c>
      <c r="B35" s="119">
        <v>200</v>
      </c>
      <c r="C35" s="1763" t="s">
        <v>2035</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2036</v>
      </c>
      <c r="B36" s="123">
        <v>1.4999999999999999E-2</v>
      </c>
      <c r="C36" s="1763" t="s">
        <v>2037</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4" t="s">
        <v>2038</v>
      </c>
      <c r="B37" s="124">
        <v>0.02</v>
      </c>
      <c r="C37" s="1763" t="s">
        <v>2039</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1" t="s">
        <v>2040</v>
      </c>
      <c r="B38" s="122">
        <v>0.02</v>
      </c>
      <c r="C38" s="1763" t="s">
        <v>2039</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5" t="s">
        <v>2041</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2042</v>
      </c>
      <c r="B40" s="1300">
        <f ca="1">存贷款利率!G1</f>
        <v>4.3499999999999997E-2</v>
      </c>
      <c r="C40" s="1763" t="s">
        <v>2043</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8" t="s">
        <v>2044</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6" t="s">
        <v>2045</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6" t="s">
        <v>2046</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8" t="s">
        <v>2047</v>
      </c>
      <c r="B44" s="128">
        <v>0.05</v>
      </c>
      <c r="C44" s="1763" t="s">
        <v>2048</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8" t="s">
        <v>2049</v>
      </c>
      <c r="B45" s="126">
        <v>0.03</v>
      </c>
      <c r="C45" s="1764" t="s">
        <v>2050</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8" t="s">
        <v>2051</v>
      </c>
      <c r="B46" s="126">
        <v>0.02</v>
      </c>
      <c r="C46" s="1764" t="s">
        <v>2052</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2053</v>
      </c>
      <c r="B47" s="129"/>
      <c r="C47" s="1764" t="s">
        <v>2054</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0" t="s">
        <v>2055</v>
      </c>
      <c r="B48" s="130">
        <v>0.03</v>
      </c>
      <c r="C48" s="1771" t="s">
        <v>2056</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2057</v>
      </c>
      <c r="B49" s="126">
        <v>5.0000000000000001E-4</v>
      </c>
      <c r="C49" s="1771" t="s">
        <v>2058</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1" t="s">
        <v>2059</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2060</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1" t="s">
        <v>2061</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1" t="s">
        <v>2062</v>
      </c>
      <c r="B53" s="2332" t="s">
        <v>56</v>
      </c>
      <c r="C53" s="1427" t="s">
        <v>2063</v>
      </c>
      <c r="D53" s="2333" t="s">
        <v>2064</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4" t="s">
        <v>2065</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4" t="s">
        <v>2066</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4" t="s">
        <v>2067</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4" t="s">
        <v>2068</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4" t="s">
        <v>2069</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4" t="s">
        <v>2070</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4" t="s">
        <v>2071</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4" t="s">
        <v>2072</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4" t="s">
        <v>2073</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2074</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3.8"/>
  <cols>
    <col min="1" max="1" width="9.44140625" style="2364"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3"/>
    <col min="30" max="16384" width="9" style="2364"/>
  </cols>
  <sheetData>
    <row r="1" spans="1:29" s="2357" customFormat="1" ht="18" thickBot="1">
      <c r="A1" s="3063" t="s">
        <v>2075</v>
      </c>
      <c r="B1" s="3064"/>
      <c r="C1" s="3064"/>
      <c r="D1" s="3064"/>
      <c r="E1" s="3064"/>
      <c r="F1" s="3064"/>
      <c r="G1" s="306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2076</v>
      </c>
      <c r="D2" s="2361"/>
      <c r="E2" s="2362"/>
      <c r="F2" s="2282"/>
      <c r="G2" s="2360" t="s">
        <v>2077</v>
      </c>
      <c r="H2" s="2363"/>
      <c r="I2" s="2363"/>
      <c r="J2" s="2363"/>
      <c r="K2" s="2363"/>
      <c r="L2" s="2363"/>
      <c r="M2" s="2363"/>
      <c r="N2" s="2363"/>
      <c r="O2" s="2363"/>
      <c r="P2" s="2363"/>
      <c r="Q2" s="2363"/>
      <c r="R2" s="2363"/>
    </row>
    <row r="3" spans="1:29" ht="72">
      <c r="A3" s="415" t="s">
        <v>2078</v>
      </c>
      <c r="B3" s="1268" t="s">
        <v>2079</v>
      </c>
      <c r="C3" s="2365" t="s">
        <v>2080</v>
      </c>
      <c r="D3" s="2366"/>
      <c r="E3" s="431" t="s">
        <v>2078</v>
      </c>
      <c r="F3" s="2367" t="s">
        <v>2081</v>
      </c>
      <c r="G3" s="2963" t="s">
        <v>3085</v>
      </c>
      <c r="H3" s="2363"/>
      <c r="I3" s="2363"/>
      <c r="J3" s="2363"/>
      <c r="K3" s="2363"/>
      <c r="L3" s="2363"/>
      <c r="M3" s="2363"/>
      <c r="N3" s="2363"/>
      <c r="O3" s="2363"/>
      <c r="P3" s="2363"/>
      <c r="Q3" s="2363"/>
      <c r="R3" s="2363"/>
    </row>
    <row r="4" spans="1:29" ht="72">
      <c r="A4" s="431"/>
      <c r="B4" s="1795" t="s">
        <v>2082</v>
      </c>
      <c r="C4" s="2368" t="s">
        <v>2083</v>
      </c>
      <c r="D4" s="2366"/>
      <c r="E4" s="2369"/>
      <c r="F4" s="42" t="s">
        <v>2084</v>
      </c>
      <c r="G4" s="2964" t="s">
        <v>3086</v>
      </c>
      <c r="H4" s="2363"/>
      <c r="I4" s="2363"/>
      <c r="J4" s="2363"/>
      <c r="K4" s="2363"/>
      <c r="L4" s="2363"/>
      <c r="M4" s="2363"/>
      <c r="N4" s="2363"/>
      <c r="O4" s="2363"/>
      <c r="P4" s="2363"/>
      <c r="Q4" s="2363"/>
      <c r="R4" s="2363"/>
    </row>
    <row r="5" spans="1:29" ht="86.4">
      <c r="A5" s="431"/>
      <c r="B5" s="1795" t="s">
        <v>2086</v>
      </c>
      <c r="C5" s="2368" t="s">
        <v>2087</v>
      </c>
      <c r="D5" s="2366"/>
      <c r="E5" s="2369"/>
      <c r="F5" s="1795" t="s">
        <v>2088</v>
      </c>
      <c r="G5" s="2964" t="s">
        <v>3087</v>
      </c>
      <c r="H5" s="2363"/>
      <c r="I5" s="2363"/>
      <c r="J5" s="2363"/>
      <c r="K5" s="2363"/>
      <c r="L5" s="2363"/>
      <c r="M5" s="2363"/>
      <c r="N5" s="2363"/>
      <c r="O5" s="2363"/>
      <c r="P5" s="2363"/>
      <c r="Q5" s="2363"/>
      <c r="R5" s="2363"/>
    </row>
    <row r="6" spans="1:29" ht="57.6">
      <c r="A6" s="431"/>
      <c r="B6" s="1795" t="s">
        <v>2090</v>
      </c>
      <c r="C6" s="2370" t="s">
        <v>2085</v>
      </c>
      <c r="D6" s="2366"/>
      <c r="E6" s="2369"/>
      <c r="F6" s="1795" t="s">
        <v>2091</v>
      </c>
      <c r="G6" s="2964" t="s">
        <v>3088</v>
      </c>
      <c r="H6" s="2363"/>
      <c r="I6" s="2363"/>
      <c r="J6" s="2363"/>
      <c r="K6" s="2363"/>
      <c r="L6" s="2363"/>
      <c r="M6" s="2363"/>
      <c r="N6" s="2363"/>
      <c r="O6" s="2363"/>
      <c r="P6" s="2363"/>
      <c r="Q6" s="2363"/>
      <c r="R6" s="2363"/>
    </row>
    <row r="7" spans="1:29" ht="43.8" thickBot="1">
      <c r="A7" s="431"/>
      <c r="B7" s="1795" t="s">
        <v>2088</v>
      </c>
      <c r="C7" s="2370" t="s">
        <v>2089</v>
      </c>
      <c r="D7" s="2371"/>
      <c r="E7" s="2372"/>
      <c r="F7" s="2373" t="s">
        <v>2093</v>
      </c>
      <c r="G7" s="2965" t="s">
        <v>3089</v>
      </c>
      <c r="H7" s="2363"/>
      <c r="I7" s="2363"/>
      <c r="J7" s="2363"/>
      <c r="K7" s="2363"/>
      <c r="L7" s="2363"/>
      <c r="M7" s="2363"/>
      <c r="N7" s="2363"/>
      <c r="O7" s="2363"/>
      <c r="P7" s="2363"/>
      <c r="Q7" s="2363"/>
      <c r="R7" s="2363"/>
    </row>
    <row r="8" spans="1:29" ht="28.8">
      <c r="A8" s="431"/>
      <c r="B8" s="1795" t="s">
        <v>2091</v>
      </c>
      <c r="C8" s="2370" t="s">
        <v>2092</v>
      </c>
      <c r="D8" s="2371"/>
      <c r="E8" s="2371"/>
      <c r="F8" s="1133"/>
      <c r="G8" s="1133"/>
      <c r="H8" s="2363"/>
      <c r="I8" s="2363"/>
      <c r="J8" s="2363"/>
      <c r="K8" s="2363"/>
      <c r="L8" s="2363"/>
      <c r="M8" s="2363"/>
      <c r="N8" s="2363"/>
      <c r="O8" s="2363"/>
      <c r="P8" s="2363"/>
      <c r="Q8" s="2363"/>
      <c r="R8" s="2363"/>
    </row>
    <row r="9" spans="1:29" ht="43.2">
      <c r="A9" s="431"/>
      <c r="B9" s="1795" t="s">
        <v>2094</v>
      </c>
      <c r="C9" s="2368" t="s">
        <v>2095</v>
      </c>
      <c r="D9" s="2366"/>
      <c r="E9" s="2371"/>
      <c r="F9" s="1133"/>
      <c r="G9" s="1133"/>
      <c r="H9" s="2363"/>
      <c r="I9" s="2363"/>
      <c r="J9" s="2363"/>
      <c r="K9" s="2363"/>
      <c r="L9" s="2363"/>
      <c r="M9" s="2363"/>
      <c r="N9" s="2363"/>
      <c r="O9" s="2363"/>
      <c r="P9" s="2363"/>
      <c r="Q9" s="2363"/>
      <c r="R9" s="2363"/>
    </row>
    <row r="10" spans="1:29" s="117" customFormat="1" ht="15" thickBot="1">
      <c r="A10" s="2374"/>
      <c r="B10" s="2375" t="s">
        <v>2096</v>
      </c>
      <c r="C10" s="2376"/>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7.399999999999999">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8" thickBot="1">
      <c r="A13" s="2387" t="s">
        <v>2097</v>
      </c>
      <c r="B13" s="2381"/>
      <c r="C13" s="2381"/>
      <c r="D13" s="2388"/>
      <c r="E13" s="2381"/>
      <c r="F13" s="2381"/>
      <c r="G13" s="2381"/>
    </row>
    <row r="14" spans="1:29" ht="15" thickBot="1">
      <c r="A14" s="2392"/>
      <c r="B14" s="2393"/>
      <c r="C14" s="2394" t="s">
        <v>2098</v>
      </c>
      <c r="D14" s="2366"/>
      <c r="E14" s="2395"/>
      <c r="F14" s="2395"/>
      <c r="G14" s="2360" t="s">
        <v>2099</v>
      </c>
    </row>
    <row r="15" spans="1:29" ht="69">
      <c r="A15" s="68" t="s">
        <v>2100</v>
      </c>
      <c r="B15" s="1267" t="s">
        <v>2079</v>
      </c>
      <c r="C15" s="2396" t="str">
        <f>C3</f>
        <v>估价对象周边居住用地比例、居住小区规模和社区发展完善程度，综合评价居住社区成熟度一般</v>
      </c>
      <c r="D15" s="2366"/>
      <c r="E15" s="2397" t="s">
        <v>2101</v>
      </c>
      <c r="F15" s="1267" t="s">
        <v>2102</v>
      </c>
      <c r="G15" s="135" t="str">
        <f>G3</f>
        <v>估价对象位于北京雁栖经济开发区，园区建设成熟，周边有波尔亚太金属容器公司、星达顺五星建材产业集聚程度较好。</v>
      </c>
    </row>
    <row r="16" spans="1:29" ht="69">
      <c r="A16" s="645"/>
      <c r="B16" s="2398" t="s">
        <v>2082</v>
      </c>
      <c r="C16" s="2399" t="str">
        <f>C4</f>
        <v>估价对象位于XX商圈，周边商业氛围成熟，人流量大，商业繁华度好</v>
      </c>
      <c r="D16" s="2366"/>
      <c r="E16" s="2400"/>
      <c r="F16" s="2401" t="s">
        <v>2084</v>
      </c>
      <c r="G16" s="136" t="str">
        <f>G4</f>
        <v>估价对象紧邻城市次干道——杨雁路，公共交通通达情况一般，周边有864、936路等公交线路，停车便捷程度一般，综合评价交通便捷度一般。</v>
      </c>
    </row>
    <row r="17" spans="1:18" ht="41.4">
      <c r="A17" s="645"/>
      <c r="B17" s="2398" t="s">
        <v>2086</v>
      </c>
      <c r="C17" s="2399" t="str">
        <f>C5</f>
        <v>估价对象位于XX商圈，周边办公楼项目较多，入驻率高，办公集聚程度较好</v>
      </c>
      <c r="D17" s="2371"/>
      <c r="E17" s="2400"/>
      <c r="F17" s="2401" t="s">
        <v>2103</v>
      </c>
      <c r="G17" s="2966" t="s">
        <v>3104</v>
      </c>
    </row>
    <row r="18" spans="1:18" ht="55.2">
      <c r="A18" s="645"/>
      <c r="B18" s="2401" t="s">
        <v>2090</v>
      </c>
      <c r="C18" s="136" t="str">
        <f>C6</f>
        <v>估价对象周边道路状况、公共交通通达情况、停车便捷程度，综合评价交通便捷度较好</v>
      </c>
      <c r="D18" s="2371"/>
      <c r="E18" s="2400"/>
      <c r="F18" s="2401" t="s">
        <v>2093</v>
      </c>
      <c r="G18" s="136" t="str">
        <f>G7</f>
        <v>该园区内无污染型企业，绿化较好，卫生条件良好，整体环境状况较好。</v>
      </c>
    </row>
    <row r="19" spans="1:18" ht="82.8">
      <c r="A19" s="645"/>
      <c r="B19" s="2401" t="s">
        <v>2104</v>
      </c>
      <c r="C19" s="1569"/>
      <c r="D19" s="2366"/>
      <c r="E19" s="2400"/>
      <c r="F19" s="1795" t="s">
        <v>2088</v>
      </c>
      <c r="G19" s="136" t="str">
        <f>G5</f>
        <v>估价对象周边2公里范围内有银行（中国银行），超市（世纪华联超市），学校（怀柔区职业学校），医院（雁栖镇北台下社区卫生服务站），公共配套设施程度一般。</v>
      </c>
    </row>
    <row r="20" spans="1:18" ht="41.4">
      <c r="A20" s="645"/>
      <c r="B20" s="2401" t="s">
        <v>2105</v>
      </c>
      <c r="C20" s="2399" t="str">
        <f>C9</f>
        <v>区域自然环境：；人文环境；综合评价环境状况一般</v>
      </c>
      <c r="D20" s="2371"/>
      <c r="E20" s="2400"/>
      <c r="F20" s="1795" t="s">
        <v>2106</v>
      </c>
      <c r="G20" s="136" t="str">
        <f>G6</f>
        <v>估价对象所在区域基础设施水平达到“五通”。</v>
      </c>
    </row>
    <row r="21" spans="1:18" ht="27.6">
      <c r="A21" s="645"/>
      <c r="B21" s="1795" t="s">
        <v>2088</v>
      </c>
      <c r="C21" s="136" t="str">
        <f>C7</f>
        <v>估价对象所在区域公共配套设施齐备情况</v>
      </c>
      <c r="D21" s="2366"/>
      <c r="E21" s="2400"/>
      <c r="F21" s="2401" t="s">
        <v>2107</v>
      </c>
      <c r="G21" s="2402" t="s">
        <v>3103</v>
      </c>
      <c r="I21" s="2389"/>
    </row>
    <row r="22" spans="1:18" ht="13.5" customHeight="1">
      <c r="A22" s="645"/>
      <c r="B22" s="1795" t="s">
        <v>2091</v>
      </c>
      <c r="C22" s="136" t="str">
        <f>C8</f>
        <v>估价对象所在区域基础设施水平</v>
      </c>
      <c r="D22" s="2366"/>
      <c r="E22" s="2400"/>
      <c r="F22" s="2401" t="s">
        <v>2096</v>
      </c>
      <c r="G22" s="1569" t="s">
        <v>3102</v>
      </c>
      <c r="I22" s="2389"/>
    </row>
    <row r="23" spans="1:18" s="2363" customFormat="1" ht="15" thickBot="1">
      <c r="A23" s="645"/>
      <c r="B23" s="2401" t="s">
        <v>2107</v>
      </c>
      <c r="C23" s="2402"/>
      <c r="D23" s="2389"/>
      <c r="E23" s="2403"/>
      <c r="F23" s="2404" t="s">
        <v>2108</v>
      </c>
      <c r="G23" s="2405"/>
      <c r="H23" s="2389"/>
      <c r="I23" s="2389"/>
      <c r="J23" s="2389"/>
      <c r="K23" s="2389"/>
      <c r="L23" s="2390"/>
      <c r="M23" s="2389"/>
      <c r="N23" s="2389"/>
      <c r="O23" s="2390"/>
      <c r="P23" s="2389"/>
      <c r="Q23" s="2389"/>
      <c r="R23" s="2391"/>
    </row>
    <row r="24" spans="1:18" s="2363" customFormat="1" ht="15" thickBot="1">
      <c r="A24" s="2406"/>
      <c r="B24" s="2404" t="s">
        <v>2109</v>
      </c>
      <c r="C24" s="137">
        <f>C10</f>
        <v>0</v>
      </c>
      <c r="D24" s="2389"/>
      <c r="E24" s="2407"/>
      <c r="F24" s="2407"/>
      <c r="G24" s="2408"/>
      <c r="H24" s="2389"/>
      <c r="I24" s="2389"/>
      <c r="J24" s="2389"/>
      <c r="K24" s="2389"/>
      <c r="L24" s="2390"/>
      <c r="M24" s="2389"/>
      <c r="N24" s="2389"/>
      <c r="O24" s="2390"/>
      <c r="P24" s="2389"/>
      <c r="Q24" s="2389"/>
      <c r="R24" s="2391"/>
    </row>
    <row r="25" spans="1:18" s="2363" customFormat="1">
      <c r="B25" s="2389"/>
      <c r="C25" s="2389"/>
      <c r="D25" s="2389"/>
      <c r="H25" s="2389"/>
      <c r="I25" s="2389"/>
      <c r="J25" s="2389"/>
      <c r="K25" s="2389"/>
      <c r="L25" s="2390"/>
      <c r="M25" s="2389"/>
      <c r="N25" s="2389"/>
      <c r="O25" s="2390"/>
      <c r="P25" s="2389"/>
      <c r="Q25" s="2389"/>
      <c r="R25" s="2391"/>
    </row>
    <row r="26" spans="1:18" s="2363" customFormat="1">
      <c r="B26" s="2389"/>
      <c r="C26" s="2389"/>
      <c r="D26" s="2389"/>
      <c r="H26" s="2389"/>
      <c r="I26" s="2389"/>
      <c r="J26" s="2389"/>
      <c r="K26" s="2389"/>
      <c r="L26" s="2390"/>
      <c r="M26" s="2389"/>
      <c r="N26" s="2389"/>
      <c r="O26" s="2390"/>
      <c r="P26" s="2389"/>
      <c r="Q26" s="2389"/>
      <c r="R26" s="2391"/>
    </row>
    <row r="27" spans="1:18" s="2363" customFormat="1">
      <c r="B27" s="2389"/>
      <c r="C27" s="2389"/>
      <c r="D27" s="2389"/>
      <c r="H27" s="2389"/>
      <c r="I27" s="2389"/>
      <c r="J27" s="2389"/>
      <c r="K27" s="2389"/>
      <c r="L27" s="2390"/>
      <c r="M27" s="2389"/>
      <c r="N27" s="2389"/>
      <c r="O27" s="2390"/>
      <c r="P27" s="2389"/>
      <c r="Q27" s="2389"/>
      <c r="R27" s="2391"/>
    </row>
    <row r="28" spans="1:18" s="2363" customFormat="1">
      <c r="B28" s="2389"/>
      <c r="C28" s="2389"/>
      <c r="D28" s="2389"/>
      <c r="H28" s="2389"/>
      <c r="I28" s="2389"/>
      <c r="J28" s="2389"/>
      <c r="K28" s="2389"/>
      <c r="L28" s="2390"/>
      <c r="M28" s="2389"/>
      <c r="N28" s="2389"/>
      <c r="O28" s="2390"/>
      <c r="P28" s="2389"/>
      <c r="Q28" s="2389"/>
      <c r="R28" s="2391"/>
    </row>
    <row r="29" spans="1:18" s="2363" customFormat="1">
      <c r="B29" s="2389"/>
      <c r="C29" s="2389"/>
      <c r="D29" s="2389"/>
      <c r="H29" s="2389"/>
      <c r="I29" s="2389"/>
      <c r="J29" s="2389"/>
      <c r="K29" s="2389"/>
      <c r="L29" s="2390"/>
      <c r="M29" s="2389"/>
      <c r="N29" s="2389"/>
      <c r="O29" s="2390"/>
      <c r="P29" s="2389"/>
      <c r="Q29" s="2389"/>
      <c r="R29" s="2391"/>
    </row>
    <row r="30" spans="1:18" s="2363" customFormat="1">
      <c r="B30" s="2389"/>
      <c r="C30" s="2389"/>
      <c r="D30" s="2389"/>
      <c r="H30" s="2389"/>
      <c r="I30" s="2389"/>
      <c r="J30" s="2389"/>
      <c r="K30" s="2389"/>
      <c r="L30" s="2390"/>
      <c r="M30" s="2389"/>
      <c r="N30" s="2389"/>
      <c r="O30" s="2390"/>
      <c r="P30" s="2389"/>
      <c r="Q30" s="2389"/>
      <c r="R30" s="2391"/>
    </row>
    <row r="31" spans="1:18" s="2363" customFormat="1">
      <c r="B31" s="2389"/>
      <c r="C31" s="2389"/>
      <c r="D31" s="2389"/>
      <c r="H31" s="2389"/>
      <c r="I31" s="2389"/>
      <c r="J31" s="2389"/>
      <c r="K31" s="2389"/>
      <c r="L31" s="2390"/>
      <c r="M31" s="2389"/>
      <c r="N31" s="2389"/>
      <c r="O31" s="2390"/>
      <c r="P31" s="2389"/>
      <c r="Q31" s="2389"/>
      <c r="R31" s="2391"/>
    </row>
    <row r="32" spans="1:18" s="2363" customFormat="1">
      <c r="B32" s="2389"/>
      <c r="C32" s="2389"/>
      <c r="D32" s="2389"/>
      <c r="H32" s="2389"/>
      <c r="I32" s="2389"/>
      <c r="J32" s="2389"/>
      <c r="K32" s="2389"/>
      <c r="L32" s="2390"/>
      <c r="M32" s="2389"/>
      <c r="N32" s="2389"/>
      <c r="O32" s="2390"/>
      <c r="P32" s="2389"/>
      <c r="Q32" s="2389"/>
      <c r="R32" s="2391"/>
    </row>
    <row r="33" spans="2:18" s="2363" customFormat="1">
      <c r="B33" s="2389"/>
      <c r="C33" s="2389"/>
      <c r="D33" s="2389"/>
      <c r="H33" s="2389"/>
      <c r="I33" s="2389"/>
      <c r="J33" s="2389"/>
      <c r="K33" s="2389"/>
      <c r="L33" s="2390"/>
      <c r="M33" s="2389"/>
      <c r="N33" s="2389"/>
      <c r="O33" s="2390"/>
      <c r="P33" s="2389"/>
      <c r="Q33" s="2389"/>
      <c r="R33" s="2391"/>
    </row>
    <row r="34" spans="2:18" s="2363" customFormat="1">
      <c r="B34" s="2389"/>
      <c r="C34" s="2389"/>
      <c r="D34" s="2389"/>
      <c r="H34" s="2389"/>
      <c r="I34" s="2389"/>
      <c r="J34" s="2389"/>
      <c r="K34" s="2389"/>
      <c r="L34" s="2390"/>
      <c r="M34" s="2389"/>
      <c r="N34" s="2389"/>
      <c r="O34" s="2390"/>
      <c r="P34" s="2389"/>
      <c r="Q34" s="2389"/>
      <c r="R34" s="2391"/>
    </row>
    <row r="35" spans="2:18" s="2363" customFormat="1">
      <c r="B35" s="2389"/>
      <c r="C35" s="2389"/>
      <c r="D35" s="2389"/>
      <c r="H35" s="2389"/>
      <c r="I35" s="2389"/>
      <c r="J35" s="2389"/>
      <c r="K35" s="2389"/>
      <c r="L35" s="2390"/>
      <c r="M35" s="2389"/>
      <c r="N35" s="2389"/>
      <c r="O35" s="2390"/>
      <c r="P35" s="2389"/>
      <c r="Q35" s="2389"/>
      <c r="R35" s="2391"/>
    </row>
    <row r="36" spans="2:18" s="2363" customFormat="1">
      <c r="B36" s="2389"/>
      <c r="C36" s="2389"/>
      <c r="D36" s="2389"/>
      <c r="H36" s="2389"/>
      <c r="I36" s="2389"/>
      <c r="J36" s="2389"/>
      <c r="K36" s="2389"/>
      <c r="L36" s="2390"/>
      <c r="M36" s="2389"/>
      <c r="N36" s="2389"/>
      <c r="O36" s="2390"/>
      <c r="P36" s="2389"/>
      <c r="Q36" s="2389"/>
      <c r="R36" s="2391"/>
    </row>
    <row r="37" spans="2:18" s="2363" customFormat="1">
      <c r="B37" s="2389"/>
      <c r="C37" s="2389"/>
      <c r="D37" s="2389"/>
      <c r="H37" s="2389"/>
      <c r="I37" s="2389"/>
      <c r="J37" s="2389"/>
      <c r="K37" s="2389"/>
      <c r="L37" s="2390"/>
      <c r="M37" s="2389"/>
      <c r="N37" s="2389"/>
      <c r="O37" s="2390"/>
      <c r="P37" s="2389"/>
      <c r="Q37" s="2389"/>
      <c r="R37" s="2391"/>
    </row>
    <row r="38" spans="2:18" s="2363" customFormat="1">
      <c r="B38" s="2389"/>
      <c r="C38" s="2389"/>
      <c r="D38" s="2389"/>
      <c r="E38" s="2389"/>
      <c r="F38" s="2389"/>
      <c r="G38" s="2390"/>
      <c r="H38" s="2389"/>
      <c r="I38" s="2389"/>
      <c r="J38" s="2389"/>
      <c r="K38" s="2389"/>
      <c r="L38" s="2390"/>
      <c r="M38" s="2389"/>
      <c r="N38" s="2389"/>
      <c r="O38" s="2390"/>
      <c r="P38" s="2389"/>
      <c r="Q38" s="2389"/>
      <c r="R38" s="2391"/>
    </row>
    <row r="39" spans="2:18" s="2363" customFormat="1">
      <c r="B39" s="2389"/>
      <c r="C39" s="2389"/>
      <c r="D39" s="2389"/>
      <c r="E39" s="2389"/>
      <c r="F39" s="2389"/>
      <c r="G39" s="2390"/>
      <c r="H39" s="2389"/>
      <c r="I39" s="2389"/>
      <c r="J39" s="2389"/>
      <c r="K39" s="2389"/>
      <c r="L39" s="2390"/>
      <c r="M39" s="2389"/>
      <c r="N39" s="2389"/>
      <c r="O39" s="2390"/>
      <c r="P39" s="2389"/>
      <c r="Q39" s="2389"/>
      <c r="R39" s="2391"/>
    </row>
    <row r="40" spans="2:18" s="2363" customFormat="1">
      <c r="B40" s="2389"/>
      <c r="C40" s="2389"/>
      <c r="D40" s="2389"/>
      <c r="E40" s="2389"/>
      <c r="F40" s="2389"/>
      <c r="G40" s="2390"/>
      <c r="H40" s="2389"/>
      <c r="I40" s="2389"/>
      <c r="J40" s="2389"/>
      <c r="K40" s="2389"/>
      <c r="L40" s="2390"/>
      <c r="M40" s="2389"/>
      <c r="N40" s="2389"/>
      <c r="O40" s="2390"/>
      <c r="P40" s="2389"/>
      <c r="Q40" s="2389"/>
      <c r="R40" s="2391"/>
    </row>
    <row r="41" spans="2:18" s="2363" customFormat="1">
      <c r="B41" s="2389"/>
      <c r="C41" s="2389"/>
      <c r="D41" s="2389"/>
      <c r="E41" s="2389"/>
      <c r="F41" s="2389"/>
      <c r="G41" s="2390"/>
      <c r="H41" s="2389"/>
      <c r="I41" s="2389"/>
      <c r="J41" s="2389"/>
      <c r="K41" s="2389"/>
      <c r="L41" s="2390"/>
      <c r="M41" s="2389"/>
      <c r="N41" s="2389"/>
      <c r="O41" s="2390"/>
      <c r="P41" s="2389"/>
      <c r="Q41" s="2389"/>
      <c r="R41" s="2391"/>
    </row>
    <row r="42" spans="2:18" s="2363" customFormat="1">
      <c r="B42" s="2389"/>
      <c r="C42" s="2389"/>
      <c r="D42" s="2389"/>
      <c r="E42" s="2389"/>
      <c r="F42" s="2389"/>
      <c r="G42" s="2390"/>
      <c r="H42" s="2389"/>
      <c r="I42" s="2389"/>
      <c r="J42" s="2389"/>
      <c r="K42" s="2389"/>
      <c r="L42" s="2390"/>
      <c r="M42" s="2389"/>
      <c r="N42" s="2389"/>
      <c r="O42" s="2390"/>
      <c r="P42" s="2389"/>
      <c r="Q42" s="2389"/>
      <c r="R42" s="2391"/>
    </row>
    <row r="43" spans="2:18" s="2363" customFormat="1">
      <c r="B43" s="2389"/>
      <c r="C43" s="2389"/>
      <c r="D43" s="2389"/>
      <c r="E43" s="2389"/>
      <c r="F43" s="2389"/>
      <c r="G43" s="2390"/>
      <c r="H43" s="2389"/>
      <c r="I43" s="2389"/>
      <c r="J43" s="2389"/>
      <c r="K43" s="2389"/>
      <c r="L43" s="2390"/>
      <c r="M43" s="2389"/>
      <c r="N43" s="2389"/>
      <c r="O43" s="2390"/>
      <c r="P43" s="2389"/>
      <c r="Q43" s="2389"/>
      <c r="R43" s="2391"/>
    </row>
    <row r="44" spans="2:18" s="2363" customFormat="1">
      <c r="B44" s="2389"/>
      <c r="C44" s="2389"/>
      <c r="D44" s="2389"/>
      <c r="E44" s="2389"/>
      <c r="F44" s="2389"/>
      <c r="G44" s="2390"/>
      <c r="H44" s="2389"/>
      <c r="I44" s="2389"/>
      <c r="J44" s="2389"/>
      <c r="K44" s="2389"/>
      <c r="L44" s="2390"/>
      <c r="M44" s="2389"/>
      <c r="N44" s="2389"/>
      <c r="O44" s="2390"/>
      <c r="P44" s="2389"/>
      <c r="Q44" s="2389"/>
      <c r="R44" s="2391"/>
    </row>
    <row r="45" spans="2:18" s="2363" customFormat="1">
      <c r="B45" s="2389"/>
      <c r="C45" s="2389"/>
      <c r="D45" s="2389"/>
      <c r="E45" s="2389"/>
      <c r="F45" s="2389"/>
      <c r="G45" s="2390"/>
      <c r="H45" s="2389"/>
      <c r="I45" s="2389"/>
      <c r="J45" s="2389"/>
      <c r="K45" s="2389"/>
      <c r="L45" s="2390"/>
      <c r="M45" s="2389"/>
      <c r="N45" s="2389"/>
      <c r="O45" s="2390"/>
      <c r="P45" s="2389"/>
      <c r="Q45" s="2389"/>
      <c r="R45" s="2391"/>
    </row>
    <row r="46" spans="2:18" s="2363" customFormat="1">
      <c r="B46" s="2389"/>
      <c r="C46" s="2389"/>
      <c r="D46" s="2389"/>
      <c r="E46" s="2389"/>
      <c r="F46" s="2389"/>
      <c r="G46" s="2390"/>
      <c r="H46" s="2389"/>
      <c r="I46" s="2389"/>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F6" sqref="F6"/>
    </sheetView>
  </sheetViews>
  <sheetFormatPr defaultColWidth="9" defaultRowHeight="14.4"/>
  <cols>
    <col min="1" max="1" width="23.33203125" style="1738" customWidth="1"/>
    <col min="2" max="9" width="15.77734375" style="1738" customWidth="1"/>
    <col min="10" max="16384" width="9" style="1738"/>
  </cols>
  <sheetData>
    <row r="1" spans="1:10" ht="16.2">
      <c r="A1" s="1743" t="s">
        <v>1360</v>
      </c>
      <c r="B1" s="1743">
        <f>SUM(B14:B23)</f>
        <v>15950.36</v>
      </c>
      <c r="C1" s="1742"/>
      <c r="D1" s="1742"/>
      <c r="E1" s="1742"/>
      <c r="F1" s="1742"/>
      <c r="G1" s="1740"/>
    </row>
    <row r="2" spans="1:10" ht="16.2">
      <c r="A2" s="1743" t="s">
        <v>1348</v>
      </c>
      <c r="B2" s="1743">
        <f>SUM(C14:C23)</f>
        <v>24215.7</v>
      </c>
      <c r="C2" s="1742"/>
      <c r="D2" s="1742"/>
      <c r="E2" s="1742"/>
      <c r="F2" s="1742"/>
      <c r="G2" s="1740"/>
    </row>
    <row r="3" spans="1:10" ht="15.6">
      <c r="A3" s="1743" t="s">
        <v>1357</v>
      </c>
      <c r="B3" s="1744">
        <f>项目基本情况!D3</f>
        <v>43921</v>
      </c>
      <c r="C3" s="1742"/>
      <c r="D3" s="1742"/>
      <c r="E3" s="1742"/>
      <c r="F3" s="1742"/>
      <c r="G3" s="1740"/>
    </row>
    <row r="4" spans="1:10" ht="31.2">
      <c r="A4" s="1743" t="s">
        <v>1356</v>
      </c>
      <c r="B4" s="1743" t="s">
        <v>1355</v>
      </c>
      <c r="C4" s="1743" t="s">
        <v>1354</v>
      </c>
      <c r="D4" s="1743" t="s">
        <v>1353</v>
      </c>
      <c r="E4" s="1742"/>
      <c r="F4" s="1740"/>
      <c r="G4" s="1740"/>
    </row>
    <row r="5" spans="1:10" ht="15.6">
      <c r="A5" s="1743" t="s">
        <v>1352</v>
      </c>
      <c r="B5" s="1743">
        <f ca="1">SUM(D14:D23)</f>
        <v>8288</v>
      </c>
      <c r="C5" s="1743">
        <f ca="1">ROUND(B5*10000/$B$1,0)</f>
        <v>5196</v>
      </c>
      <c r="D5" s="1743">
        <f ca="1">ROUND(B5*10000/$B$2,0)</f>
        <v>3423</v>
      </c>
      <c r="E5" s="1742"/>
      <c r="F5" s="1740"/>
      <c r="G5" s="1740"/>
    </row>
    <row r="6" spans="1:10" ht="15.6">
      <c r="A6" s="1743" t="s">
        <v>1351</v>
      </c>
      <c r="B6" s="1743">
        <f ca="1">SUM(G14:G23)</f>
        <v>8288</v>
      </c>
      <c r="C6" s="1743">
        <f ca="1">ROUND(B6*10000/$B$1,0)</f>
        <v>5196</v>
      </c>
      <c r="D6" s="1743">
        <f ca="1">ROUND(B6*10000/$B$2,0)</f>
        <v>3423</v>
      </c>
      <c r="E6" s="1742"/>
      <c r="F6" s="1740"/>
      <c r="G6" s="1740"/>
    </row>
    <row r="7" spans="1:10" ht="15.6">
      <c r="A7" s="1743" t="s">
        <v>1359</v>
      </c>
      <c r="B7" s="1743">
        <f>SUM(H14:H23)</f>
        <v>0</v>
      </c>
      <c r="C7" s="1743">
        <f>ROUND(B7*10000/$B$1,0)</f>
        <v>0</v>
      </c>
      <c r="D7" s="1743">
        <f>ROUND(B7*10000/$B$2,0)</f>
        <v>0</v>
      </c>
      <c r="E7" s="1742"/>
      <c r="F7" s="1740"/>
      <c r="G7" s="1740"/>
    </row>
    <row r="8" spans="1:10" ht="15.6">
      <c r="A8" s="1743" t="s">
        <v>1280</v>
      </c>
      <c r="B8" s="1743">
        <f>SUM(I14:I23)</f>
        <v>0</v>
      </c>
      <c r="C8" s="1743">
        <f>ROUND(B8*10000/$B$1,0)</f>
        <v>0</v>
      </c>
      <c r="D8" s="1743">
        <f>ROUND(B8*10000/$B$2,0)</f>
        <v>0</v>
      </c>
      <c r="E8" s="1742"/>
      <c r="F8" s="1740"/>
      <c r="G8" s="1740"/>
    </row>
    <row r="9" spans="1:10" ht="15.6">
      <c r="A9" s="1743" t="s">
        <v>1350</v>
      </c>
      <c r="B9" s="1745"/>
      <c r="C9" s="1742"/>
      <c r="D9" s="1742"/>
      <c r="E9" s="1742"/>
      <c r="F9" s="1740"/>
      <c r="G9" s="1740"/>
    </row>
    <row r="10" spans="1:10" ht="15.6">
      <c r="A10" s="1743" t="s">
        <v>1349</v>
      </c>
      <c r="B10" s="1745"/>
      <c r="C10" s="1742"/>
      <c r="D10" s="1742"/>
      <c r="E10" s="1742"/>
      <c r="F10" s="1740"/>
      <c r="G10" s="1740"/>
    </row>
    <row r="11" spans="1:10" ht="15.6">
      <c r="A11" s="1743" t="s">
        <v>1365</v>
      </c>
      <c r="B11" s="1745"/>
      <c r="C11" s="1742"/>
      <c r="D11" s="1742"/>
      <c r="E11" s="1742"/>
      <c r="F11" s="1740"/>
      <c r="G11" s="1740"/>
    </row>
    <row r="12" spans="1:10" ht="15.6">
      <c r="A12" s="1742"/>
      <c r="B12" s="1742"/>
      <c r="C12" s="1742"/>
      <c r="D12" s="1742"/>
      <c r="E12" s="1742"/>
      <c r="F12" s="1740"/>
      <c r="G12" s="1740"/>
    </row>
    <row r="13" spans="1:10" ht="31.8">
      <c r="A13" s="1748" t="s">
        <v>1364</v>
      </c>
      <c r="B13" s="1741" t="s">
        <v>1361</v>
      </c>
      <c r="C13" s="1741" t="s">
        <v>1363</v>
      </c>
      <c r="D13" s="1741" t="s">
        <v>1362</v>
      </c>
      <c r="E13" s="1743" t="s">
        <v>1354</v>
      </c>
      <c r="F13" s="1743" t="s">
        <v>1353</v>
      </c>
      <c r="G13" s="1741" t="s">
        <v>1347</v>
      </c>
      <c r="H13" s="1741" t="s">
        <v>1358</v>
      </c>
      <c r="I13" s="1741" t="s">
        <v>1346</v>
      </c>
      <c r="J13" s="1740"/>
    </row>
    <row r="14" spans="1:10" ht="15.6">
      <c r="A14" s="1739" t="s">
        <v>1345</v>
      </c>
      <c r="B14" s="1741">
        <f>结果表!B118</f>
        <v>15950.36</v>
      </c>
      <c r="C14" s="1741">
        <f>结果表!C118</f>
        <v>24215.7</v>
      </c>
      <c r="D14" s="1741">
        <f ca="1">结果表!H118</f>
        <v>8288</v>
      </c>
      <c r="E14" s="1741">
        <f ca="1">ROUND(D14*10000/B14,0)</f>
        <v>5196</v>
      </c>
      <c r="F14" s="1741">
        <f ca="1">ROUND(D14*10000/C14,0)</f>
        <v>3423</v>
      </c>
      <c r="G14" s="1741">
        <f ca="1">结果表!D122</f>
        <v>8288</v>
      </c>
      <c r="H14" s="1741" t="str">
        <f>结果表!D124</f>
        <v>——</v>
      </c>
      <c r="I14" s="1741" t="str">
        <f>结果表!D126</f>
        <v>——</v>
      </c>
      <c r="J14" s="1740"/>
    </row>
    <row r="15" spans="1:10" ht="15.6">
      <c r="A15" s="1739" t="s">
        <v>1344</v>
      </c>
      <c r="B15" s="1746"/>
      <c r="C15" s="1746"/>
      <c r="D15" s="1746"/>
      <c r="E15" s="1741" t="e">
        <f t="shared" ref="E15:E23" si="0">ROUND(D15*10000/B15,0)</f>
        <v>#DIV/0!</v>
      </c>
      <c r="F15" s="1741" t="e">
        <f t="shared" ref="F15:F23" si="1">ROUND(D15*10000/C15,0)</f>
        <v>#DIV/0!</v>
      </c>
      <c r="G15" s="1747"/>
      <c r="H15" s="1747"/>
      <c r="I15" s="1746"/>
      <c r="J15" s="1740"/>
    </row>
    <row r="16" spans="1:10" ht="15.6">
      <c r="A16" s="1739" t="s">
        <v>1343</v>
      </c>
      <c r="B16" s="1746"/>
      <c r="C16" s="1746"/>
      <c r="D16" s="1746"/>
      <c r="E16" s="1741" t="e">
        <f t="shared" si="0"/>
        <v>#DIV/0!</v>
      </c>
      <c r="F16" s="1741" t="e">
        <f t="shared" si="1"/>
        <v>#DIV/0!</v>
      </c>
      <c r="G16" s="1747"/>
      <c r="H16" s="1747"/>
      <c r="I16" s="1746"/>
    </row>
    <row r="17" spans="1:9" ht="15.6">
      <c r="A17" s="1739" t="s">
        <v>1342</v>
      </c>
      <c r="B17" s="1746"/>
      <c r="C17" s="1746"/>
      <c r="D17" s="1746"/>
      <c r="E17" s="1741" t="e">
        <f t="shared" si="0"/>
        <v>#DIV/0!</v>
      </c>
      <c r="F17" s="1741" t="e">
        <f t="shared" si="1"/>
        <v>#DIV/0!</v>
      </c>
      <c r="G17" s="1747"/>
      <c r="H17" s="1747"/>
      <c r="I17" s="1746"/>
    </row>
    <row r="18" spans="1:9" ht="15.6">
      <c r="A18" s="1739" t="s">
        <v>1341</v>
      </c>
      <c r="B18" s="1746"/>
      <c r="C18" s="1746"/>
      <c r="D18" s="1746"/>
      <c r="E18" s="1741" t="e">
        <f t="shared" si="0"/>
        <v>#DIV/0!</v>
      </c>
      <c r="F18" s="1741" t="e">
        <f t="shared" si="1"/>
        <v>#DIV/0!</v>
      </c>
      <c r="G18" s="1746"/>
      <c r="H18" s="1746"/>
      <c r="I18" s="1746"/>
    </row>
    <row r="19" spans="1:9" ht="15.6">
      <c r="A19" s="1739" t="s">
        <v>1340</v>
      </c>
      <c r="B19" s="1746"/>
      <c r="C19" s="1746"/>
      <c r="D19" s="1746"/>
      <c r="E19" s="1741" t="e">
        <f t="shared" si="0"/>
        <v>#DIV/0!</v>
      </c>
      <c r="F19" s="1741" t="e">
        <f t="shared" si="1"/>
        <v>#DIV/0!</v>
      </c>
      <c r="G19" s="1746"/>
      <c r="H19" s="1746"/>
      <c r="I19" s="1746"/>
    </row>
    <row r="20" spans="1:9" ht="15.6">
      <c r="A20" s="1739" t="s">
        <v>1339</v>
      </c>
      <c r="B20" s="1746"/>
      <c r="C20" s="1746"/>
      <c r="D20" s="1746"/>
      <c r="E20" s="1741" t="e">
        <f t="shared" si="0"/>
        <v>#DIV/0!</v>
      </c>
      <c r="F20" s="1741" t="e">
        <f t="shared" si="1"/>
        <v>#DIV/0!</v>
      </c>
      <c r="G20" s="1746"/>
      <c r="H20" s="1746"/>
      <c r="I20" s="1746"/>
    </row>
    <row r="21" spans="1:9" ht="15.6">
      <c r="A21" s="1739" t="s">
        <v>1338</v>
      </c>
      <c r="B21" s="1746"/>
      <c r="C21" s="1746"/>
      <c r="D21" s="1746"/>
      <c r="E21" s="1741" t="e">
        <f t="shared" si="0"/>
        <v>#DIV/0!</v>
      </c>
      <c r="F21" s="1741" t="e">
        <f t="shared" si="1"/>
        <v>#DIV/0!</v>
      </c>
      <c r="G21" s="1746"/>
      <c r="H21" s="1746"/>
      <c r="I21" s="1746"/>
    </row>
    <row r="22" spans="1:9" ht="15.6">
      <c r="A22" s="1739" t="s">
        <v>1337</v>
      </c>
      <c r="B22" s="1746"/>
      <c r="C22" s="1746"/>
      <c r="D22" s="1746"/>
      <c r="E22" s="1741" t="e">
        <f t="shared" si="0"/>
        <v>#DIV/0!</v>
      </c>
      <c r="F22" s="1741" t="e">
        <f t="shared" si="1"/>
        <v>#DIV/0!</v>
      </c>
      <c r="G22" s="1746"/>
      <c r="H22" s="1746"/>
      <c r="I22" s="1746"/>
    </row>
    <row r="23" spans="1:9" ht="15.6">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640625" defaultRowHeight="21.75" customHeight="1"/>
  <cols>
    <col min="1" max="2" width="12.6640625" style="2418"/>
    <col min="3" max="4" width="12.6640625" style="2418" customWidth="1"/>
    <col min="5" max="9" width="12.6640625" style="2418"/>
    <col min="10" max="11" width="12.6640625" style="795" customWidth="1"/>
    <col min="12" max="12" width="12.6640625" style="795"/>
    <col min="13" max="13" width="14.109375" style="795" bestFit="1" customWidth="1"/>
    <col min="14" max="26" width="12.6640625" style="795"/>
    <col min="27" max="35" width="12.6640625" style="2417"/>
    <col min="36" max="16384" width="12.6640625" style="2418"/>
  </cols>
  <sheetData>
    <row r="1" spans="1:12" ht="21.75" customHeight="1" thickBot="1">
      <c r="A1" s="2221" t="s">
        <v>2110</v>
      </c>
      <c r="B1" s="2412"/>
      <c r="C1" s="2413"/>
      <c r="D1" s="2412"/>
      <c r="E1" s="2412"/>
      <c r="F1" s="2414" t="s">
        <v>2111</v>
      </c>
      <c r="G1" s="2067" t="s">
        <v>3064</v>
      </c>
      <c r="H1" s="2415" t="str">
        <f>IF(G1="现房","——","估价对象范围")</f>
        <v>——</v>
      </c>
      <c r="I1" s="2416"/>
    </row>
    <row r="2" spans="1:12" ht="21.75" customHeight="1" thickBot="1">
      <c r="A2" s="3098" t="str">
        <f>项目基本情况!S2</f>
        <v>北京市怀柔区雁栖经济开发区雁栖路2号1幢等3幢房地产</v>
      </c>
      <c r="B2" s="3099"/>
      <c r="C2" s="3099"/>
      <c r="D2" s="3099"/>
      <c r="E2" s="3099"/>
      <c r="F2" s="3099"/>
      <c r="G2" s="3099"/>
      <c r="H2" s="3099"/>
      <c r="I2" s="3100"/>
    </row>
    <row r="3" spans="1:12" ht="13.2">
      <c r="A3" s="3102" t="s">
        <v>2112</v>
      </c>
      <c r="B3" s="3103"/>
      <c r="C3" s="3103"/>
      <c r="D3" s="3103"/>
      <c r="E3" s="3103"/>
      <c r="F3" s="3103"/>
      <c r="G3" s="3103"/>
      <c r="H3" s="3103"/>
      <c r="I3" s="3103"/>
    </row>
    <row r="4" spans="1:12" ht="14.4">
      <c r="A4" s="2419" t="s">
        <v>2113</v>
      </c>
      <c r="B4" s="2420" t="s">
        <v>2114</v>
      </c>
      <c r="C4" s="2421" t="s">
        <v>3091</v>
      </c>
      <c r="D4" s="2421" t="s">
        <v>3090</v>
      </c>
      <c r="E4" s="3095" t="s">
        <v>2115</v>
      </c>
      <c r="F4" s="3096"/>
      <c r="G4" s="3096"/>
      <c r="H4" s="3096"/>
      <c r="I4" s="3104"/>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3.2">
      <c r="A5" s="3078" t="s">
        <v>2116</v>
      </c>
      <c r="B5" s="3016">
        <v>25</v>
      </c>
      <c r="C5" s="3081"/>
      <c r="D5" s="3101"/>
      <c r="E5" s="140" t="s">
        <v>2117</v>
      </c>
      <c r="F5" s="2423"/>
      <c r="G5" s="2423"/>
      <c r="H5" s="2423"/>
      <c r="I5" s="1831"/>
    </row>
    <row r="6" spans="1:12" ht="13.2">
      <c r="A6" s="3078"/>
      <c r="B6" s="3016"/>
      <c r="C6" s="3082"/>
      <c r="D6" s="3101"/>
      <c r="E6" s="140" t="s">
        <v>2118</v>
      </c>
      <c r="F6" s="2423"/>
      <c r="G6" s="2423"/>
      <c r="H6" s="2423"/>
      <c r="I6" s="1831"/>
    </row>
    <row r="7" spans="1:12" ht="13.2">
      <c r="A7" s="3078"/>
      <c r="B7" s="3016"/>
      <c r="C7" s="3083"/>
      <c r="D7" s="3101"/>
      <c r="E7" s="140" t="s">
        <v>2119</v>
      </c>
      <c r="F7" s="2423"/>
      <c r="G7" s="2423"/>
      <c r="H7" s="2423"/>
      <c r="I7" s="1831"/>
    </row>
    <row r="8" spans="1:12" ht="13.2">
      <c r="A8" s="3078" t="s">
        <v>2120</v>
      </c>
      <c r="B8" s="3016">
        <v>15</v>
      </c>
      <c r="C8" s="3081"/>
      <c r="D8" s="3101"/>
      <c r="E8" s="140" t="s">
        <v>2121</v>
      </c>
      <c r="F8" s="2423"/>
      <c r="G8" s="2423"/>
      <c r="H8" s="2423"/>
      <c r="I8" s="1831"/>
    </row>
    <row r="9" spans="1:12" ht="13.2">
      <c r="A9" s="3078"/>
      <c r="B9" s="3016"/>
      <c r="C9" s="3083"/>
      <c r="D9" s="3101"/>
      <c r="E9" s="140" t="s">
        <v>2122</v>
      </c>
      <c r="F9" s="2423"/>
      <c r="G9" s="2423"/>
      <c r="H9" s="2423"/>
      <c r="I9" s="1831"/>
    </row>
    <row r="10" spans="1:12" ht="13.2">
      <c r="A10" s="3078" t="s">
        <v>2123</v>
      </c>
      <c r="B10" s="3016">
        <v>15</v>
      </c>
      <c r="C10" s="3081"/>
      <c r="D10" s="3101"/>
      <c r="E10" s="140" t="s">
        <v>2124</v>
      </c>
      <c r="F10" s="2423"/>
      <c r="G10" s="2423"/>
      <c r="H10" s="2423"/>
      <c r="I10" s="1831"/>
    </row>
    <row r="11" spans="1:12" ht="13.2">
      <c r="A11" s="3078"/>
      <c r="B11" s="3016"/>
      <c r="C11" s="3083"/>
      <c r="D11" s="3101"/>
      <c r="E11" s="140" t="s">
        <v>2125</v>
      </c>
      <c r="F11" s="2423"/>
      <c r="G11" s="2423"/>
      <c r="H11" s="2423"/>
      <c r="I11" s="1831"/>
    </row>
    <row r="12" spans="1:12" ht="13.2">
      <c r="A12" s="3078" t="s">
        <v>2126</v>
      </c>
      <c r="B12" s="3016">
        <v>15</v>
      </c>
      <c r="C12" s="3081"/>
      <c r="D12" s="3101"/>
      <c r="E12" s="140" t="s">
        <v>2127</v>
      </c>
      <c r="F12" s="2423"/>
      <c r="G12" s="2423"/>
      <c r="H12" s="2423"/>
      <c r="I12" s="1831"/>
    </row>
    <row r="13" spans="1:12" ht="13.2">
      <c r="A13" s="3078"/>
      <c r="B13" s="3016"/>
      <c r="C13" s="3083"/>
      <c r="D13" s="3101"/>
      <c r="E13" s="140" t="s">
        <v>2128</v>
      </c>
      <c r="F13" s="2423"/>
      <c r="G13" s="2423"/>
      <c r="H13" s="2423"/>
      <c r="I13" s="1831"/>
    </row>
    <row r="14" spans="1:12" ht="13.2">
      <c r="A14" s="3078" t="s">
        <v>2129</v>
      </c>
      <c r="B14" s="3016">
        <v>30</v>
      </c>
      <c r="C14" s="3081">
        <v>5</v>
      </c>
      <c r="D14" s="3101">
        <v>5</v>
      </c>
      <c r="E14" s="140" t="s">
        <v>2130</v>
      </c>
      <c r="F14" s="2423"/>
      <c r="G14" s="2423"/>
      <c r="H14" s="2423"/>
      <c r="I14" s="1831"/>
    </row>
    <row r="15" spans="1:12" ht="13.2">
      <c r="A15" s="3078"/>
      <c r="B15" s="3016"/>
      <c r="C15" s="3082"/>
      <c r="D15" s="3101"/>
      <c r="E15" s="140" t="s">
        <v>2131</v>
      </c>
      <c r="F15" s="2423"/>
      <c r="G15" s="2423"/>
      <c r="H15" s="2423"/>
      <c r="I15" s="1831"/>
    </row>
    <row r="16" spans="1:12" ht="13.2">
      <c r="A16" s="3078"/>
      <c r="B16" s="3016"/>
      <c r="C16" s="3083"/>
      <c r="D16" s="3101"/>
      <c r="E16" s="140" t="s">
        <v>2132</v>
      </c>
      <c r="F16" s="2423"/>
      <c r="G16" s="2423"/>
      <c r="H16" s="2423"/>
      <c r="I16" s="1831"/>
    </row>
    <row r="17" spans="1:35" ht="14.4">
      <c r="A17" s="2424" t="s">
        <v>2133</v>
      </c>
      <c r="B17" s="64"/>
      <c r="C17" s="141">
        <f>SUM(C5:C16)</f>
        <v>5</v>
      </c>
      <c r="D17" s="141">
        <f>SUM(D5:D16)</f>
        <v>5</v>
      </c>
      <c r="E17" s="138"/>
      <c r="F17" s="138"/>
      <c r="G17" s="138"/>
      <c r="H17" s="138"/>
      <c r="I17" s="138"/>
      <c r="K17" s="2422"/>
      <c r="L17" s="2425" t="s">
        <v>2134</v>
      </c>
      <c r="M17" s="2425" t="s">
        <v>2135</v>
      </c>
    </row>
    <row r="18" spans="1:35" ht="15" thickBot="1">
      <c r="A18" s="2426" t="s">
        <v>2136</v>
      </c>
      <c r="B18" s="2427"/>
      <c r="C18" s="142">
        <f>ROUND(C17/SUM(C17:D17),2)</f>
        <v>0.5</v>
      </c>
      <c r="D18" s="142">
        <f>1-C18</f>
        <v>0.5</v>
      </c>
      <c r="E18" s="138"/>
      <c r="F18" s="138"/>
      <c r="G18" s="138"/>
      <c r="H18" s="138"/>
      <c r="I18" s="138"/>
      <c r="K18" s="2422" t="s">
        <v>2137</v>
      </c>
      <c r="L18" s="2422">
        <f>IF(C1="",'数据-汇总表'!E3,SUMIF(项目类型,C1,'数据-汇总表'!E17:E26)+SUMIF(项目类型,C1,'数据-汇总表'!I17:I26))</f>
        <v>15950.36</v>
      </c>
      <c r="M18" s="2422">
        <f>IF(C1="",'数据-汇总表'!E3,SUMIF(项目类型,C1,'数据-汇总表'!E17:E26))</f>
        <v>15950.36</v>
      </c>
    </row>
    <row r="19" spans="1:35" ht="14.4">
      <c r="A19" s="2428" t="s">
        <v>2138</v>
      </c>
      <c r="B19" s="2429" t="s">
        <v>2139</v>
      </c>
      <c r="C19" s="143">
        <f ca="1">SUMIF(INDIRECT("'"&amp;C4&amp;"'"&amp;"!A:A"),结果表!B19,INDIRECT("'"&amp;C4&amp;"'"&amp;"!B:B"))</f>
        <v>7749</v>
      </c>
      <c r="D19" s="144">
        <f ca="1">SUMIF(INDIRECT("'"&amp;D4&amp;"'"&amp;"!A:A"),结果表!B19,INDIRECT("'"&amp;D4&amp;"'"&amp;"!B:B"))</f>
        <v>8826</v>
      </c>
      <c r="E19" s="2428" t="s">
        <v>2140</v>
      </c>
      <c r="F19" s="2429" t="s">
        <v>2139</v>
      </c>
      <c r="G19" s="145">
        <f ca="1">ROUND(C19*$C$18+D19*$D$18,0)</f>
        <v>8288</v>
      </c>
      <c r="H19" s="2430" t="s">
        <v>2141</v>
      </c>
      <c r="I19" s="138"/>
      <c r="K19" s="2422" t="s">
        <v>2142</v>
      </c>
      <c r="L19" s="2422">
        <f>IF(C1="",'数据-汇总表'!D3,SUMIF(项目类型,C1,'数据-汇总表'!D17:D26)+SUMIF(项目类型,C1,'数据-汇总表'!H17:H27))</f>
        <v>24215.7</v>
      </c>
      <c r="M19" s="2422">
        <f>IF(C1="",'数据-汇总表'!D3,SUMIF(项目类型,C1,'数据-汇总表'!D17:D26))</f>
        <v>24215.7</v>
      </c>
    </row>
    <row r="20" spans="1:35" ht="14.4">
      <c r="A20" s="2431"/>
      <c r="B20" s="1247" t="s">
        <v>2143</v>
      </c>
      <c r="C20" s="146">
        <f ca="1">SUMIF(INDIRECT("'"&amp;C4&amp;"'"&amp;"!A:A"),结果表!B20,INDIRECT("'"&amp;C4&amp;"'"&amp;"!B:B"))</f>
        <v>4858</v>
      </c>
      <c r="D20" s="147">
        <f ca="1">SUMIF(INDIRECT("'"&amp;D4&amp;"'"&amp;"!A:A"),结果表!B20,INDIRECT("'"&amp;D4&amp;"'"&amp;"!B:B"))</f>
        <v>5533</v>
      </c>
      <c r="E20" s="2431"/>
      <c r="F20" s="1247" t="s">
        <v>2143</v>
      </c>
      <c r="G20" s="148">
        <f ca="1">ROUND(C20*$C$18+D20*$D$18,0)</f>
        <v>5196</v>
      </c>
      <c r="H20" s="980" t="s">
        <v>2144</v>
      </c>
      <c r="I20" s="138"/>
    </row>
    <row r="21" spans="1:35" ht="15" customHeight="1" thickBot="1">
      <c r="A21" s="1000"/>
      <c r="B21" s="2432" t="s">
        <v>2145</v>
      </c>
      <c r="C21" s="789">
        <f ca="1">ROUND(C19*10000/L19,0)</f>
        <v>3200</v>
      </c>
      <c r="D21" s="790">
        <f ca="1">ROUND(D19*10000/L19,0)</f>
        <v>3645</v>
      </c>
      <c r="E21" s="1000"/>
      <c r="F21" s="2432" t="s">
        <v>2145</v>
      </c>
      <c r="G21" s="149">
        <f ca="1">ROUND(G19*10000/L19,0)</f>
        <v>3423</v>
      </c>
      <c r="H21" s="2433" t="s">
        <v>2144</v>
      </c>
      <c r="I21" s="138"/>
    </row>
    <row r="22" spans="1:35" ht="15" thickBot="1">
      <c r="A22" s="2277" t="s">
        <v>2146</v>
      </c>
      <c r="B22" s="2434"/>
      <c r="C22" s="2435"/>
      <c r="D22" s="791">
        <f ca="1">IF(C19&lt;D19,D19/C19-1,C19/D19-1)</f>
        <v>0.13898567557104147</v>
      </c>
      <c r="E22" s="138"/>
      <c r="F22" s="138"/>
      <c r="G22" s="138"/>
      <c r="H22" s="138"/>
      <c r="I22" s="138"/>
    </row>
    <row r="23" spans="1:35" ht="13.8" thickBot="1">
      <c r="A23" s="2412"/>
      <c r="B23" s="2412"/>
      <c r="C23" s="2412"/>
      <c r="D23" s="2412"/>
      <c r="E23" s="138"/>
      <c r="F23" s="138"/>
      <c r="G23" s="138"/>
      <c r="H23" s="138"/>
      <c r="I23" s="138"/>
    </row>
    <row r="24" spans="1:35" ht="14.4">
      <c r="A24" s="3072" t="s">
        <v>2147</v>
      </c>
      <c r="B24" s="2429" t="s">
        <v>2139</v>
      </c>
      <c r="C24" s="145">
        <f>IF(B30=0,0,D30)</f>
        <v>0</v>
      </c>
      <c r="D24" s="2436"/>
      <c r="E24" s="138"/>
      <c r="F24" s="138"/>
      <c r="G24" s="138"/>
      <c r="H24" s="138"/>
      <c r="I24" s="138"/>
    </row>
    <row r="25" spans="1:35" ht="14.4">
      <c r="A25" s="3073"/>
      <c r="B25" s="1247" t="s">
        <v>2143</v>
      </c>
      <c r="C25" s="150">
        <f>IF(B30=0,0,C30)</f>
        <v>0</v>
      </c>
      <c r="D25" s="2437"/>
      <c r="E25" s="138"/>
      <c r="F25" s="138"/>
      <c r="G25" s="138"/>
      <c r="H25" s="138"/>
      <c r="I25" s="138"/>
    </row>
    <row r="26" spans="1:35" ht="13.5" customHeight="1">
      <c r="A26" s="2438" t="s">
        <v>2148</v>
      </c>
      <c r="B26" s="151" t="s">
        <v>2149</v>
      </c>
      <c r="C26" s="151" t="s">
        <v>2150</v>
      </c>
      <c r="D26" s="152" t="s">
        <v>2151</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2152</v>
      </c>
      <c r="B30" s="151"/>
      <c r="C30" s="151"/>
      <c r="D30" s="151"/>
      <c r="E30" s="2911" t="s">
        <v>3027</v>
      </c>
      <c r="F30" s="138"/>
      <c r="G30" s="138"/>
      <c r="H30" s="138"/>
      <c r="I30" s="138"/>
    </row>
    <row r="31" spans="1:35" s="2440" customFormat="1" ht="14.4"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2153</v>
      </c>
      <c r="B32" s="2442"/>
      <c r="C32" s="153">
        <f ca="1">IF(D32="总价",G19-C24,G20-C25)</f>
        <v>8288</v>
      </c>
      <c r="D32" s="2443" t="s">
        <v>3111</v>
      </c>
      <c r="E32" s="138"/>
      <c r="F32" s="138"/>
      <c r="G32" s="138"/>
      <c r="H32" s="138"/>
      <c r="I32" s="138"/>
    </row>
    <row r="33" spans="1:15" ht="14.4">
      <c r="A33" s="957" t="s">
        <v>2154</v>
      </c>
      <c r="B33" s="2444"/>
      <c r="C33" s="2445" t="s">
        <v>3112</v>
      </c>
      <c r="D33" s="2446" t="s">
        <v>3091</v>
      </c>
      <c r="E33" s="2447" t="s">
        <v>2155</v>
      </c>
      <c r="F33" s="2448" t="str">
        <f>IF(D32="楼面单价","取值（单价）","取值（总价）")</f>
        <v>取值（总价）</v>
      </c>
      <c r="G33" s="138"/>
      <c r="H33" s="138"/>
      <c r="I33" s="138"/>
    </row>
    <row r="34" spans="1:15" ht="14.4">
      <c r="A34" s="2449"/>
      <c r="B34" s="2450" t="s">
        <v>2156</v>
      </c>
      <c r="C34" s="157">
        <f ca="1">IF(C33="自定义",F34,C32-C35)</f>
        <v>3929</v>
      </c>
      <c r="D34" s="1055">
        <f ca="1">IF(C33="自定义",ROUND(C34/C32,3),IF(C33="收益比率",SUMIF(INDIRECT("'"&amp;D33&amp;"'"&amp;"!b:b"),"土地收益比率",INDIRECT("'"&amp;D33&amp;"'"&amp;"!c:c")),SUMIF(INDIRECT("'"&amp;D33&amp;"'"&amp;"!b:b"),"土地成本比率",INDIRECT("'"&amp;D33&amp;"'"&amp;"!c:c"))))</f>
        <v>0.47399999999999998</v>
      </c>
      <c r="E34" s="2451" t="s">
        <v>2157</v>
      </c>
      <c r="F34" s="1736"/>
      <c r="G34" s="138"/>
      <c r="H34" s="138"/>
      <c r="I34" s="138"/>
    </row>
    <row r="35" spans="1:15" ht="15" thickBot="1">
      <c r="A35" s="2452"/>
      <c r="B35" s="2453" t="s">
        <v>2158</v>
      </c>
      <c r="C35" s="1441">
        <f ca="1">IF(C33="自定义",F35,ROUND(C32*D35,0))</f>
        <v>4359</v>
      </c>
      <c r="D35" s="1442">
        <f ca="1">IF(C33="自定义",ROUND(C35/C32,3),IF(C33="收益比率",SUMIF(INDIRECT("'"&amp;D33&amp;"'"&amp;"!b:b"),"建筑物收益比率",INDIRECT("'"&amp;D33&amp;"'"&amp;"!c:c")),SUMIF(INDIRECT("'"&amp;D33&amp;"'"&amp;"!b:b"),"建筑物成本比率",INDIRECT("'"&amp;D33&amp;"'"&amp;"!c:c"))))</f>
        <v>0.52600000000000002</v>
      </c>
      <c r="E35" s="2454" t="s">
        <v>2159</v>
      </c>
      <c r="F35" s="163"/>
      <c r="G35" s="138"/>
      <c r="H35" s="138"/>
      <c r="I35" s="138"/>
    </row>
    <row r="36" spans="1:15" ht="15" thickBot="1">
      <c r="A36" s="3090" t="s">
        <v>2160</v>
      </c>
      <c r="B36" s="2455" t="s">
        <v>2161</v>
      </c>
      <c r="C36" s="154"/>
      <c r="D36" s="2456"/>
      <c r="E36" s="2457"/>
      <c r="F36" s="2458"/>
      <c r="G36" s="138"/>
      <c r="H36" s="138"/>
      <c r="I36" s="138"/>
    </row>
    <row r="37" spans="1:15" ht="15" thickBot="1">
      <c r="A37" s="3091"/>
      <c r="B37" s="2263" t="s">
        <v>2162</v>
      </c>
      <c r="C37" s="156"/>
      <c r="D37" s="1392"/>
      <c r="E37" s="1392"/>
      <c r="F37" s="2458"/>
      <c r="G37" s="138"/>
      <c r="H37" s="138"/>
      <c r="I37" s="138"/>
    </row>
    <row r="38" spans="1:15" ht="15" thickBot="1">
      <c r="A38" s="3092"/>
      <c r="B38" s="2459" t="s">
        <v>2163</v>
      </c>
      <c r="C38" s="727"/>
      <c r="D38" s="2460" t="s">
        <v>2164</v>
      </c>
      <c r="E38" s="1392"/>
      <c r="F38" s="2458"/>
      <c r="G38" s="138"/>
      <c r="H38" s="138"/>
      <c r="I38" s="138"/>
    </row>
    <row r="39" spans="1:15" ht="14.4">
      <c r="A39" s="2431" t="s">
        <v>2165</v>
      </c>
      <c r="B39" s="2461" t="s">
        <v>2166</v>
      </c>
      <c r="C39" s="2462" t="s">
        <v>2167</v>
      </c>
      <c r="D39" s="2462" t="s">
        <v>2168</v>
      </c>
      <c r="E39" s="2463" t="s">
        <v>2169</v>
      </c>
      <c r="F39" s="2458"/>
      <c r="G39" s="138"/>
      <c r="H39" s="138"/>
      <c r="I39" s="138"/>
    </row>
    <row r="40" spans="1:15" ht="13.8">
      <c r="A40" s="2464" t="s">
        <v>2170</v>
      </c>
      <c r="B40" s="158"/>
      <c r="C40" s="159"/>
      <c r="D40" s="159"/>
      <c r="E40" s="160"/>
      <c r="F40" s="2458"/>
      <c r="G40" s="138"/>
      <c r="H40" s="138"/>
      <c r="I40" s="138"/>
    </row>
    <row r="41" spans="1:15" ht="13.8">
      <c r="A41" s="2464" t="s">
        <v>2171</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1"/>
      <c r="B43" s="2161"/>
      <c r="C43" s="2161"/>
      <c r="D43" s="2161"/>
      <c r="E43" s="2161"/>
      <c r="F43" s="2466"/>
      <c r="G43" s="2466"/>
      <c r="H43" s="2466"/>
      <c r="I43" s="2467"/>
    </row>
    <row r="44" spans="1:15" ht="17.399999999999999">
      <c r="A44" s="2468" t="s">
        <v>2172</v>
      </c>
      <c r="B44" s="2469"/>
      <c r="C44" s="2469"/>
      <c r="D44" s="2470"/>
      <c r="E44" s="2470"/>
      <c r="F44" s="2471"/>
      <c r="G44" s="2471"/>
      <c r="H44" s="2471"/>
      <c r="I44" s="2471"/>
      <c r="J44" s="2472" t="s">
        <v>2173</v>
      </c>
      <c r="K44" s="2473"/>
      <c r="L44" s="2473"/>
      <c r="M44" s="2473"/>
      <c r="N44" s="2473"/>
      <c r="O44" s="2473"/>
    </row>
    <row r="45" spans="1:15" ht="14.25" customHeight="1" thickBot="1">
      <c r="A45" s="3069" t="s">
        <v>2174</v>
      </c>
      <c r="B45" s="3070"/>
      <c r="C45" s="3071"/>
      <c r="D45" s="164">
        <f ca="1">ROUND(H101*F45,0)</f>
        <v>8288</v>
      </c>
      <c r="E45" s="165" t="s">
        <v>2175</v>
      </c>
      <c r="F45" s="166">
        <v>1</v>
      </c>
      <c r="G45" s="167" t="s">
        <v>2176</v>
      </c>
      <c r="H45" s="138"/>
      <c r="I45" s="138"/>
      <c r="J45" s="3129" t="s">
        <v>2177</v>
      </c>
      <c r="K45" s="3129"/>
      <c r="L45" s="3129"/>
      <c r="M45" s="3129"/>
      <c r="N45" s="3129"/>
      <c r="O45" s="3129"/>
    </row>
    <row r="46" spans="1:15" ht="14.25" customHeight="1">
      <c r="A46" s="3066" t="s">
        <v>2178</v>
      </c>
      <c r="B46" s="3067"/>
      <c r="C46" s="3067"/>
      <c r="D46" s="3067"/>
      <c r="E46" s="3067"/>
      <c r="F46" s="3067"/>
      <c r="G46" s="3068"/>
      <c r="H46" s="2474"/>
      <c r="I46" s="168"/>
      <c r="J46" s="1809">
        <v>1</v>
      </c>
      <c r="K46" s="3129" t="s">
        <v>2179</v>
      </c>
      <c r="L46" s="3129"/>
      <c r="M46" s="3149"/>
      <c r="N46" s="3149"/>
      <c r="O46" s="3149"/>
    </row>
    <row r="47" spans="1:15" ht="12" customHeight="1">
      <c r="A47" s="169" t="s">
        <v>2180</v>
      </c>
      <c r="B47" s="170"/>
      <c r="C47" s="171"/>
      <c r="D47" s="172" t="s">
        <v>2181</v>
      </c>
      <c r="E47" s="24" t="s">
        <v>2182</v>
      </c>
      <c r="F47" s="173" t="s">
        <v>2183</v>
      </c>
      <c r="G47" s="174" t="s">
        <v>2184</v>
      </c>
      <c r="H47" s="2474"/>
      <c r="I47" s="168"/>
      <c r="J47" s="1809">
        <v>2</v>
      </c>
      <c r="K47" s="3129" t="s">
        <v>2185</v>
      </c>
      <c r="L47" s="3129"/>
      <c r="M47" s="3150">
        <f>'数据-取费表'!B2</f>
        <v>43921</v>
      </c>
      <c r="N47" s="3150"/>
      <c r="O47" s="3150"/>
    </row>
    <row r="48" spans="1:15" ht="26.4">
      <c r="A48" s="3097" t="s">
        <v>2186</v>
      </c>
      <c r="B48" s="3080"/>
      <c r="C48" s="3080"/>
      <c r="D48" s="140">
        <f>IF(H48="情况1",0,IF(H48="情况2",D52,IF(H48="情况3",D53,IF(H48="情况4",D54))))</f>
        <v>0</v>
      </c>
      <c r="E48" s="1798" t="str">
        <f>IF(H48="情况4","(销售额-原购置价)×税（费）率","销售额×税（费）率")</f>
        <v>销售额×税（费）率</v>
      </c>
      <c r="F48" s="175" t="str">
        <f>IF(H48="情况1","免征",'数据-取费表'!B41)</f>
        <v>免征</v>
      </c>
      <c r="G48" s="2475" t="s">
        <v>2187</v>
      </c>
      <c r="H48" s="2476" t="s">
        <v>2188</v>
      </c>
      <c r="I48" s="2474"/>
      <c r="J48" s="1809">
        <v>3</v>
      </c>
      <c r="K48" s="3129" t="s">
        <v>2189</v>
      </c>
      <c r="L48" s="3129"/>
      <c r="M48" s="3151">
        <f ca="1">H101</f>
        <v>8288</v>
      </c>
      <c r="N48" s="3151"/>
      <c r="O48" s="3151"/>
    </row>
    <row r="49" spans="1:35" ht="25.5" customHeight="1">
      <c r="A49" s="176" t="s">
        <v>2190</v>
      </c>
      <c r="B49" s="3065" t="s">
        <v>2191</v>
      </c>
      <c r="C49" s="3065"/>
      <c r="D49" s="177">
        <v>0</v>
      </c>
      <c r="E49" s="23" t="s">
        <v>2192</v>
      </c>
      <c r="F49" s="28" t="s">
        <v>34</v>
      </c>
      <c r="G49" s="3135"/>
      <c r="H49" s="138"/>
      <c r="I49" s="2477"/>
      <c r="J49" s="1809">
        <v>4</v>
      </c>
      <c r="K49" s="3129" t="str">
        <f>IF(项目基本情况!E8="房地产抵押价值","房地产抵押价值","抵押担保权已注销时的房地产抵押价值")</f>
        <v>房地产抵押价值</v>
      </c>
      <c r="L49" s="3129"/>
      <c r="M49" s="3151">
        <f ca="1">IF(项目基本情况!E8="房地产抵押价值",H107,H109)</f>
        <v>8288</v>
      </c>
      <c r="N49" s="3151"/>
      <c r="O49" s="3151"/>
    </row>
    <row r="50" spans="1:35" ht="25.5" customHeight="1">
      <c r="A50" s="178"/>
      <c r="B50" s="3065" t="s">
        <v>2193</v>
      </c>
      <c r="C50" s="3065"/>
      <c r="D50" s="179"/>
      <c r="E50" s="31"/>
      <c r="F50" s="180"/>
      <c r="G50" s="3136"/>
      <c r="H50" s="138"/>
      <c r="I50" s="2477"/>
      <c r="J50" s="3129" t="s">
        <v>2194</v>
      </c>
      <c r="K50" s="3129"/>
      <c r="L50" s="3129"/>
      <c r="M50" s="3129"/>
      <c r="N50" s="3129"/>
      <c r="O50" s="3129"/>
    </row>
    <row r="51" spans="1:35" ht="12" customHeight="1">
      <c r="A51" s="181"/>
      <c r="B51" s="3065" t="s">
        <v>2195</v>
      </c>
      <c r="C51" s="3065"/>
      <c r="D51" s="182"/>
      <c r="E51" s="30"/>
      <c r="F51" s="180"/>
      <c r="G51" s="3137"/>
      <c r="H51" s="138"/>
      <c r="I51" s="2477"/>
      <c r="J51" s="2478" t="s">
        <v>2196</v>
      </c>
      <c r="K51" s="3129" t="s">
        <v>2197</v>
      </c>
      <c r="L51" s="3129"/>
      <c r="M51" s="2478" t="s">
        <v>2198</v>
      </c>
      <c r="N51" s="2478" t="s">
        <v>2199</v>
      </c>
      <c r="O51" s="2478" t="s">
        <v>2200</v>
      </c>
    </row>
    <row r="52" spans="1:35" ht="24" customHeight="1">
      <c r="A52" s="183" t="s">
        <v>2201</v>
      </c>
      <c r="B52" s="3065" t="s">
        <v>2202</v>
      </c>
      <c r="C52" s="3065"/>
      <c r="D52" s="182">
        <f ca="1">ROUND(D45*'数据-取费表'!B41/(1+'数据-取费表'!C42),0)</f>
        <v>434</v>
      </c>
      <c r="E52" s="11" t="s">
        <v>2203</v>
      </c>
      <c r="F52" s="184">
        <f>'数据-取费表'!B41</f>
        <v>5.5000000000000007E-2</v>
      </c>
      <c r="G52" s="2479"/>
      <c r="H52" s="138"/>
      <c r="I52" s="2477"/>
      <c r="J52" s="1809">
        <v>1</v>
      </c>
      <c r="K52" s="3130" t="s">
        <v>2204</v>
      </c>
      <c r="L52" s="3130"/>
      <c r="M52" s="1751">
        <f>D48</f>
        <v>0</v>
      </c>
      <c r="N52" s="1809" t="str">
        <f>E48</f>
        <v>销售额×税（费）率</v>
      </c>
      <c r="O52" s="1752" t="str">
        <f>F48</f>
        <v>免征</v>
      </c>
    </row>
    <row r="53" spans="1:35" ht="12" customHeight="1">
      <c r="A53" s="183" t="s">
        <v>2205</v>
      </c>
      <c r="B53" s="3088" t="s">
        <v>2206</v>
      </c>
      <c r="C53" s="3089"/>
      <c r="D53" s="182">
        <f ca="1">ROUND(D45*'数据-取费表'!B41/(1+'数据-取费表'!C42),0)</f>
        <v>434</v>
      </c>
      <c r="E53" s="11" t="s">
        <v>2203</v>
      </c>
      <c r="F53" s="184">
        <f>'数据-取费表'!B41</f>
        <v>5.5000000000000007E-2</v>
      </c>
      <c r="G53" s="2479"/>
      <c r="H53" s="138"/>
      <c r="I53" s="2477"/>
      <c r="J53" s="1809">
        <v>2</v>
      </c>
      <c r="K53" s="3130" t="s">
        <v>2207</v>
      </c>
      <c r="L53" s="3130"/>
      <c r="M53" s="1751">
        <f t="shared" ref="M53:O54" ca="1" si="0">D55</f>
        <v>4</v>
      </c>
      <c r="N53" s="1809" t="str">
        <f t="shared" si="0"/>
        <v>销售额×税（费）率</v>
      </c>
      <c r="O53" s="1752">
        <f t="shared" si="0"/>
        <v>5.0000000000000001E-4</v>
      </c>
    </row>
    <row r="54" spans="1:35" ht="12" customHeight="1">
      <c r="A54" s="183" t="s">
        <v>2208</v>
      </c>
      <c r="B54" s="3088" t="s">
        <v>2209</v>
      </c>
      <c r="C54" s="3089"/>
      <c r="D54" s="182">
        <f ca="1">C68</f>
        <v>434</v>
      </c>
      <c r="E54" s="30" t="s">
        <v>2210</v>
      </c>
      <c r="F54" s="184">
        <f>'数据-取费表'!B41</f>
        <v>5.5000000000000007E-2</v>
      </c>
      <c r="G54" s="2479"/>
      <c r="H54" s="2480"/>
      <c r="I54" s="2477"/>
      <c r="J54" s="1809">
        <v>3</v>
      </c>
      <c r="K54" s="3130" t="s">
        <v>2211</v>
      </c>
      <c r="L54" s="3130"/>
      <c r="M54" s="1751">
        <f t="shared" ca="1" si="0"/>
        <v>4699</v>
      </c>
      <c r="N54" s="1809" t="str">
        <f t="shared" si="0"/>
        <v>增值额×税（费）率</v>
      </c>
      <c r="O54" s="1753" t="str">
        <f t="shared" si="0"/>
        <v>——</v>
      </c>
    </row>
    <row r="55" spans="1:35" ht="24" customHeight="1">
      <c r="A55" s="3079" t="s">
        <v>2212</v>
      </c>
      <c r="B55" s="3080"/>
      <c r="C55" s="3080"/>
      <c r="D55" s="185">
        <f ca="1">IF(H55="个人住宅",0,ROUND(D45*I55,0))</f>
        <v>4</v>
      </c>
      <c r="E55" s="11" t="s">
        <v>2213</v>
      </c>
      <c r="F55" s="184">
        <f>IF(H55="正常",I55,"免征")</f>
        <v>5.0000000000000001E-4</v>
      </c>
      <c r="G55" s="2479"/>
      <c r="H55" s="2476" t="s">
        <v>2214</v>
      </c>
      <c r="I55" s="186">
        <f>'数据-取费表'!B49</f>
        <v>5.0000000000000001E-4</v>
      </c>
      <c r="J55" s="1809" t="str">
        <f>IF(H59="非个人房产","",4)</f>
        <v/>
      </c>
      <c r="K55" s="3130" t="str">
        <f>IF(H59="非个人房产","——","个人所得税")</f>
        <v>——</v>
      </c>
      <c r="L55" s="3130"/>
      <c r="M55" s="1754" t="str">
        <f>D59</f>
        <v>——</v>
      </c>
      <c r="N55" s="1807" t="str">
        <f>E59</f>
        <v>——</v>
      </c>
      <c r="O55" s="1755" t="str">
        <f>F59</f>
        <v>——</v>
      </c>
    </row>
    <row r="56" spans="1:35" ht="25.2">
      <c r="A56" s="3079" t="s">
        <v>2215</v>
      </c>
      <c r="B56" s="3080"/>
      <c r="C56" s="3080"/>
      <c r="D56" s="185">
        <f ca="1">IF(H56="个人住宅",D57,D58)</f>
        <v>4699</v>
      </c>
      <c r="E56" s="11" t="s">
        <v>2216</v>
      </c>
      <c r="F56" s="184" t="str">
        <f>IF(H56="正常",F58,"免征")</f>
        <v>——</v>
      </c>
      <c r="G56" s="2481" t="s">
        <v>2217</v>
      </c>
      <c r="H56" s="2482" t="s">
        <v>2214</v>
      </c>
      <c r="I56" s="2483"/>
      <c r="J56" s="1809" t="str">
        <f>IF(项目基本情况!K6="上海银行",IF(J55="",4,J55+1),"")</f>
        <v/>
      </c>
      <c r="K56" s="3153" t="str">
        <f>IF(项目基本情况!K6="上海银行","其他处置费用","")</f>
        <v/>
      </c>
      <c r="L56" s="3154"/>
      <c r="M56" s="1751" t="str">
        <f>IF(项目基本情况!K6="上海银行",M69,"")</f>
        <v/>
      </c>
      <c r="N56" s="3156" t="str">
        <f>IF(项目基本情况!K6="上海银行","包含处置中涉及的律师、诉讼、拍卖、评估等费用","")</f>
        <v/>
      </c>
      <c r="O56" s="3157"/>
    </row>
    <row r="57" spans="1:35" ht="13.2">
      <c r="A57" s="183" t="s">
        <v>2190</v>
      </c>
      <c r="B57" s="3095" t="s">
        <v>2218</v>
      </c>
      <c r="C57" s="3104"/>
      <c r="D57" s="187">
        <v>0</v>
      </c>
      <c r="E57" s="23" t="s">
        <v>2192</v>
      </c>
      <c r="F57" s="155"/>
      <c r="G57" s="2479"/>
      <c r="H57" s="2483"/>
      <c r="I57" s="2483"/>
      <c r="J57" s="3130">
        <f>IF(AND(J55="",J56=""),4,IF(项目基本情况!K6="上海银行",结果表!J56+1,结果表!J55+1))</f>
        <v>4</v>
      </c>
      <c r="K57" s="3130" t="s">
        <v>2219</v>
      </c>
      <c r="L57" s="2484" t="s">
        <v>2220</v>
      </c>
      <c r="M57" s="1756"/>
      <c r="N57" s="1757">
        <f ca="1">SUMIF(M52:M56,"&lt;9e307")</f>
        <v>4703</v>
      </c>
      <c r="O57" s="2485"/>
      <c r="P57" s="1750">
        <f ca="1">N57/M49</f>
        <v>0.56744691119691115</v>
      </c>
    </row>
    <row r="58" spans="1:35" ht="25.2">
      <c r="A58" s="183" t="s">
        <v>2201</v>
      </c>
      <c r="B58" s="3095" t="s">
        <v>2221</v>
      </c>
      <c r="C58" s="3096"/>
      <c r="D58" s="185">
        <f ca="1">IF(H58="转让取得",C81,C97)</f>
        <v>4699</v>
      </c>
      <c r="E58" s="11" t="s">
        <v>2216</v>
      </c>
      <c r="F58" s="24" t="s">
        <v>34</v>
      </c>
      <c r="G58" s="2479"/>
      <c r="H58" s="2482" t="s">
        <v>2222</v>
      </c>
      <c r="I58" s="2483"/>
      <c r="J58" s="3130"/>
      <c r="K58" s="3130"/>
      <c r="L58" s="2484" t="s">
        <v>2223</v>
      </c>
      <c r="M58" s="1758"/>
      <c r="N58" s="2486" t="str">
        <f ca="1">NUMBERSTRING(INT(N57*10000),2)&amp;"元整"</f>
        <v>肆仟柒佰零叁万元整</v>
      </c>
      <c r="O58" s="2487"/>
    </row>
    <row r="59" spans="1:35" ht="24.6" thickBot="1">
      <c r="A59" s="3133" t="s">
        <v>2224</v>
      </c>
      <c r="B59" s="3134"/>
      <c r="C59" s="3134"/>
      <c r="D59" s="188" t="str">
        <f>IF(H59="非个人房产","——",IF(H59="个人住宅",0,ROUND(D45*I59,0)))</f>
        <v>——</v>
      </c>
      <c r="E59" s="189" t="str">
        <f>IF(H59="非个人房产","——","销售额×税（费）率")</f>
        <v>——</v>
      </c>
      <c r="F59" s="190" t="str">
        <f>IF(H59="非个人房产","——",IF(H59="个人住宅","免征",I59))</f>
        <v>——</v>
      </c>
      <c r="G59" s="2488" t="s">
        <v>2217</v>
      </c>
      <c r="H59" s="2482" t="s">
        <v>2225</v>
      </c>
      <c r="I59" s="191">
        <v>0.01</v>
      </c>
      <c r="J59" s="3131">
        <f>J57+1</f>
        <v>5</v>
      </c>
      <c r="K59" s="3130" t="s">
        <v>2226</v>
      </c>
      <c r="L59" s="1809" t="s">
        <v>2220</v>
      </c>
      <c r="M59" s="1759"/>
      <c r="N59" s="1760">
        <f ca="1">M49-N57</f>
        <v>3585</v>
      </c>
      <c r="O59" s="2489"/>
    </row>
    <row r="60" spans="1:35" ht="12" customHeight="1">
      <c r="A60" s="2490"/>
      <c r="B60" s="2412"/>
      <c r="C60" s="2412"/>
      <c r="D60" s="2412"/>
      <c r="E60" s="2162"/>
      <c r="F60" s="2483"/>
      <c r="G60" s="2483"/>
      <c r="H60" s="2491"/>
      <c r="I60" s="138"/>
      <c r="J60" s="3132"/>
      <c r="K60" s="3130"/>
      <c r="L60" s="2484" t="s">
        <v>2223</v>
      </c>
      <c r="M60" s="1758"/>
      <c r="N60" s="2486" t="str">
        <f ca="1">NUMBERSTRING(INT(N59*10000),2)&amp;"元整"</f>
        <v>叁仟伍佰捌拾伍万元整</v>
      </c>
      <c r="O60" s="2487"/>
    </row>
    <row r="61" spans="1:35" ht="13.8" thickBot="1">
      <c r="A61" s="3077" t="s">
        <v>2227</v>
      </c>
      <c r="B61" s="3077"/>
      <c r="C61" s="3077"/>
      <c r="D61" s="3077"/>
      <c r="E61" s="3077"/>
      <c r="F61" s="2483"/>
      <c r="G61" s="2483"/>
      <c r="H61" s="2491"/>
      <c r="I61" s="138"/>
      <c r="J61" s="1809">
        <f>J59+1</f>
        <v>6</v>
      </c>
      <c r="K61" s="3130" t="s">
        <v>2228</v>
      </c>
      <c r="L61" s="3130"/>
      <c r="M61" s="1761"/>
      <c r="N61" s="1762">
        <f ca="1">ROUND(N59*10000/'数据-汇总表'!E3,0)</f>
        <v>2248</v>
      </c>
      <c r="O61" s="2492"/>
    </row>
    <row r="62" spans="1:35" ht="13.2">
      <c r="A62" s="3093" t="s">
        <v>2229</v>
      </c>
      <c r="B62" s="3094"/>
      <c r="C62" s="1801"/>
      <c r="D62" s="1801" t="s">
        <v>2230</v>
      </c>
      <c r="E62" s="192" t="s">
        <v>2231</v>
      </c>
      <c r="F62" s="2483"/>
      <c r="G62" s="2483"/>
      <c r="H62" s="2491"/>
      <c r="I62" s="138"/>
    </row>
    <row r="63" spans="1:35" ht="13.2">
      <c r="A63" s="203" t="s">
        <v>775</v>
      </c>
      <c r="B63" s="193" t="s">
        <v>2232</v>
      </c>
      <c r="C63" s="194">
        <f ca="1">ROUND((C64+C65)/(1+'数据-取费表'!C42),0)</f>
        <v>7893</v>
      </c>
      <c r="D63" s="195"/>
      <c r="E63" s="196"/>
      <c r="F63" s="2483"/>
      <c r="G63" s="2483"/>
      <c r="H63" s="2491"/>
      <c r="I63" s="138"/>
      <c r="J63" s="3155" t="s">
        <v>2233</v>
      </c>
      <c r="K63" s="2493" t="s">
        <v>2234</v>
      </c>
      <c r="L63" s="1749">
        <f ca="1">IF(M49&gt;10000,M49*0.5%,IF(AND(M49&gt;1000,M49&lt;=10000),M49*1%,IF(AND(M49&gt;100,M49&lt;=1000),M49*3%,IF(AND(M49&gt;10,M49&lt;=100),M49*5%,M49*8%))))</f>
        <v>82.88</v>
      </c>
      <c r="M63" s="24">
        <f ca="1">ROUND(L63,1)</f>
        <v>82.9</v>
      </c>
      <c r="Z63" s="2417"/>
      <c r="AI63" s="2418"/>
    </row>
    <row r="64" spans="1:35" ht="14.25" customHeight="1">
      <c r="A64" s="197" t="s">
        <v>770</v>
      </c>
      <c r="B64" s="198" t="s">
        <v>2235</v>
      </c>
      <c r="C64" s="199">
        <f ca="1">D45</f>
        <v>8288</v>
      </c>
      <c r="D64" s="200" t="s">
        <v>32</v>
      </c>
      <c r="E64" s="201"/>
      <c r="F64" s="2483"/>
      <c r="G64" s="2483"/>
      <c r="H64" s="2491"/>
      <c r="I64" s="138"/>
      <c r="J64" s="3155"/>
      <c r="K64" s="2493" t="s">
        <v>2236</v>
      </c>
      <c r="L64" s="1749">
        <f ca="1">IF(M49&gt;2000,M49*0.5%,IF(AND(M49&gt;1000,M49&lt;=2000),M49*0.6%,IF(AND(M49&gt;500,M49&lt;=1000),M49*0.7%,IF(AND(M49&gt;200,M49&lt;=500),M49*0.8%,IF(AND(M49&gt;100,M49&lt;=200),M49*0.9%,IF(AND(M49&gt;50,M49&lt;=100),M49*1%,IF(AND(M49&gt;20,M49&lt;=50),M49*1.5%,IF(AND(M49&gt;10,M49&lt;=20),M49*2%,IF(AND(M49&gt;1,M49&lt;=10),M49*2.5%)))))))))</f>
        <v>41.44</v>
      </c>
      <c r="M64" s="24">
        <f t="shared" ref="M64:M65" ca="1" si="1">ROUND(L64,1)</f>
        <v>41.4</v>
      </c>
      <c r="N64" s="138" t="s">
        <v>2237</v>
      </c>
      <c r="Z64" s="2417"/>
      <c r="AI64" s="2418"/>
    </row>
    <row r="65" spans="1:35" ht="14.25" customHeight="1">
      <c r="A65" s="197" t="s">
        <v>771</v>
      </c>
      <c r="B65" s="198" t="s">
        <v>2238</v>
      </c>
      <c r="C65" s="202"/>
      <c r="D65" s="200"/>
      <c r="E65" s="201"/>
      <c r="F65" s="2483"/>
      <c r="G65" s="2483"/>
      <c r="H65" s="2491"/>
      <c r="I65" s="138"/>
      <c r="J65" s="3155"/>
      <c r="K65" s="2493" t="s">
        <v>2239</v>
      </c>
      <c r="L65" s="1749">
        <f ca="1">IF(M49&gt;1000,M49*0.1%,IF(AND(M49&gt;500,M49&lt;=1000),M49*0.5%,IF(AND(M49&gt;50,M49&lt;=500),M49*1%,IF(AND(M49&gt;1,M49&lt;=50),M49*1.5%))))</f>
        <v>8.2880000000000003</v>
      </c>
      <c r="M65" s="24">
        <f t="shared" ca="1" si="1"/>
        <v>8.3000000000000007</v>
      </c>
      <c r="N65" s="138" t="s">
        <v>2237</v>
      </c>
      <c r="Z65" s="2417"/>
      <c r="AI65" s="2418"/>
    </row>
    <row r="66" spans="1:35" ht="14.25" customHeight="1">
      <c r="A66" s="203" t="s">
        <v>772</v>
      </c>
      <c r="B66" s="204" t="s">
        <v>2240</v>
      </c>
      <c r="C66" s="205"/>
      <c r="D66" s="206" t="s">
        <v>32</v>
      </c>
      <c r="E66" s="1773" t="s">
        <v>1366</v>
      </c>
      <c r="F66" s="2483"/>
      <c r="G66" s="2483"/>
      <c r="H66" s="2491"/>
      <c r="I66" s="138"/>
      <c r="J66" s="3155"/>
      <c r="K66" s="2493" t="s">
        <v>2241</v>
      </c>
      <c r="L66" s="1749">
        <f ca="1">M49*0.5%</f>
        <v>41.44</v>
      </c>
      <c r="M66" s="24">
        <f ca="1">IF(L66&gt;0.5,0.5,ROUND(L66,0))</f>
        <v>0.5</v>
      </c>
      <c r="N66" s="138" t="s">
        <v>2242</v>
      </c>
      <c r="Z66" s="2417"/>
      <c r="AI66" s="2418"/>
    </row>
    <row r="67" spans="1:35" ht="14.25" customHeight="1">
      <c r="A67" s="203" t="s">
        <v>773</v>
      </c>
      <c r="B67" s="204" t="s">
        <v>2243</v>
      </c>
      <c r="C67" s="207">
        <f ca="1">C63-C66</f>
        <v>7893</v>
      </c>
      <c r="D67" s="200" t="s">
        <v>32</v>
      </c>
      <c r="E67" s="201"/>
      <c r="F67" s="2483"/>
      <c r="G67" s="2483"/>
      <c r="H67" s="2491"/>
      <c r="I67" s="138"/>
      <c r="J67" s="3155"/>
      <c r="K67" s="2493" t="s">
        <v>2244</v>
      </c>
      <c r="L67" s="1749">
        <f ca="1">IF(M49&gt;=10000,(8.25+(M49-10000)*0.01%),IF(AND(M49&gt;=8000,M49&lt;10000),(7.85+(M49-8000)*0.02%),IF(AND(M49&gt;=5000,M49&lt;8000),(6.65+(M49-5000)*0.04%),IF(AND(M49&gt;=2000,M49&lt;5000),(4.25+(PM49-2000)*0.08%),IF(AND(M49&gt;=1000,M49&lt;2000),(2.75+(M49-1000)*0.15%),IF(AND(M49&gt;=100,M49&lt;1000),(0.5+(M49-100)*0.25%),IF(AND(M49&gt;0,M49&lt;100),M49*0.5%)))))))</f>
        <v>7.9075999999999995</v>
      </c>
      <c r="M67" s="24">
        <f ca="1">ROUND(L67*0.9,1)</f>
        <v>7.1</v>
      </c>
      <c r="Z67" s="2417"/>
      <c r="AI67" s="2418"/>
    </row>
    <row r="68" spans="1:35" ht="14.25" customHeight="1" thickBot="1">
      <c r="A68" s="208" t="s">
        <v>774</v>
      </c>
      <c r="B68" s="209" t="s">
        <v>2245</v>
      </c>
      <c r="C68" s="210">
        <f ca="1">IF(C67&lt;=0,0,ROUND(C67*D68,0))</f>
        <v>434</v>
      </c>
      <c r="D68" s="211">
        <f>'数据-取费表'!B41</f>
        <v>5.5000000000000007E-2</v>
      </c>
      <c r="E68" s="212"/>
      <c r="F68" s="2483"/>
      <c r="G68" s="2483"/>
      <c r="H68" s="2491"/>
      <c r="I68" s="138"/>
      <c r="J68" s="3155"/>
      <c r="K68" s="2493" t="s">
        <v>2246</v>
      </c>
      <c r="L68" s="1749">
        <f ca="1">IF(M49&gt;10000,M49*0.5%,IF(AND(M49&gt;5000,M49&lt;=10000),M49*1%,IF(AND(M49&gt;1000,M49&lt;=5000),M49*2%,IF(AND(M49&gt;200,M49&lt;=1000),M49*3%,M49*5%))))</f>
        <v>82.88</v>
      </c>
      <c r="M68" s="24">
        <f ca="1">ROUND(L68,1)</f>
        <v>82.9</v>
      </c>
      <c r="Z68" s="2417"/>
      <c r="AI68" s="2418"/>
    </row>
    <row r="69" spans="1:35" s="2440" customFormat="1" ht="16.5" customHeight="1">
      <c r="A69" s="2494"/>
      <c r="B69" s="2495"/>
      <c r="C69" s="2496"/>
      <c r="D69" s="2497"/>
      <c r="E69" s="2498"/>
      <c r="F69" s="2162"/>
      <c r="G69" s="2162"/>
      <c r="H69" s="2161"/>
      <c r="I69" s="2412"/>
      <c r="J69" s="3155"/>
      <c r="K69" s="2493" t="s">
        <v>2247</v>
      </c>
      <c r="L69" s="2499"/>
      <c r="M69" s="24">
        <f ca="1">ROUND(SUM(M63:M68),0)</f>
        <v>223</v>
      </c>
      <c r="N69" s="1750">
        <f ca="1">M69/M49</f>
        <v>2.6906370656370655E-2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4.4" thickBot="1">
      <c r="A70" s="3114" t="s">
        <v>2248</v>
      </c>
      <c r="B70" s="3115"/>
      <c r="C70" s="3115"/>
      <c r="D70" s="3115"/>
      <c r="E70" s="3115"/>
      <c r="F70" s="3115"/>
      <c r="G70" s="3115"/>
      <c r="H70" s="311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093" t="s">
        <v>2229</v>
      </c>
      <c r="B71" s="3094"/>
      <c r="C71" s="1801"/>
      <c r="D71" s="1801" t="s">
        <v>2230</v>
      </c>
      <c r="E71" s="213" t="s">
        <v>2231</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775</v>
      </c>
      <c r="B72" s="204" t="s">
        <v>2249</v>
      </c>
      <c r="C72" s="207">
        <f ca="1">ROUND(D45/(1+'数据-取费表'!C42),0)</f>
        <v>7893</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772</v>
      </c>
      <c r="B73" s="173" t="s">
        <v>2250</v>
      </c>
      <c r="C73" s="207">
        <f ca="1">C74+C78</f>
        <v>39</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2251</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776</v>
      </c>
      <c r="B75" s="198" t="s">
        <v>2252</v>
      </c>
      <c r="C75" s="218"/>
      <c r="D75" s="200" t="s">
        <v>32</v>
      </c>
      <c r="E75" s="219" t="s">
        <v>2253</v>
      </c>
      <c r="F75" s="2505" t="s">
        <v>2254</v>
      </c>
      <c r="G75" s="219" t="s">
        <v>2255</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2256</v>
      </c>
      <c r="C76" s="200">
        <f>IF(F75="购房发票",ROUND(C75*H75*D76,0),0)</f>
        <v>0</v>
      </c>
      <c r="D76" s="222">
        <v>0.05</v>
      </c>
      <c r="E76" s="3088" t="s">
        <v>2257</v>
      </c>
      <c r="F76" s="3065"/>
      <c r="G76" s="3065"/>
      <c r="H76" s="311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7" t="s">
        <v>2260</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2261</v>
      </c>
      <c r="C78" s="225">
        <f ca="1">ROUND(D45*D78/(1+'数据-取费表'!C42),0)</f>
        <v>39</v>
      </c>
      <c r="D78" s="226">
        <f>'数据-取费表'!B43</f>
        <v>5.000000000000001E-3</v>
      </c>
      <c r="E78" s="3074" t="s">
        <v>2262</v>
      </c>
      <c r="F78" s="3075"/>
      <c r="G78" s="3075"/>
      <c r="H78" s="308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4" t="s">
        <v>2263</v>
      </c>
      <c r="C79" s="207">
        <f ca="1">C72-C73</f>
        <v>7854</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2264</v>
      </c>
      <c r="C80" s="227">
        <f ca="1">IF(C79&lt;=0,0,C79/C73)</f>
        <v>201.38461538461539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9" t="s">
        <v>2265</v>
      </c>
      <c r="C81" s="228">
        <f ca="1">ROUND(IF(C79&lt;=0,0,IF(C80&gt;=200%,C79*60%-C73*35%,IF(C80&gt;=100%,C79*50%-C73*15%,IF(C80&gt;=50%,C79*40%-C73*5%,IF(C80&lt;50%,C79*30%,0))))),0)</f>
        <v>4699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14" t="s">
        <v>2266</v>
      </c>
      <c r="B83" s="3115"/>
      <c r="C83" s="3115"/>
      <c r="D83" s="3115"/>
      <c r="E83" s="3115"/>
      <c r="F83" s="3115"/>
      <c r="G83" s="3115"/>
      <c r="H83" s="311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093" t="s">
        <v>2229</v>
      </c>
      <c r="B84" s="3094"/>
      <c r="C84" s="1801"/>
      <c r="D84" s="1801" t="s">
        <v>2230</v>
      </c>
      <c r="E84" s="213" t="s">
        <v>2231</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775</v>
      </c>
      <c r="B85" s="204" t="s">
        <v>2249</v>
      </c>
      <c r="C85" s="207">
        <f ca="1">ROUND(D45/(1+'数据-取费表'!C42),0)</f>
        <v>7893</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772</v>
      </c>
      <c r="B86" s="173" t="s">
        <v>2250</v>
      </c>
      <c r="C86" s="207">
        <f ca="1">IF(H88="仅含出让金",C87+C90+C91+C92+C93+C94,C87+C91+C92+C93+C94)</f>
        <v>39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770</v>
      </c>
      <c r="B87" s="198" t="s">
        <v>2267</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776</v>
      </c>
      <c r="B88" s="198" t="s">
        <v>2268</v>
      </c>
      <c r="C88" s="236"/>
      <c r="D88" s="226"/>
      <c r="E88" s="237" t="s">
        <v>2269</v>
      </c>
      <c r="F88" s="1797"/>
      <c r="G88" s="238" t="s">
        <v>2270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777</v>
      </c>
      <c r="B89" s="198" t="s">
        <v>2258</v>
      </c>
      <c r="C89" s="225">
        <f>ROUND(C88*D89,0)</f>
        <v>0</v>
      </c>
      <c r="D89" s="226">
        <f>'数据-取费表'!B48+'数据-取费表'!B49</f>
        <v>3.0499999999999999E-2</v>
      </c>
      <c r="E89" s="237" t="s">
        <v>2271</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771</v>
      </c>
      <c r="B90" s="198" t="s">
        <v>2272</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2273</v>
      </c>
      <c r="B91" s="198" t="s">
        <v>2274</v>
      </c>
      <c r="C91" s="225">
        <f>IF(H91="——",成本法!C33,I91)</f>
        <v>0</v>
      </c>
      <c r="D91" s="226"/>
      <c r="E91" s="3074" t="s">
        <v>2275</v>
      </c>
      <c r="F91" s="3075"/>
      <c r="G91" s="3075"/>
      <c r="H91" s="2512" t="s">
        <v>2276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2277</v>
      </c>
      <c r="B92" s="198" t="s">
        <v>2278</v>
      </c>
      <c r="C92" s="225">
        <f>ROUND((C87+C90+C91)*D92,0)</f>
        <v>0</v>
      </c>
      <c r="D92" s="226">
        <v>0.1</v>
      </c>
      <c r="E92" s="3074" t="s">
        <v>2279</v>
      </c>
      <c r="F92" s="3075"/>
      <c r="G92" s="3075"/>
      <c r="H92" s="308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2280</v>
      </c>
      <c r="B93" s="198" t="s">
        <v>2261</v>
      </c>
      <c r="C93" s="225">
        <f ca="1">ROUND(D45*D93/(1+'数据-取费表'!C42),0)</f>
        <v>39</v>
      </c>
      <c r="D93" s="226">
        <f>'数据-取费表'!B43</f>
        <v>5.000000000000001E-3</v>
      </c>
      <c r="E93" s="3074" t="s">
        <v>2262</v>
      </c>
      <c r="F93" s="3075"/>
      <c r="G93" s="3075"/>
      <c r="H93" s="308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2281</v>
      </c>
      <c r="B94" s="198" t="s">
        <v>2282</v>
      </c>
      <c r="C94" s="236">
        <f>ROUND((C87+C90+C91)*D94,0)</f>
        <v>0</v>
      </c>
      <c r="D94" s="226">
        <v>0.2</v>
      </c>
      <c r="E94" s="3085" t="s">
        <v>2283</v>
      </c>
      <c r="F94" s="3086"/>
      <c r="G94" s="3086"/>
      <c r="H94" s="308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4" t="s">
        <v>2263</v>
      </c>
      <c r="C95" s="207">
        <f ca="1">ROUND(C85-C86,0)</f>
        <v>7854</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2264</v>
      </c>
      <c r="C96" s="227">
        <f ca="1">IF(C95&lt;=0,0,C95/C86)</f>
        <v>201.38461538461539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9" t="s">
        <v>2265</v>
      </c>
      <c r="C97" s="228">
        <f ca="1">ROUND(IF(C95&lt;=0,0,IF(C96&gt;=200%,C95*60%-C86*35%,IF(C96&gt;=100%,C95*50%-C86*15%,IF(C96&gt;=50%,C95*40%-C86*5%,IF(C96&lt;50%,C95*30%,0))))),0)</f>
        <v>4699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2284</v>
      </c>
      <c r="B99" s="2412"/>
      <c r="C99" s="2412"/>
      <c r="D99" s="2412"/>
      <c r="E99" s="2162"/>
      <c r="F99" s="2162"/>
      <c r="G99" s="2162"/>
      <c r="H99" s="2161"/>
      <c r="I99" s="138"/>
    </row>
    <row r="100" spans="1:35" ht="18.75" customHeight="1">
      <c r="A100" s="3059" t="s">
        <v>2285</v>
      </c>
      <c r="B100" s="3060"/>
      <c r="C100" s="3060"/>
      <c r="D100" s="3076"/>
      <c r="E100" s="3060" t="s">
        <v>2286</v>
      </c>
      <c r="F100" s="3060"/>
      <c r="G100" s="3060"/>
      <c r="H100" s="3076"/>
      <c r="I100" s="138"/>
    </row>
    <row r="101" spans="1:35" ht="18.75" customHeight="1">
      <c r="A101" s="3138" t="s">
        <v>2287</v>
      </c>
      <c r="B101" s="3139"/>
      <c r="C101" s="736" t="str">
        <f>C4</f>
        <v>成本法</v>
      </c>
      <c r="D101" s="737" t="str">
        <f>D4</f>
        <v>收益法（汇总）</v>
      </c>
      <c r="E101" s="3152" t="s">
        <v>2288</v>
      </c>
      <c r="F101" s="3106"/>
      <c r="G101" s="2514" t="s">
        <v>2289</v>
      </c>
      <c r="H101" s="1045">
        <f ca="1">H118</f>
        <v>8288</v>
      </c>
      <c r="I101" s="138"/>
    </row>
    <row r="102" spans="1:35" ht="18.75" customHeight="1">
      <c r="A102" s="3108" t="s">
        <v>2290</v>
      </c>
      <c r="B102" s="2514" t="s">
        <v>2289</v>
      </c>
      <c r="C102" s="736">
        <f ca="1">C19</f>
        <v>7749</v>
      </c>
      <c r="D102" s="737">
        <f ca="1">D19</f>
        <v>8826</v>
      </c>
      <c r="E102" s="3152"/>
      <c r="F102" s="3106"/>
      <c r="G102" s="2514" t="s">
        <v>2291</v>
      </c>
      <c r="H102" s="371">
        <f ca="1">I118</f>
        <v>5196</v>
      </c>
      <c r="I102" s="138"/>
    </row>
    <row r="103" spans="1:35" ht="42.75" customHeight="1">
      <c r="A103" s="3108"/>
      <c r="B103" s="2514" t="s">
        <v>2291</v>
      </c>
      <c r="C103" s="738">
        <f ca="1">C20</f>
        <v>4858</v>
      </c>
      <c r="D103" s="739">
        <f ca="1">D20</f>
        <v>5533</v>
      </c>
      <c r="E103" s="3147" t="s">
        <v>2292</v>
      </c>
      <c r="F103" s="3148"/>
      <c r="G103" s="2515" t="s">
        <v>2293</v>
      </c>
      <c r="H103" s="1045">
        <f>IF(D36="正常操作",H104+H105+H106,H105+H106)</f>
        <v>0</v>
      </c>
      <c r="I103" s="138"/>
    </row>
    <row r="104" spans="1:35" ht="18.75" customHeight="1">
      <c r="A104" s="3108" t="s">
        <v>2294</v>
      </c>
      <c r="B104" s="2516" t="s">
        <v>2289</v>
      </c>
      <c r="C104" s="740">
        <f ca="1">H118</f>
        <v>8288</v>
      </c>
      <c r="D104" s="741"/>
      <c r="E104" s="2263" t="s">
        <v>2295</v>
      </c>
      <c r="F104" s="2254"/>
      <c r="G104" s="2515" t="s">
        <v>2293</v>
      </c>
      <c r="H104" s="1046">
        <f>IF(D36="同一抵押权人同一抵押物续贷",C36&amp;"（未扣减，详见特别提示）",C36)</f>
        <v>0</v>
      </c>
      <c r="I104" s="138"/>
    </row>
    <row r="105" spans="1:35" ht="18.75" customHeight="1" thickBot="1">
      <c r="A105" s="3109"/>
      <c r="B105" s="2517" t="s">
        <v>2291</v>
      </c>
      <c r="C105" s="742">
        <f ca="1">I118</f>
        <v>5196</v>
      </c>
      <c r="D105" s="743"/>
      <c r="E105" s="2263" t="s">
        <v>2296</v>
      </c>
      <c r="F105" s="2254"/>
      <c r="G105" s="2515" t="s">
        <v>2293</v>
      </c>
      <c r="H105" s="1046">
        <f>C37</f>
        <v>0</v>
      </c>
      <c r="I105" s="138"/>
    </row>
    <row r="106" spans="1:35" ht="18.75" customHeight="1">
      <c r="A106" s="2412" t="s">
        <v>2297</v>
      </c>
      <c r="B106" s="2412"/>
      <c r="C106" s="2412"/>
      <c r="D106" s="2412"/>
      <c r="E106" s="2518" t="s">
        <v>2298</v>
      </c>
      <c r="F106" s="2254"/>
      <c r="G106" s="2515" t="s">
        <v>2293</v>
      </c>
      <c r="H106" s="1046">
        <f>C38</f>
        <v>0</v>
      </c>
      <c r="I106" s="138"/>
    </row>
    <row r="107" spans="1:35" ht="18.75" customHeight="1">
      <c r="A107" s="138"/>
      <c r="B107" s="138"/>
      <c r="C107" s="138"/>
      <c r="D107" s="138"/>
      <c r="E107" s="3105" t="str">
        <f>IF(项目基本情况!E8="已注销","——","3.房地产抵押价值")</f>
        <v>3.房地产抵押价值</v>
      </c>
      <c r="F107" s="3106"/>
      <c r="G107" s="2514" t="s">
        <v>2289</v>
      </c>
      <c r="H107" s="1045">
        <f ca="1">IF(E107="——","——",H101-H103)</f>
        <v>8288</v>
      </c>
      <c r="I107" s="138"/>
    </row>
    <row r="108" spans="1:35" ht="18.75" customHeight="1">
      <c r="A108" s="138"/>
      <c r="B108" s="138"/>
      <c r="C108" s="138"/>
      <c r="D108" s="138"/>
      <c r="E108" s="3105"/>
      <c r="F108" s="3106"/>
      <c r="G108" s="2514" t="s">
        <v>2291</v>
      </c>
      <c r="H108" s="371">
        <f ca="1">ROUND(H107*10000/'数据-汇总表'!E3,0)</f>
        <v>5196</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4" t="s">
        <v>2289</v>
      </c>
      <c r="H109" s="348" t="str">
        <f>IF(E109="——","——",H101-H105-H106)</f>
        <v>——</v>
      </c>
      <c r="I109" s="138"/>
    </row>
    <row r="110" spans="1:35" ht="18.75" customHeight="1">
      <c r="A110" s="138"/>
      <c r="B110" s="138"/>
      <c r="C110" s="138"/>
      <c r="D110" s="138"/>
      <c r="E110" s="3105"/>
      <c r="F110" s="3106"/>
      <c r="G110" s="2514" t="s">
        <v>2291</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4" t="s">
        <v>2289</v>
      </c>
      <c r="H111" s="1045" t="str">
        <f>IF(E111="——","——",N59)</f>
        <v>——</v>
      </c>
      <c r="I111" s="138"/>
    </row>
    <row r="112" spans="1:35" ht="18.75" customHeight="1" thickBot="1">
      <c r="A112" s="138"/>
      <c r="B112" s="138"/>
      <c r="C112" s="138"/>
      <c r="D112" s="138"/>
      <c r="E112" s="3142"/>
      <c r="F112" s="3143"/>
      <c r="G112" s="2519" t="s">
        <v>2291</v>
      </c>
      <c r="H112" s="790" t="str">
        <f>IF(E111="——","——",N61)</f>
        <v>——</v>
      </c>
      <c r="I112" s="138"/>
    </row>
    <row r="113" spans="1:11" ht="18.75" customHeight="1">
      <c r="A113" s="138"/>
      <c r="B113" s="138"/>
      <c r="C113" s="138"/>
      <c r="D113" s="138"/>
      <c r="E113" s="3110" t="s">
        <v>2297</v>
      </c>
      <c r="F113" s="3110"/>
      <c r="G113" s="3110"/>
      <c r="H113" s="3110"/>
      <c r="I113" s="138"/>
    </row>
    <row r="114" spans="1:11" ht="3.75" customHeight="1">
      <c r="A114" s="2412"/>
      <c r="B114" s="2412"/>
      <c r="C114" s="2412"/>
      <c r="D114" s="2412"/>
      <c r="E114" s="2490"/>
      <c r="F114" s="2490"/>
      <c r="G114" s="2490"/>
      <c r="H114" s="2490"/>
      <c r="I114" s="2412"/>
    </row>
    <row r="115" spans="1:11" ht="18.75" customHeight="1">
      <c r="A115" s="3123" t="s">
        <v>2299</v>
      </c>
      <c r="B115" s="3124"/>
      <c r="C115" s="3124"/>
      <c r="D115" s="3124"/>
      <c r="E115" s="3124"/>
      <c r="F115" s="3124"/>
      <c r="G115" s="3124"/>
      <c r="H115" s="3124"/>
      <c r="I115" s="3125"/>
    </row>
    <row r="116" spans="1:11" ht="27" customHeight="1">
      <c r="A116" s="3016" t="s">
        <v>2300</v>
      </c>
      <c r="B116" s="3111" t="s">
        <v>2301</v>
      </c>
      <c r="C116" s="3111" t="s">
        <v>2302</v>
      </c>
      <c r="D116" s="3127" t="s">
        <v>2303</v>
      </c>
      <c r="E116" s="3128"/>
      <c r="F116" s="3119" t="s">
        <v>2304</v>
      </c>
      <c r="G116" s="3119"/>
      <c r="H116" s="3016" t="s">
        <v>2305</v>
      </c>
      <c r="I116" s="3016"/>
    </row>
    <row r="117" spans="1:11" ht="18.75" customHeight="1">
      <c r="A117" s="3016"/>
      <c r="B117" s="3112"/>
      <c r="C117" s="3112"/>
      <c r="D117" s="1795" t="s">
        <v>2306</v>
      </c>
      <c r="E117" s="1795" t="s">
        <v>2307</v>
      </c>
      <c r="F117" s="1795" t="s">
        <v>2306</v>
      </c>
      <c r="G117" s="1795" t="s">
        <v>2308</v>
      </c>
      <c r="H117" s="1795" t="s">
        <v>2306</v>
      </c>
      <c r="I117" s="1795" t="s">
        <v>2308</v>
      </c>
    </row>
    <row r="118" spans="1:11" ht="24.75" customHeight="1">
      <c r="A118" s="2520" t="str">
        <f>项目基本情况!S2</f>
        <v>北京市怀柔区雁栖经济开发区雁栖路2号1幢等3幢房地产</v>
      </c>
      <c r="B118" s="1795">
        <f>M18</f>
        <v>15950.36</v>
      </c>
      <c r="C118" s="1795">
        <f>M19</f>
        <v>24215.7</v>
      </c>
      <c r="D118" s="1795">
        <f ca="1">ROUND(IF(D32="总价",C34,E118*B118/10000),0)</f>
        <v>3929</v>
      </c>
      <c r="E118" s="1795">
        <f ca="1">ROUND(IF(C33="自定义",IF(D32="楼面单价",C34,D118*10000/B118),I118-G118),0)</f>
        <v>2463</v>
      </c>
      <c r="F118" s="1795">
        <f ca="1">ROUND(IF(D32="总价",C35,G118*B118/10000),0)</f>
        <v>4359</v>
      </c>
      <c r="G118" s="1795">
        <f ca="1">ROUND(IF(D32="楼面单价",C35,F118*10000/B118),0)</f>
        <v>2733</v>
      </c>
      <c r="H118" s="1795">
        <f ca="1">ROUND(IF(D32="总价",C32,I118*B118/10000),0)</f>
        <v>8288</v>
      </c>
      <c r="I118" s="1795">
        <f ca="1">ROUND(IF(D32="楼面单价",C32,H118*10000/B118),0)</f>
        <v>5196</v>
      </c>
    </row>
    <row r="119" spans="1:11" ht="18.75" customHeight="1">
      <c r="A119" s="3016" t="s">
        <v>2309</v>
      </c>
      <c r="B119" s="3016"/>
      <c r="C119" s="3016"/>
      <c r="D119" s="3116" t="str">
        <f ca="1">NUMBERSTRING(INT(D118*10000),2)&amp;"元整"</f>
        <v>叁仟玖佰贰拾玖万元整</v>
      </c>
      <c r="E119" s="3118"/>
      <c r="F119" s="3116" t="str">
        <f ca="1">NUMBERSTRING(INT(F118*10000),2)&amp;"元整"</f>
        <v>肆仟叁佰伍拾玖万元整</v>
      </c>
      <c r="G119" s="3118"/>
      <c r="H119" s="3116" t="str">
        <f ca="1">NUMBERSTRING(INT(H118*10000),2)&amp;"元整"</f>
        <v>捌仟贰佰捌拾捌万元整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17" t="str">
        <f>IF(D120=0,"故，本次评估不存在"&amp;A120,"故，本次评估"&amp;A120&amp;"为人民币"&amp;D120&amp;"万元整。")</f>
        <v>故，本次评估不存在估价师知悉的法定优先受偿款</v>
      </c>
    </row>
    <row r="121" spans="1:11" ht="18.75" customHeight="1">
      <c r="A121" s="3120" t="s">
        <v>2309</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8288</v>
      </c>
      <c r="E122" s="3145"/>
      <c r="F122" s="3145"/>
      <c r="G122" s="3145"/>
      <c r="H122" s="3145"/>
      <c r="I122" s="3146"/>
    </row>
    <row r="123" spans="1:11" ht="18.75" customHeight="1">
      <c r="A123" s="3016" t="s">
        <v>2309</v>
      </c>
      <c r="B123" s="3016"/>
      <c r="C123" s="3016"/>
      <c r="D123" s="3116" t="str">
        <f ca="1">NUMBERSTRING(INT(D122*10000),2)&amp;"元整"</f>
        <v>捌仟贰佰捌拾捌万元整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2309</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2309</v>
      </c>
      <c r="B127" s="3016"/>
      <c r="C127" s="3016"/>
      <c r="D127" s="3116" t="e">
        <f>NUMBERSTRING(INT(D126*10000),2)&amp;"元整"</f>
        <v>#VALUE!</v>
      </c>
      <c r="E127" s="3117"/>
      <c r="F127" s="3117"/>
      <c r="G127" s="3117"/>
      <c r="H127" s="3117"/>
      <c r="I127" s="3118"/>
    </row>
    <row r="128" spans="1:11" ht="21.75" customHeight="1">
      <c r="A128" s="3126" t="s">
        <v>2310</v>
      </c>
      <c r="B128" s="3126"/>
      <c r="C128" s="3126"/>
      <c r="D128" s="3126"/>
      <c r="E128" s="3126"/>
      <c r="F128" s="3126"/>
      <c r="G128" s="3126"/>
      <c r="H128" s="3126"/>
      <c r="I128" s="3126"/>
    </row>
    <row r="129" spans="1:35" ht="21.75" customHeight="1">
      <c r="A129" s="2521" t="s">
        <v>2311</v>
      </c>
      <c r="B129" s="2522"/>
      <c r="C129" s="2523" t="s">
        <v>2312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2313</v>
      </c>
      <c r="G135" s="2538"/>
      <c r="H135" s="2538"/>
      <c r="I135" s="2539" t="s">
        <v>2314</v>
      </c>
    </row>
    <row r="136" spans="1:35" ht="21.75" customHeight="1">
      <c r="A136" s="795"/>
      <c r="B136" s="2540"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2316</v>
      </c>
    </row>
    <row r="139" spans="1:35" ht="21.75" customHeight="1">
      <c r="A139" s="795"/>
      <c r="B139" s="2540" t="s">
        <v>2317</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2316</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opLeftCell="A19" workbookViewId="0">
      <selection activeCell="H54" sqref="H5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2318</v>
      </c>
      <c r="B1" s="1936"/>
      <c r="C1" s="242"/>
      <c r="D1" s="242"/>
      <c r="E1" s="242"/>
      <c r="F1" s="242"/>
      <c r="G1" s="1379">
        <f>MATCH(B1,'数据-取费表'!A6:A16,0)+5</f>
        <v>8</v>
      </c>
    </row>
    <row r="2" spans="1:9" s="244" customFormat="1" ht="18" customHeight="1">
      <c r="A2" s="245" t="s">
        <v>2319</v>
      </c>
      <c r="B2" s="246">
        <f ca="1">IF(D2="——",C52,C52-E2)</f>
        <v>7749</v>
      </c>
      <c r="C2" s="243" t="s">
        <v>2320</v>
      </c>
      <c r="D2" s="2543" t="s">
        <v>70</v>
      </c>
      <c r="E2" s="1440" t="e">
        <f ca="1">SUMIF(INDIRECT("'"&amp;G2&amp;"'"&amp;"!A:A"),"承租人权益价值",INDIRECT("'"&amp;G2&amp;"'"&amp;"!c:c"))</f>
        <v>#REF!</v>
      </c>
      <c r="F2" s="2544" t="s">
        <v>2320</v>
      </c>
      <c r="G2" s="2545"/>
    </row>
    <row r="3" spans="1:9" s="244" customFormat="1" ht="18" customHeight="1" thickBot="1">
      <c r="A3" s="247" t="s">
        <v>2321</v>
      </c>
      <c r="B3" s="248">
        <f ca="1">ROUND(B2*10000/(IF(B1="",'数据-汇总表'!E3,INDIRECT("'数据-取费表'!k"&amp;$G$1))),0)</f>
        <v>4858</v>
      </c>
      <c r="C3" s="243" t="s">
        <v>2322</v>
      </c>
      <c r="D3" s="243"/>
      <c r="E3" s="243"/>
      <c r="F3" s="243"/>
      <c r="G3" s="243"/>
    </row>
    <row r="4" spans="1:9" s="252" customFormat="1" ht="16.2">
      <c r="A4" s="249" t="s">
        <v>2323</v>
      </c>
      <c r="B4" s="250"/>
      <c r="C4" s="250"/>
      <c r="D4" s="250"/>
      <c r="E4" s="250"/>
      <c r="F4" s="250"/>
      <c r="G4" s="251"/>
    </row>
    <row r="5" spans="1:9" s="258" customFormat="1" ht="13.5" customHeight="1">
      <c r="A5" s="299" t="s">
        <v>2324</v>
      </c>
      <c r="B5" s="254" t="s">
        <v>2325</v>
      </c>
      <c r="C5" s="255">
        <f ca="1">C6+C7+C8</f>
        <v>2915</v>
      </c>
      <c r="D5" s="255" t="s">
        <v>2326</v>
      </c>
      <c r="E5" s="256" t="s">
        <v>2327</v>
      </c>
      <c r="F5" s="256" t="s">
        <v>2328</v>
      </c>
      <c r="G5" s="257"/>
    </row>
    <row r="6" spans="1:9" s="258" customFormat="1" ht="13.5" customHeight="1">
      <c r="A6" s="949" t="s">
        <v>2329</v>
      </c>
      <c r="B6" s="259" t="s">
        <v>2330</v>
      </c>
      <c r="C6" s="260">
        <f ca="1">基准地价修正!B2</f>
        <v>2643</v>
      </c>
      <c r="D6" s="261"/>
      <c r="E6" s="262"/>
      <c r="F6" s="262"/>
      <c r="G6" s="263"/>
    </row>
    <row r="7" spans="1:9" s="258" customFormat="1" ht="13.5" customHeight="1">
      <c r="A7" s="949" t="s">
        <v>2331</v>
      </c>
      <c r="B7" s="259" t="s">
        <v>2332</v>
      </c>
      <c r="C7" s="264">
        <f ca="1">ROUND(C6*F7,0)</f>
        <v>81</v>
      </c>
      <c r="D7" s="264"/>
      <c r="E7" s="262"/>
      <c r="F7" s="265">
        <f>IF(项目基本情况!B8="出让",0,'数据-取费表'!B48+'数据-取费表'!B49)</f>
        <v>3.0499999999999999E-2</v>
      </c>
      <c r="G7" s="263"/>
    </row>
    <row r="8" spans="1:9" s="267" customFormat="1">
      <c r="A8" s="949" t="s">
        <v>2333</v>
      </c>
      <c r="B8" s="259" t="s">
        <v>2334</v>
      </c>
      <c r="C8" s="264">
        <f ca="1">IF(G8="已包含在土地购买价格中","0",IF(B1="",'数据-取费表'!B29,IF(G9="全部缴纳",C9+C10,H9)))</f>
        <v>191</v>
      </c>
      <c r="D8" s="266"/>
      <c r="E8" s="264"/>
      <c r="F8" s="265"/>
      <c r="G8" s="2546" t="s">
        <v>3092</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80</v>
      </c>
      <c r="F9" s="265"/>
      <c r="G9" s="2547" t="s">
        <v>3093</v>
      </c>
      <c r="H9" s="1390"/>
      <c r="I9" s="2548" t="s">
        <v>2336</v>
      </c>
    </row>
    <row r="10" spans="1:9" s="258" customFormat="1" ht="13.5" customHeight="1">
      <c r="A10" s="950" t="s">
        <v>801</v>
      </c>
      <c r="B10" s="268" t="s">
        <v>2337</v>
      </c>
      <c r="C10" s="269">
        <f ca="1">ROUND(D10*E10/10000,0)</f>
        <v>191</v>
      </c>
      <c r="D10" s="1032">
        <f ca="1">IF(B1="",'数据-汇总表'!E6,IF(INDIRECT("'数据-取费表'!c"&amp;$G$1)="住宅",INDIRECT("'数据-取费表'!s"&amp;$G$1),INDIRECT("'数据-取费表'!k"&amp;$G$1)+INDIRECT("'数据-取费表'!s"&amp;$G$1)))</f>
        <v>15950.36</v>
      </c>
      <c r="E10" s="269">
        <f>'数据-取费表'!B28</f>
        <v>120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15950.36</v>
      </c>
      <c r="E19" s="255">
        <f>'数据-取费表'!B31</f>
        <v>200</v>
      </c>
      <c r="F19" s="275"/>
      <c r="G19" s="2546" t="s">
        <v>3094</v>
      </c>
    </row>
    <row r="20" spans="1:7" s="258" customFormat="1" ht="13.5" customHeight="1">
      <c r="A20" s="299" t="s">
        <v>2350</v>
      </c>
      <c r="B20" s="254" t="s">
        <v>2351</v>
      </c>
      <c r="C20" s="276">
        <f ca="1">ROUND((C5+C19)*F20,0)</f>
        <v>58</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128</v>
      </c>
      <c r="D22" s="279">
        <f ca="1">C26</f>
        <v>4.0000000000000002E-4</v>
      </c>
      <c r="E22" s="280" t="s">
        <v>2355</v>
      </c>
      <c r="F22" s="281">
        <f ca="1">'数据-取费表'!B40</f>
        <v>4.3499999999999997E-2</v>
      </c>
      <c r="G22" s="278" t="str">
        <f>IF('数据-取费表'!B22&lt;=1,"单利计息","复利计息")</f>
        <v>单利计息</v>
      </c>
    </row>
    <row r="23" spans="1:7" s="258" customFormat="1" ht="13.5" customHeight="1">
      <c r="A23" s="951" t="s">
        <v>2359</v>
      </c>
      <c r="B23" s="259" t="s">
        <v>2360</v>
      </c>
      <c r="C23" s="1355">
        <f ca="1">ROUND(IF('数据-取费表'!B22&lt;=1,C5*F22*'数据-取费表'!B23,C5*(POWER((1+F22),'数据-取费表'!B23)-1)),0)</f>
        <v>127</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1</v>
      </c>
      <c r="D25" s="282"/>
      <c r="E25" s="285"/>
      <c r="F25" s="283"/>
      <c r="G25" s="286" t="s">
        <v>2367</v>
      </c>
    </row>
    <row r="26" spans="1:7" s="258" customFormat="1">
      <c r="A26" s="951" t="s">
        <v>795</v>
      </c>
      <c r="B26" s="259" t="s">
        <v>2368</v>
      </c>
      <c r="C26" s="282">
        <f ca="1">ROUND(IF('数据-取费表'!B22&lt;=1,F21*F22*'数据-取费表'!B23/2,F21*(POWER((1+F22),'数据-取费表'!B23/2)-1)),4)</f>
        <v>4.0000000000000002E-4</v>
      </c>
      <c r="D26" s="282"/>
      <c r="E26" s="285"/>
      <c r="F26" s="283"/>
      <c r="G26" s="287"/>
    </row>
    <row r="27" spans="1:7" s="258" customFormat="1" ht="26.4">
      <c r="A27" s="299" t="s">
        <v>2369</v>
      </c>
      <c r="B27" s="288" t="s">
        <v>2370</v>
      </c>
      <c r="C27" s="289">
        <f ca="1">C28</f>
        <v>297</v>
      </c>
      <c r="D27" s="279">
        <f ca="1">C29</f>
        <v>2E-3</v>
      </c>
      <c r="E27" s="280" t="s">
        <v>2371</v>
      </c>
      <c r="F27" s="290">
        <f ca="1">IF(B1="",'数据-取费表'!Q16,INDIRECT("'数据-取费表'!q"&amp;$G$1))</f>
        <v>0.1</v>
      </c>
      <c r="G27" s="291" t="s">
        <v>2372</v>
      </c>
    </row>
    <row r="28" spans="1:7" s="258" customFormat="1" ht="13.5" customHeight="1">
      <c r="A28" s="951" t="s">
        <v>791</v>
      </c>
      <c r="B28" s="292" t="s">
        <v>2373</v>
      </c>
      <c r="C28" s="293">
        <f ca="1">ROUND((C5+C19+C20)*F27*'数据-取费表'!B21/'数据-取费表'!B20,0)</f>
        <v>297</v>
      </c>
      <c r="D28" s="279"/>
      <c r="E28" s="280"/>
      <c r="F28" s="290"/>
      <c r="G28" s="291"/>
    </row>
    <row r="29" spans="1:7" s="258" customFormat="1" ht="13.5" customHeight="1">
      <c r="A29" s="951" t="s">
        <v>792</v>
      </c>
      <c r="B29" s="292" t="s">
        <v>2374</v>
      </c>
      <c r="C29" s="282">
        <f ca="1">ROUND(C21*F27*'数据-取费表'!B21/'数据-取费表'!B20,4)</f>
        <v>2E-3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3673</v>
      </c>
      <c r="D31" s="274"/>
      <c r="E31" s="255"/>
      <c r="F31" s="294"/>
      <c r="G31" s="278" t="s">
        <v>2379</v>
      </c>
    </row>
    <row r="32" spans="1:7" s="252" customFormat="1" ht="16.2">
      <c r="A32" s="296" t="s">
        <v>2380</v>
      </c>
      <c r="B32" s="297"/>
      <c r="C32" s="297"/>
      <c r="D32" s="297"/>
      <c r="E32" s="297"/>
      <c r="F32" s="297"/>
      <c r="G32" s="298"/>
    </row>
    <row r="33" spans="1:7" s="258" customFormat="1" ht="13.5" customHeight="1">
      <c r="A33" s="299" t="s">
        <v>782</v>
      </c>
      <c r="B33" s="254" t="s">
        <v>2381</v>
      </c>
      <c r="C33" s="300">
        <f ca="1">SUM(C34:C38)</f>
        <v>4210</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3723</v>
      </c>
      <c r="D34" s="261"/>
      <c r="E34" s="264"/>
      <c r="F34" s="301">
        <f ca="1">IF('数据-取费表'!B24=0,1,IF(B1="",'数据-取费表'!N16,INDIRECT("'数据-取费表'!n"&amp;$G$1)))</f>
        <v>1</v>
      </c>
      <c r="G34" s="263" t="s">
        <v>2383</v>
      </c>
    </row>
    <row r="35" spans="1:7" ht="13.5" customHeight="1">
      <c r="A35" s="951" t="s">
        <v>796</v>
      </c>
      <c r="B35" s="259" t="s">
        <v>2384</v>
      </c>
      <c r="C35" s="264">
        <f ca="1">ROUND(C34*F35,0)</f>
        <v>112</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319</v>
      </c>
      <c r="D37" s="261">
        <f ca="1">D19</f>
        <v>15950.36</v>
      </c>
      <c r="E37" s="293">
        <f>'数据-取费表'!B35</f>
        <v>200</v>
      </c>
      <c r="F37" s="303"/>
      <c r="G37" s="305" t="s">
        <v>2389</v>
      </c>
    </row>
    <row r="38" spans="1:7" ht="13.5" customHeight="1">
      <c r="A38" s="951" t="s">
        <v>799</v>
      </c>
      <c r="B38" s="259" t="s">
        <v>2390</v>
      </c>
      <c r="C38" s="264">
        <f ca="1">ROUND(C34*F38,0)</f>
        <v>56</v>
      </c>
      <c r="D38" s="264"/>
      <c r="E38" s="264"/>
      <c r="F38" s="303">
        <f>'数据-取费表'!B36</f>
        <v>1.4999999999999999E-2</v>
      </c>
      <c r="G38" s="263" t="s">
        <v>2385</v>
      </c>
    </row>
    <row r="39" spans="1:7" s="258" customFormat="1" ht="13.5" customHeight="1">
      <c r="A39" s="299" t="s">
        <v>2391</v>
      </c>
      <c r="B39" s="254" t="s">
        <v>2392</v>
      </c>
      <c r="C39" s="276">
        <f ca="1">ROUND(C33*F20,0)</f>
        <v>84</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94</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ROUND(IF('数据-取费表'!B22&lt;=1,C33*F22*'数据-取费表'!B21/2,C33*(POWER((1+F22),'数据-取费表'!B21/2)-1)),0)</f>
        <v>92</v>
      </c>
      <c r="D42" s="282"/>
      <c r="E42" s="282"/>
      <c r="F42" s="283"/>
      <c r="G42" s="3158" t="s">
        <v>2401</v>
      </c>
    </row>
    <row r="43" spans="1:7" ht="13.5" customHeight="1">
      <c r="A43" s="951" t="s">
        <v>792</v>
      </c>
      <c r="B43" s="259" t="s">
        <v>2402</v>
      </c>
      <c r="C43" s="282">
        <f ca="1">ROUND(IF('数据-取费表'!B22&lt;=1,C39*F22*'数据-取费表'!B21/2,C39*(POWER((1+F22),'数据-取费表'!B21/2)-1)),0)</f>
        <v>2</v>
      </c>
      <c r="D43" s="282"/>
      <c r="E43" s="282"/>
      <c r="F43" s="283"/>
      <c r="G43" s="3159"/>
    </row>
    <row r="44" spans="1:7" ht="13.5" customHeight="1">
      <c r="A44" s="951" t="s">
        <v>793</v>
      </c>
      <c r="B44" s="259" t="s">
        <v>2403</v>
      </c>
      <c r="C44" s="282">
        <f ca="1">ROUND(IF('数据-取费表'!B22&lt;=1,C40*F22*'数据-取费表'!B21/2,C40*(POWER((1+F22),'数据-取费表'!B21/2)-1)),4)</f>
        <v>4.0000000000000002E-4</v>
      </c>
      <c r="D44" s="282"/>
      <c r="E44" s="282"/>
      <c r="F44" s="283"/>
      <c r="G44" s="3160"/>
    </row>
    <row r="45" spans="1:7" s="258" customFormat="1" ht="13.5" customHeight="1">
      <c r="A45" s="299" t="s">
        <v>2404</v>
      </c>
      <c r="B45" s="288" t="s">
        <v>2370</v>
      </c>
      <c r="C45" s="289">
        <f ca="1">C46</f>
        <v>429</v>
      </c>
      <c r="D45" s="279">
        <f ca="1">C47</f>
        <v>2E-3</v>
      </c>
      <c r="E45" s="280" t="s">
        <v>2396</v>
      </c>
      <c r="F45" s="290"/>
      <c r="G45" s="291" t="s">
        <v>2405</v>
      </c>
    </row>
    <row r="46" spans="1:7" s="258" customFormat="1" ht="13.5" customHeight="1">
      <c r="A46" s="951" t="s">
        <v>791</v>
      </c>
      <c r="B46" s="292" t="s">
        <v>2406</v>
      </c>
      <c r="C46" s="293">
        <f ca="1">ROUND((C33+C39)*F27,0)</f>
        <v>429</v>
      </c>
      <c r="D46" s="307"/>
      <c r="E46" s="280"/>
      <c r="F46" s="290"/>
      <c r="G46" s="291"/>
    </row>
    <row r="47" spans="1:7" s="258" customFormat="1" ht="13.5" customHeight="1">
      <c r="A47" s="951" t="s">
        <v>792</v>
      </c>
      <c r="B47" s="292" t="s">
        <v>2407</v>
      </c>
      <c r="C47" s="282">
        <f ca="1">ROUND(C40*F27,4)</f>
        <v>2E-3</v>
      </c>
      <c r="D47" s="307"/>
      <c r="E47" s="280"/>
      <c r="F47" s="290"/>
      <c r="G47" s="291"/>
    </row>
    <row r="48" spans="1:7" s="258" customFormat="1" ht="13.5" customHeight="1">
      <c r="A48" s="299" t="s">
        <v>2369</v>
      </c>
      <c r="B48" s="254" t="s">
        <v>2408</v>
      </c>
      <c r="C48" s="1728">
        <f>ROUND(F30/(1+'数据-取费表'!C42),4)</f>
        <v>5.2400000000000002E-2</v>
      </c>
      <c r="D48" s="280" t="s">
        <v>2396</v>
      </c>
      <c r="E48" s="276"/>
      <c r="F48" s="281"/>
      <c r="G48" s="278" t="s">
        <v>2409</v>
      </c>
    </row>
    <row r="49" spans="1:7" ht="16.5" customHeight="1">
      <c r="A49" s="299" t="s">
        <v>2375</v>
      </c>
      <c r="B49" s="254" t="s">
        <v>2410</v>
      </c>
      <c r="C49" s="276">
        <f ca="1">ROUND((C33+C39+C41+C45)/(1-C40-D41-D45-C48),0)</f>
        <v>5206</v>
      </c>
      <c r="D49" s="276"/>
      <c r="E49" s="276"/>
      <c r="F49" s="308"/>
      <c r="G49" s="278" t="s">
        <v>2411</v>
      </c>
    </row>
    <row r="50" spans="1:7" s="302" customFormat="1" ht="24">
      <c r="A50" s="299" t="s">
        <v>2412</v>
      </c>
      <c r="B50" s="254" t="s">
        <v>2413</v>
      </c>
      <c r="C50" s="276"/>
      <c r="D50" s="276"/>
      <c r="E50" s="276"/>
      <c r="F50" s="308">
        <f>IF('数据-取费表'!B24=0,'数据-取费表'!N16,1)</f>
        <v>0.78300000000000003</v>
      </c>
      <c r="G50" s="291" t="s">
        <v>2414</v>
      </c>
    </row>
    <row r="51" spans="1:7" ht="16.5" customHeight="1">
      <c r="A51" s="299" t="s">
        <v>2415</v>
      </c>
      <c r="B51" s="254" t="s">
        <v>2416</v>
      </c>
      <c r="C51" s="276">
        <f ca="1">ROUND(C49*F50,0)</f>
        <v>4076</v>
      </c>
      <c r="D51" s="276"/>
      <c r="E51" s="276"/>
      <c r="F51" s="308"/>
      <c r="G51" s="278" t="s">
        <v>2417</v>
      </c>
    </row>
    <row r="52" spans="1:7" s="252" customFormat="1" ht="16.8" thickBot="1">
      <c r="A52" s="309" t="s">
        <v>2418</v>
      </c>
      <c r="B52" s="310"/>
      <c r="C52" s="311">
        <f ca="1">C31+C51</f>
        <v>7749</v>
      </c>
      <c r="D52" s="310"/>
      <c r="E52" s="310"/>
      <c r="F52" s="310"/>
      <c r="G52" s="312"/>
    </row>
    <row r="55" spans="1:7" ht="15">
      <c r="B55" s="314" t="s">
        <v>2419</v>
      </c>
      <c r="C55" s="315"/>
    </row>
    <row r="56" spans="1:7">
      <c r="B56" s="317" t="s">
        <v>1507</v>
      </c>
      <c r="C56" s="319">
        <f ca="1">1-C57</f>
        <v>0.47399999999999998</v>
      </c>
    </row>
    <row r="57" spans="1:7">
      <c r="B57" s="317" t="s">
        <v>1508</v>
      </c>
      <c r="C57" s="318">
        <f ca="1">ROUND(C51/C52,3)</f>
        <v>0.52600000000000002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2" t="str">
        <f>项目基本情况!B1</f>
        <v>北京市怀柔区雁栖经济开发区雁栖路2号1幢等3幢房地产抵押价值预评估</v>
      </c>
      <c r="C37" s="2972"/>
      <c r="D37" s="2972"/>
      <c r="E37" s="2972"/>
      <c r="F37" s="2972"/>
      <c r="G37" s="2972"/>
      <c r="H37" s="2972"/>
      <c r="I37" s="2972"/>
    </row>
    <row r="38" spans="1:9">
      <c r="A38" s="1016"/>
      <c r="B38" s="1016"/>
    </row>
    <row r="39" spans="1:9">
      <c r="A39" s="1014" t="s">
        <v>818</v>
      </c>
      <c r="B39" s="1014" t="s">
        <v>820</v>
      </c>
    </row>
    <row r="40" spans="1:9">
      <c r="A40" s="1014"/>
      <c r="B40" s="1941" t="str">
        <f>项目基本情况!B5</f>
        <v>北京科华国际幕墙工程有限公司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 2020-1-0137-F01DYGJ2号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B6" sqref="B6:C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36"/>
      <c r="C1" s="2549" t="s">
        <v>2420</v>
      </c>
      <c r="D1" s="242"/>
      <c r="E1" s="242"/>
      <c r="F1" s="242"/>
      <c r="G1" s="1379">
        <f>MATCH(B1,'数据-取费表'!A6:A16,0)+5</f>
        <v>8</v>
      </c>
      <c r="H1" s="1282" t="str">
        <f>IF(ISERROR(FIND("住宅",B1)),"非住宅","住宅")</f>
        <v>非住宅</v>
      </c>
    </row>
    <row r="2" spans="1:8" s="244" customFormat="1" ht="18" customHeight="1">
      <c r="A2" s="245" t="s">
        <v>2319</v>
      </c>
      <c r="B2" s="246">
        <f ca="1">ROUND(IF(D2="——",C52/10000,C52/10000-E2),0)</f>
        <v>4720</v>
      </c>
      <c r="C2" s="243" t="s">
        <v>2320</v>
      </c>
      <c r="D2" s="2543" t="s">
        <v>70</v>
      </c>
      <c r="E2" s="1440" t="e">
        <f ca="1">SUMIF(INDIRECT("'"&amp;G2&amp;"'"&amp;"!A:A"),"承租人权益价值",INDIRECT("'"&amp;G2&amp;"'"&amp;"!c:c"))</f>
        <v>#REF!</v>
      </c>
      <c r="F2" s="2544" t="s">
        <v>2320</v>
      </c>
      <c r="G2" s="2545"/>
    </row>
    <row r="3" spans="1:8" s="244" customFormat="1" ht="18" customHeight="1" thickBot="1">
      <c r="A3" s="247" t="s">
        <v>2321</v>
      </c>
      <c r="B3" s="248">
        <f ca="1">ROUND(B2*10000/(IF(B1="",'数据-汇总表'!E3,INDIRECT("'数据-取费表'!k"&amp;$G$1))),0)</f>
        <v>2959</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1914043</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1914043</v>
      </c>
      <c r="D8" s="266"/>
      <c r="E8" s="264"/>
      <c r="F8" s="265"/>
      <c r="G8" s="2546"/>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80</v>
      </c>
      <c r="F9" s="265"/>
      <c r="G9" s="270"/>
    </row>
    <row r="10" spans="1:8" s="258" customFormat="1" ht="13.5" customHeight="1">
      <c r="A10" s="950" t="s">
        <v>801</v>
      </c>
      <c r="B10" s="268" t="s">
        <v>2337</v>
      </c>
      <c r="C10" s="269">
        <f ca="1">ROUND(D10*E10,0)</f>
        <v>1914043</v>
      </c>
      <c r="D10" s="1032">
        <f ca="1">IF(B1="",'数据-汇总表'!E6,IF(INDIRECT("'数据-取费表'!c"&amp;$G$1)="住宅",INDIRECT("'数据-取费表'!s"&amp;$G$1),INDIRECT("'数据-取费表'!k"&amp;$G$1)+INDIRECT("'数据-取费表'!s"&amp;$G$1)))</f>
        <v>15950.36</v>
      </c>
      <c r="E10" s="269">
        <f>'数据-取费表'!B28</f>
        <v>120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3190072</v>
      </c>
      <c r="D19" s="1036">
        <f ca="1">D9+D10</f>
        <v>15950.36</v>
      </c>
      <c r="E19" s="255">
        <f>'数据-取费表'!B31</f>
        <v>200</v>
      </c>
      <c r="F19" s="275"/>
      <c r="G19" s="2546"/>
    </row>
    <row r="20" spans="1:7" s="258" customFormat="1" ht="13.5" customHeight="1">
      <c r="A20" s="299" t="s">
        <v>2431</v>
      </c>
      <c r="B20" s="254" t="s">
        <v>2432</v>
      </c>
      <c r="C20" s="276">
        <f ca="1">ROUND((C5+C19)*F20,0)</f>
        <v>102082</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224249</v>
      </c>
      <c r="D22" s="279">
        <f ca="1">C26</f>
        <v>4.0000000000000002E-4</v>
      </c>
      <c r="E22" s="280" t="s">
        <v>2436</v>
      </c>
      <c r="F22" s="281">
        <f ca="1">'数据-取费表'!B40</f>
        <v>4.3499999999999997E-2</v>
      </c>
      <c r="G22" s="278" t="str">
        <f>IF('数据-取费表'!B22&lt;=1,"单利计息","复利计息")</f>
        <v>单利计息</v>
      </c>
    </row>
    <row r="23" spans="1:7" s="258" customFormat="1" ht="13.5" customHeight="1">
      <c r="A23" s="951" t="s">
        <v>2329</v>
      </c>
      <c r="B23" s="259" t="s">
        <v>2440</v>
      </c>
      <c r="C23" s="1381">
        <f ca="1">ROUND(IF('数据-取费表'!B22&lt;=1,C5*F22*'数据-取费表'!B22,C5*(POWER((1+F22),'数据-取费表'!B22)-1)),0)</f>
        <v>83261</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138768</v>
      </c>
      <c r="D24" s="282"/>
      <c r="E24" s="282"/>
      <c r="F24" s="283"/>
      <c r="G24" s="284" t="s">
        <v>2443</v>
      </c>
    </row>
    <row r="25" spans="1:7" s="258" customFormat="1" ht="24">
      <c r="A25" s="951" t="s">
        <v>2333</v>
      </c>
      <c r="B25" s="259" t="s">
        <v>2444</v>
      </c>
      <c r="C25" s="1381">
        <f ca="1">ROUND(IF('数据-取费表'!B22&lt;=1,C20*F22*'数据-取费表'!B22/2,C20*(POWER((1+F22),'数据-取费表'!B22/2)-1)),0)</f>
        <v>2220</v>
      </c>
      <c r="D25" s="282"/>
      <c r="E25" s="285"/>
      <c r="F25" s="283"/>
      <c r="G25" s="286" t="s">
        <v>2445</v>
      </c>
    </row>
    <row r="26" spans="1:7" s="258" customFormat="1">
      <c r="A26" s="951" t="s">
        <v>795</v>
      </c>
      <c r="B26" s="259" t="s">
        <v>2368</v>
      </c>
      <c r="C26" s="282">
        <f ca="1">ROUND(IF('数据-取费表'!B22&lt;=1,F21*F22*'数据-取费表'!B22/2,F21*(POWER((1+F22),'数据-取费表'!B22/2)-1)),4)</f>
        <v>4.0000000000000002E-4</v>
      </c>
      <c r="D26" s="282"/>
      <c r="E26" s="285"/>
      <c r="F26" s="283"/>
      <c r="G26" s="287"/>
    </row>
    <row r="27" spans="1:7" s="258" customFormat="1" ht="26.4">
      <c r="A27" s="299" t="s">
        <v>2369</v>
      </c>
      <c r="B27" s="288" t="s">
        <v>2370</v>
      </c>
      <c r="C27" s="289">
        <f ca="1">C28</f>
        <v>520620</v>
      </c>
      <c r="D27" s="279">
        <f ca="1">C29</f>
        <v>2E-3</v>
      </c>
      <c r="E27" s="280" t="s">
        <v>2371</v>
      </c>
      <c r="F27" s="290">
        <f ca="1">IF(B1="",'数据-取费表'!Q16,INDIRECT("'数据-取费表'!q"&amp;$G$1))</f>
        <v>0.1</v>
      </c>
      <c r="G27" s="291" t="s">
        <v>2372</v>
      </c>
    </row>
    <row r="28" spans="1:7" s="258" customFormat="1" ht="13.5" customHeight="1">
      <c r="A28" s="951" t="s">
        <v>791</v>
      </c>
      <c r="B28" s="292" t="s">
        <v>2373</v>
      </c>
      <c r="C28" s="293">
        <f ca="1">ROUND((C5+C19+C20)*F27,0)</f>
        <v>520620</v>
      </c>
      <c r="D28" s="279"/>
      <c r="E28" s="280"/>
      <c r="F28" s="290"/>
      <c r="G28" s="291"/>
    </row>
    <row r="29" spans="1:7" s="258" customFormat="1" ht="13.5" customHeight="1">
      <c r="A29" s="951" t="s">
        <v>792</v>
      </c>
      <c r="B29" s="292" t="s">
        <v>2374</v>
      </c>
      <c r="C29" s="282">
        <f ca="1">ROUND(C21*F27,4)</f>
        <v>2E-3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6432194</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782</v>
      </c>
      <c r="B33" s="254" t="s">
        <v>2447</v>
      </c>
      <c r="C33" s="300">
        <f ca="1">SUM(C34:C38)</f>
        <v>42097113</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37231618</v>
      </c>
      <c r="D34" s="261"/>
      <c r="E34" s="264"/>
      <c r="F34" s="301"/>
      <c r="G34" s="263"/>
    </row>
    <row r="35" spans="1:7" ht="13.5" customHeight="1">
      <c r="A35" s="951" t="s">
        <v>796</v>
      </c>
      <c r="B35" s="259" t="s">
        <v>2384</v>
      </c>
      <c r="C35" s="264">
        <f ca="1">ROUND(C34*F35,0)</f>
        <v>1116949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3190072</v>
      </c>
      <c r="D37" s="261">
        <f ca="1">D19</f>
        <v>15950.36</v>
      </c>
      <c r="E37" s="293">
        <f>'数据-取费表'!B35</f>
        <v>200</v>
      </c>
      <c r="F37" s="303"/>
      <c r="G37" s="305"/>
    </row>
    <row r="38" spans="1:7" ht="13.5" customHeight="1">
      <c r="A38" s="951" t="s">
        <v>799</v>
      </c>
      <c r="B38" s="259" t="s">
        <v>2390</v>
      </c>
      <c r="C38" s="264">
        <f ca="1">ROUND(C34*F38,0)</f>
        <v>558474</v>
      </c>
      <c r="D38" s="264"/>
      <c r="E38" s="264"/>
      <c r="F38" s="303">
        <f>'数据-取费表'!B36</f>
        <v>1.4999999999999999E-2</v>
      </c>
      <c r="G38" s="263" t="s">
        <v>2385</v>
      </c>
    </row>
    <row r="39" spans="1:7" s="258" customFormat="1" ht="13.5" customHeight="1">
      <c r="A39" s="299" t="s">
        <v>2391</v>
      </c>
      <c r="B39" s="254" t="s">
        <v>2392</v>
      </c>
      <c r="C39" s="276">
        <f ca="1">ROUND(C33*F20,0)</f>
        <v>841942</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933924</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ROUND(IF('数据-取费表'!B22&lt;=1,C33*F22*'数据-取费表'!B20/2,C33*(POWER((1+F22),'数据-取费表'!B20/2)-1)),0)</f>
        <v>915612</v>
      </c>
      <c r="D42" s="282"/>
      <c r="E42" s="282"/>
      <c r="F42" s="283"/>
      <c r="G42" s="3158" t="s">
        <v>2448</v>
      </c>
    </row>
    <row r="43" spans="1:7" ht="13.5" customHeight="1">
      <c r="A43" s="951" t="s">
        <v>792</v>
      </c>
      <c r="B43" s="259" t="s">
        <v>2402</v>
      </c>
      <c r="C43" s="282">
        <f ca="1">ROUND(IF('数据-取费表'!B22&lt;=1,C39*F22*'数据-取费表'!B20/2,C39*(POWER((1+F22),'数据-取费表'!B20/2)-1)),0)</f>
        <v>18312</v>
      </c>
      <c r="D43" s="282"/>
      <c r="E43" s="282"/>
      <c r="F43" s="283"/>
      <c r="G43" s="3159"/>
    </row>
    <row r="44" spans="1:7" ht="13.5" customHeight="1">
      <c r="A44" s="951" t="s">
        <v>793</v>
      </c>
      <c r="B44" s="259" t="s">
        <v>2403</v>
      </c>
      <c r="C44" s="282">
        <f ca="1">ROUND(IF('数据-取费表'!B22&lt;=1,C40*F22*'数据-取费表'!B20/2,C40*(POWER((1+F22),'数据-取费表'!B20/2)-1)),4)</f>
        <v>4.0000000000000002E-4</v>
      </c>
      <c r="D44" s="282"/>
      <c r="E44" s="282"/>
      <c r="F44" s="283"/>
      <c r="G44" s="3160"/>
    </row>
    <row r="45" spans="1:7" s="258" customFormat="1" ht="13.5" customHeight="1">
      <c r="A45" s="299" t="s">
        <v>2404</v>
      </c>
      <c r="B45" s="288" t="s">
        <v>2370</v>
      </c>
      <c r="C45" s="289">
        <f ca="1">C46</f>
        <v>4293906</v>
      </c>
      <c r="D45" s="279">
        <f ca="1">C47</f>
        <v>2E-3</v>
      </c>
      <c r="E45" s="280" t="s">
        <v>2396</v>
      </c>
      <c r="F45" s="290"/>
      <c r="G45" s="291" t="s">
        <v>2405</v>
      </c>
    </row>
    <row r="46" spans="1:7" s="258" customFormat="1" ht="13.5" customHeight="1">
      <c r="A46" s="951" t="s">
        <v>791</v>
      </c>
      <c r="B46" s="292" t="s">
        <v>2406</v>
      </c>
      <c r="C46" s="293">
        <f ca="1">ROUND((C33+C39)*F27,0)</f>
        <v>4293906</v>
      </c>
      <c r="D46" s="307"/>
      <c r="E46" s="280"/>
      <c r="F46" s="290"/>
      <c r="G46" s="291"/>
    </row>
    <row r="47" spans="1:7" s="258" customFormat="1" ht="13.5" customHeight="1">
      <c r="A47" s="951" t="s">
        <v>792</v>
      </c>
      <c r="B47" s="292" t="s">
        <v>2407</v>
      </c>
      <c r="C47" s="282">
        <f ca="1">ROUND(C40*F27,4)</f>
        <v>2E-3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52061052</v>
      </c>
      <c r="D49" s="276"/>
      <c r="E49" s="276"/>
      <c r="F49" s="308"/>
      <c r="G49" s="278" t="s">
        <v>2411</v>
      </c>
    </row>
    <row r="50" spans="1:7" s="302" customFormat="1">
      <c r="A50" s="299" t="s">
        <v>2412</v>
      </c>
      <c r="B50" s="254" t="s">
        <v>2413</v>
      </c>
      <c r="C50" s="276"/>
      <c r="D50" s="276"/>
      <c r="E50" s="276"/>
      <c r="F50" s="308">
        <f>IF('数据-取费表'!B24=0,'数据-取费表'!N16,1)</f>
        <v>0.78300000000000003</v>
      </c>
      <c r="G50" s="291"/>
    </row>
    <row r="51" spans="1:7" ht="16.5" customHeight="1">
      <c r="A51" s="299" t="s">
        <v>2415</v>
      </c>
      <c r="B51" s="254" t="s">
        <v>2450</v>
      </c>
      <c r="C51" s="276">
        <f ca="1">ROUND(C49*F50,0)</f>
        <v>40763804</v>
      </c>
      <c r="D51" s="276"/>
      <c r="E51" s="276"/>
      <c r="F51" s="308"/>
      <c r="G51" s="278" t="s">
        <v>2417</v>
      </c>
    </row>
    <row r="52" spans="1:7" s="252" customFormat="1" ht="16.8" thickBot="1">
      <c r="A52" s="309" t="s">
        <v>2418</v>
      </c>
      <c r="B52" s="310"/>
      <c r="C52" s="311">
        <f ca="1">C31+C51</f>
        <v>47195998</v>
      </c>
      <c r="D52" s="310"/>
      <c r="E52" s="310"/>
      <c r="F52" s="310"/>
      <c r="G52" s="312"/>
    </row>
    <row r="55" spans="1:7" ht="15">
      <c r="B55" s="314" t="s">
        <v>2419</v>
      </c>
      <c r="C55" s="315"/>
    </row>
    <row r="56" spans="1:7">
      <c r="B56" s="317" t="s">
        <v>1507</v>
      </c>
      <c r="C56" s="319">
        <f ca="1">1-C57</f>
        <v>0.13600000000000001</v>
      </c>
    </row>
    <row r="57" spans="1:7">
      <c r="B57" s="317" t="s">
        <v>1508</v>
      </c>
      <c r="C57" s="318">
        <f ca="1">ROUND(C51/C52,3)</f>
        <v>0.86399999999999999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B6" sqref="B6:C6"/>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2451</v>
      </c>
      <c r="B1" s="1581"/>
      <c r="C1" s="1582"/>
      <c r="D1" s="1580"/>
      <c r="E1" s="320"/>
      <c r="F1" s="320"/>
      <c r="G1" s="1581"/>
      <c r="H1" s="320"/>
      <c r="I1" s="320"/>
      <c r="J1" s="320"/>
      <c r="K1" s="320">
        <f>MATCH(C1,'数据-取费表'!A6:A16,0)+5</f>
        <v>8</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5.2">
      <c r="A5" s="957" t="s">
        <v>2455</v>
      </c>
      <c r="B5" s="958" t="s">
        <v>2456</v>
      </c>
      <c r="C5" s="2550" t="s">
        <v>2457</v>
      </c>
      <c r="D5" s="2550" t="s">
        <v>2458</v>
      </c>
      <c r="E5" s="2550" t="s">
        <v>2459</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1329</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2473</v>
      </c>
      <c r="C12" s="24">
        <f ca="1">ROUND(C11*F12,0)</f>
        <v>0</v>
      </c>
      <c r="D12" s="973"/>
      <c r="E12" s="375"/>
      <c r="F12" s="976">
        <f>'数据-取费表'!B33</f>
        <v>0.03</v>
      </c>
      <c r="G12" s="8" t="s">
        <v>2474</v>
      </c>
      <c r="H12" s="968"/>
      <c r="I12" s="968"/>
      <c r="J12" s="968"/>
      <c r="K12" s="969"/>
    </row>
    <row r="13" spans="1:33" s="975" customFormat="1" ht="13.5" customHeight="1">
      <c r="A13" s="971" t="s">
        <v>1331</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1332</v>
      </c>
      <c r="B14" s="972" t="s">
        <v>2477</v>
      </c>
      <c r="C14" s="24">
        <f ca="1">ROUND(D14*E14*F11/10000,0)</f>
        <v>0</v>
      </c>
      <c r="D14" s="1033">
        <f ca="1">IF(C1="",'数据-汇总表'!E3,INDIRECT("'数据-取费表'!K"&amp;$K$1)+INDIRECT("'数据-取费表'!S"&amp;$K$1))</f>
        <v>15950.36</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15950.36</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2484</v>
      </c>
      <c r="C18" s="24">
        <f ca="1">C19+C20-IF(C1="",'数据-取费表'!B29,IF(G18="已全部缴纳",C19+C20,H18))</f>
        <v>0</v>
      </c>
      <c r="D18" s="1033"/>
      <c r="E18" s="24"/>
      <c r="F18" s="976"/>
      <c r="G18" s="2552"/>
      <c r="H18" s="1577"/>
      <c r="I18" s="2553"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80</v>
      </c>
      <c r="F19" s="976"/>
      <c r="G19" s="15"/>
      <c r="H19" s="1579"/>
      <c r="I19" s="981"/>
      <c r="J19" s="981"/>
      <c r="K19" s="982"/>
    </row>
    <row r="20" spans="1:33" s="975" customFormat="1" ht="13.5" customHeight="1">
      <c r="A20" s="971" t="s">
        <v>806</v>
      </c>
      <c r="B20" s="972" t="s">
        <v>2487</v>
      </c>
      <c r="C20" s="24">
        <f ca="1">ROUND(D20*E20/10000,0)</f>
        <v>191</v>
      </c>
      <c r="D20" s="1033">
        <f ca="1">IF(C1="",'数据-汇总表'!E6,IF(INDIRECT("'数据-取费表'!c"&amp;$K$1)="住宅",INDIRECT("'数据-取费表'!s"&amp;$K$1),INDIRECT("'数据-取费表'!k"&amp;$K$1)+INDIRECT("'数据-取费表'!s"&amp;$K$1)))</f>
        <v>15950.36</v>
      </c>
      <c r="E20" s="24">
        <f>'数据-取费表'!B28</f>
        <v>120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IF(项目基本情况!B8="出让",0,'数据-取费表'!B48+'数据-取费表'!B49)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79"/>
      <c r="I27" s="979"/>
      <c r="J27" s="979"/>
      <c r="K27" s="980"/>
    </row>
    <row r="28" spans="1:33" s="333" customFormat="1" ht="13.5" customHeight="1">
      <c r="A28" s="961" t="s">
        <v>2501</v>
      </c>
      <c r="B28" s="2555" t="s">
        <v>2502</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6" t="s">
        <v>2506</v>
      </c>
      <c r="B31" s="1005" t="s">
        <v>2507</v>
      </c>
      <c r="C31" s="1006">
        <f>ROUND(C4*F31/(1+'数据-取费表'!C42),0)</f>
        <v>0</v>
      </c>
      <c r="D31" s="1007"/>
      <c r="E31" s="1008"/>
      <c r="F31" s="1009">
        <f>'数据-取费表'!B41</f>
        <v>5.5000000000000007E-2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18"/>
  <sheetViews>
    <sheetView zoomScale="80" zoomScaleNormal="80" zoomScaleSheetLayoutView="96" workbookViewId="0">
      <selection activeCell="L16" sqref="L16"/>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72" customWidth="1"/>
    <col min="33" max="36" width="9.33203125" style="2784" customWidth="1"/>
    <col min="37" max="38" width="9.33203125" style="2716" customWidth="1"/>
    <col min="39" max="16384" width="12" style="2716"/>
  </cols>
  <sheetData>
    <row r="1" spans="1:36" ht="31.2">
      <c r="A1" s="240" t="s">
        <v>2796</v>
      </c>
      <c r="B1" s="241"/>
      <c r="C1" s="245" t="s">
        <v>2797</v>
      </c>
      <c r="D1" s="388">
        <f>SUM(D29:D30,D33:D39)</f>
        <v>15950.36</v>
      </c>
      <c r="E1" s="2713"/>
      <c r="F1" s="2713"/>
      <c r="G1" s="2713"/>
      <c r="H1" s="2713"/>
      <c r="I1" s="2713"/>
      <c r="J1" s="2713"/>
      <c r="K1" s="1370"/>
      <c r="L1" s="2714" t="s">
        <v>2798</v>
      </c>
      <c r="M1" s="1080">
        <f>SUMPRODUCT((区片价!B5:B9=I2)*(区片价!C3:F3=E2)*(区片价!C5:F9))</f>
        <v>0</v>
      </c>
      <c r="N1" s="1083">
        <f>SUMPRODUCT((因素修正幅度!B5:B9=I2)*(因素修正幅度!C3:F3=E2)*(因素修正幅度!C5:F9))</f>
        <v>0</v>
      </c>
      <c r="O1" s="2715"/>
      <c r="P1" s="2715"/>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26.4">
      <c r="A2" s="245" t="s">
        <v>2804</v>
      </c>
      <c r="B2" s="248">
        <f ca="1">C26</f>
        <v>2643</v>
      </c>
      <c r="C2" s="2717" t="s">
        <v>2805</v>
      </c>
      <c r="D2" s="2718" t="s">
        <v>2806</v>
      </c>
      <c r="E2" s="2719" t="s">
        <v>6</v>
      </c>
      <c r="F2" s="2718" t="s">
        <v>2807</v>
      </c>
      <c r="G2" s="2720" t="str">
        <f>IF(E2="商业",项目基本情况!B37,IF(E2="办公",项目基本情况!C37,IF(E2="住宅",项目基本情况!D37,项目基本情况!E37)))</f>
        <v>九级</v>
      </c>
      <c r="H2" s="2718" t="s">
        <v>2808</v>
      </c>
      <c r="I2" s="2720" t="str">
        <f>IF(E2="商业",项目基本情况!B38,IF(E2="办公",项目基本情况!C38,IF(E2="住宅",项目基本情况!D38,项目基本情况!E38)))</f>
        <v>Ⅸ-雁栖开发区A</v>
      </c>
      <c r="J2" s="2721"/>
      <c r="K2" s="1370"/>
      <c r="L2" s="2722" t="s">
        <v>2809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2.9424000000000001</v>
      </c>
      <c r="T2" s="1602">
        <f ca="1">ROUND($C$5*$C$18*$C$19*$C$20*S2*$C$24,0)</f>
        <v>3200</v>
      </c>
      <c r="U2" s="1603"/>
      <c r="V2" s="1602">
        <f ca="1">ROUND(T2*U2/10000,0)</f>
        <v>0</v>
      </c>
      <c r="W2" s="1606"/>
      <c r="X2" s="1606"/>
      <c r="Y2" s="1606"/>
      <c r="Z2" s="1606"/>
      <c r="AA2" s="1606"/>
      <c r="AB2" s="1606"/>
      <c r="AC2" s="1607"/>
      <c r="AD2" s="1608"/>
      <c r="AE2" s="1608"/>
      <c r="AF2" s="1608"/>
      <c r="AG2" s="1608"/>
      <c r="AH2" s="1608"/>
      <c r="AI2" s="1608"/>
      <c r="AJ2" s="1609"/>
    </row>
    <row r="3" spans="1:36" ht="15.6">
      <c r="A3" s="247" t="s">
        <v>2810</v>
      </c>
      <c r="B3" s="248">
        <f ca="1">ROUND(B2*10000/D1,0)</f>
        <v>1657</v>
      </c>
      <c r="C3" s="2717" t="s">
        <v>2811</v>
      </c>
      <c r="D3" s="2718" t="s">
        <v>2812</v>
      </c>
      <c r="E3" s="2723" t="s">
        <v>3095</v>
      </c>
      <c r="F3" s="2724" t="s">
        <v>2813</v>
      </c>
      <c r="G3" s="916">
        <f>IF(F3="宗地容积率",'数据-汇总表'!I4,IF(F3="估价对象容积率",'数据-汇总表'!I6,'数据-汇总表'!I7))</f>
        <v>0.66</v>
      </c>
      <c r="H3" s="198" t="s">
        <v>2814</v>
      </c>
      <c r="I3" s="944"/>
      <c r="J3" s="2721" t="s">
        <v>2815</v>
      </c>
      <c r="K3" s="1370"/>
      <c r="L3" s="2722"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1.9392</v>
      </c>
      <c r="T3" s="1602">
        <f t="shared" ref="T3:T16" ca="1" si="0">ROUND($C$5*$C$18*$C$19*$C$20*S3*$C$24,0)</f>
        <v>2109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164"/>
      <c r="B4" s="3165"/>
      <c r="C4" s="3165"/>
      <c r="D4" s="3166"/>
      <c r="E4" s="3166"/>
      <c r="F4" s="3166"/>
      <c r="G4" s="3166"/>
      <c r="H4" s="3166"/>
      <c r="I4" s="3166"/>
      <c r="J4" s="3167"/>
      <c r="K4" s="1370"/>
      <c r="L4" s="2722"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1.5261</v>
      </c>
      <c r="T4" s="1602">
        <f t="shared" ca="1" si="0"/>
        <v>1659</v>
      </c>
      <c r="U4" s="1603"/>
      <c r="V4" s="1602">
        <f t="shared" ca="1" si="1"/>
        <v>0</v>
      </c>
      <c r="W4" s="1606"/>
      <c r="X4" s="1606"/>
      <c r="Y4" s="1606"/>
      <c r="Z4" s="1606"/>
      <c r="AA4" s="1606"/>
      <c r="AB4" s="1606"/>
      <c r="AC4" s="1607"/>
      <c r="AD4" s="1608"/>
      <c r="AE4" s="1608"/>
      <c r="AF4" s="1608"/>
      <c r="AG4" s="1608"/>
      <c r="AH4" s="1608"/>
      <c r="AI4" s="1608"/>
      <c r="AJ4" s="1609"/>
    </row>
    <row r="5" spans="1:36" s="2734" customFormat="1" ht="15.6" thickBot="1">
      <c r="A5" s="2725" t="s">
        <v>807</v>
      </c>
      <c r="B5" s="2726" t="s">
        <v>2818</v>
      </c>
      <c r="C5" s="917">
        <f>ROUND(IF(E2="商业",C6*C7+C16,(IF(E2="住宅",C6*C12+C16,C6+C16))),0)</f>
        <v>890</v>
      </c>
      <c r="D5" s="1787">
        <f>ROUND(C6+C16,0)</f>
        <v>890</v>
      </c>
      <c r="E5" s="1787"/>
      <c r="F5" s="2727"/>
      <c r="G5" s="2728"/>
      <c r="H5" s="2728"/>
      <c r="I5" s="2728"/>
      <c r="J5" s="2729"/>
      <c r="K5" s="2730"/>
      <c r="L5" s="2722"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1.1402000000000001</v>
      </c>
      <c r="T5" s="1602">
        <f t="shared" ca="1" si="0"/>
        <v>1240</v>
      </c>
      <c r="U5" s="1603"/>
      <c r="V5" s="1602">
        <f t="shared" ca="1" si="1"/>
        <v>0</v>
      </c>
      <c r="W5" s="1606"/>
      <c r="X5" s="1606"/>
      <c r="Y5" s="1606"/>
      <c r="Z5" s="1606"/>
      <c r="AA5" s="1606"/>
      <c r="AB5" s="1606"/>
      <c r="AC5" s="2731"/>
      <c r="AD5" s="2732"/>
      <c r="AE5" s="2732"/>
      <c r="AF5" s="2732"/>
      <c r="AG5" s="2732"/>
      <c r="AH5" s="2732"/>
      <c r="AI5" s="2732"/>
      <c r="AJ5" s="2733"/>
    </row>
    <row r="6" spans="1:36" ht="15.6" thickBot="1">
      <c r="A6" s="2735" t="s">
        <v>2820</v>
      </c>
      <c r="B6" s="2736" t="s">
        <v>2821</v>
      </c>
      <c r="C6" s="918">
        <f>SUMIF(L1:L12,G2,M1:M12)</f>
        <v>850</v>
      </c>
      <c r="D6" s="2737" t="s">
        <v>2822</v>
      </c>
      <c r="E6" s="2738"/>
      <c r="F6" s="2738"/>
      <c r="G6" s="2739"/>
      <c r="H6" s="2739"/>
      <c r="I6" s="2739"/>
      <c r="J6" s="2740"/>
      <c r="K6" s="1842"/>
      <c r="L6" s="2722" t="s">
        <v>2823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0.85740000000000005</v>
      </c>
      <c r="T6" s="1602">
        <f t="shared" ca="1" si="0"/>
        <v>932</v>
      </c>
      <c r="U6" s="1603"/>
      <c r="V6" s="1602">
        <f t="shared" ca="1" si="1"/>
        <v>0</v>
      </c>
      <c r="W6" s="1606"/>
      <c r="X6" s="1606"/>
      <c r="Y6" s="1606"/>
      <c r="Z6" s="1606"/>
      <c r="AA6" s="1606"/>
      <c r="AB6" s="1606"/>
      <c r="AC6" s="2731"/>
      <c r="AD6" s="2732"/>
      <c r="AE6" s="2732"/>
      <c r="AF6" s="2732"/>
      <c r="AG6" s="2732"/>
      <c r="AH6" s="2732"/>
      <c r="AI6" s="2732"/>
      <c r="AJ6" s="2733"/>
    </row>
    <row r="7" spans="1:36" ht="24">
      <c r="A7" s="3168" t="str">
        <f>IF(E2="商业",IF(C8="不临58条商业街","",2),"")</f>
        <v/>
      </c>
      <c r="B7" s="2741" t="s">
        <v>2824</v>
      </c>
      <c r="C7" s="919">
        <f>IF(C8="不临58条商业街",1,ROUND(1+(1.6*E8+1.2*E9+0.8*E10+0.4*E11)*C9,4))</f>
        <v>1</v>
      </c>
      <c r="D7" s="2742" t="s">
        <v>2825</v>
      </c>
      <c r="E7" s="945"/>
      <c r="F7" s="2743"/>
      <c r="G7" s="2744"/>
      <c r="H7" s="2744"/>
      <c r="I7" s="2744"/>
      <c r="J7" s="2745"/>
      <c r="K7" s="1842"/>
      <c r="L7" s="2722"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0.68559999999999999</v>
      </c>
      <c r="T7" s="1602">
        <f t="shared" ca="1" si="0"/>
        <v>746</v>
      </c>
      <c r="U7" s="1603"/>
      <c r="V7" s="1602">
        <f t="shared" ca="1" si="1"/>
        <v>0</v>
      </c>
      <c r="W7" s="1816" t="s">
        <v>2827</v>
      </c>
      <c r="X7" s="1604" t="str">
        <f>G2</f>
        <v>九级</v>
      </c>
      <c r="Y7" s="1604" t="s">
        <v>2828</v>
      </c>
      <c r="Z7" s="1605">
        <f>G3</f>
        <v>0.66</v>
      </c>
      <c r="AA7" s="1606"/>
      <c r="AB7" s="1606"/>
      <c r="AC7" s="1607"/>
      <c r="AD7" s="1608"/>
      <c r="AE7" s="1608"/>
      <c r="AF7" s="1608"/>
      <c r="AG7" s="1608"/>
      <c r="AH7" s="1608"/>
      <c r="AI7" s="1608"/>
      <c r="AJ7" s="1609"/>
    </row>
    <row r="8" spans="1:36" ht="26.4">
      <c r="A8" s="3169"/>
      <c r="B8" s="198" t="s">
        <v>2829</v>
      </c>
      <c r="C8" s="2746" t="s">
        <v>3096</v>
      </c>
      <c r="D8" s="920" t="s">
        <v>139</v>
      </c>
      <c r="E8" s="921" t="e">
        <f>ROUND(C11/E7,4)</f>
        <v>#DIV/0!</v>
      </c>
      <c r="F8" s="2747" t="s">
        <v>2830</v>
      </c>
      <c r="G8" s="2748"/>
      <c r="H8" s="2748"/>
      <c r="I8" s="2748"/>
      <c r="J8" s="2749"/>
      <c r="K8" s="1370"/>
      <c r="L8" s="2722"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1" t="s">
        <v>2832</v>
      </c>
      <c r="X8" s="3162"/>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169"/>
      <c r="B9" s="198" t="s">
        <v>2845</v>
      </c>
      <c r="C9" s="922">
        <f>SUMIF(修正!C59:C119,C8,修正!E59:E119)</f>
        <v>0</v>
      </c>
      <c r="D9" s="200" t="s">
        <v>140</v>
      </c>
      <c r="E9" s="200" t="e">
        <f>ROUND(C11/E7,4)</f>
        <v>#DIV/0!</v>
      </c>
      <c r="F9" s="2747" t="s">
        <v>2846</v>
      </c>
      <c r="G9" s="2748"/>
      <c r="H9" s="2748"/>
      <c r="I9" s="2748"/>
      <c r="J9" s="2749"/>
      <c r="K9" s="1370"/>
      <c r="L9" s="2722" t="s">
        <v>2847</v>
      </c>
      <c r="M9" s="1081">
        <f>SUMPRODUCT((区片价!B245:B289=I2)*(区片价!C3:F3=E2)*(区片价!C245:F289))</f>
        <v>850</v>
      </c>
      <c r="N9" s="1083">
        <f>SUMPRODUCT((因素修正幅度!B245:B289=I2)*(因素修正幅度!C3:F3=E2)*(因素修正幅度!C245:F289))</f>
        <v>0.05</v>
      </c>
      <c r="O9" s="1370"/>
      <c r="P9" s="1370"/>
      <c r="Q9" s="1370"/>
      <c r="R9" s="1602">
        <v>8</v>
      </c>
      <c r="S9" s="1603"/>
      <c r="T9" s="1602">
        <f t="shared" ca="1" si="0"/>
        <v>0</v>
      </c>
      <c r="U9" s="1603"/>
      <c r="V9" s="1602">
        <f t="shared" ca="1" si="1"/>
        <v>0</v>
      </c>
      <c r="W9" s="3163"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9"/>
      <c r="B10" s="198" t="s">
        <v>2850</v>
      </c>
      <c r="C10" s="200">
        <f>SUMIF(修正!C59:C119,C8,修正!F59:F119)</f>
        <v>0</v>
      </c>
      <c r="D10" s="200" t="s">
        <v>141</v>
      </c>
      <c r="E10" s="200" t="e">
        <f>ROUND(C11/E7,4)</f>
        <v>#DIV/0!</v>
      </c>
      <c r="F10" s="2747" t="s">
        <v>2851</v>
      </c>
      <c r="G10" s="2748"/>
      <c r="H10" s="2748"/>
      <c r="I10" s="2748"/>
      <c r="J10" s="2749"/>
      <c r="K10" s="1370"/>
      <c r="L10" s="2722"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169"/>
      <c r="B11" s="2750" t="s">
        <v>2853</v>
      </c>
      <c r="C11" s="923">
        <f>C10/4</f>
        <v>0</v>
      </c>
      <c r="D11" s="923" t="s">
        <v>142</v>
      </c>
      <c r="E11" s="923" t="e">
        <f>ROUND(C11/E7,4)</f>
        <v>#DIV/0!</v>
      </c>
      <c r="F11" s="2751" t="s">
        <v>2854</v>
      </c>
      <c r="G11" s="2752"/>
      <c r="H11" s="2752"/>
      <c r="I11" s="2752"/>
      <c r="J11" s="2753"/>
      <c r="K11" s="1370"/>
      <c r="L11" s="2722"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3" t="s">
        <v>2856</v>
      </c>
      <c r="X11" s="1614" t="s">
        <v>2857</v>
      </c>
      <c r="Y11" s="1615">
        <f>$G$3</f>
        <v>0.66</v>
      </c>
      <c r="Z11" s="1615">
        <f t="shared" ref="Z11:AJ11" si="3">$G$3</f>
        <v>0.66</v>
      </c>
      <c r="AA11" s="1615">
        <f t="shared" si="3"/>
        <v>0.66</v>
      </c>
      <c r="AB11" s="1615">
        <f t="shared" si="3"/>
        <v>0.66</v>
      </c>
      <c r="AC11" s="1615">
        <f t="shared" si="3"/>
        <v>0.66</v>
      </c>
      <c r="AD11" s="1615">
        <f t="shared" si="3"/>
        <v>0.66</v>
      </c>
      <c r="AE11" s="1615">
        <f t="shared" si="3"/>
        <v>0.66</v>
      </c>
      <c r="AF11" s="1615">
        <f t="shared" si="3"/>
        <v>0.66</v>
      </c>
      <c r="AG11" s="1615">
        <f t="shared" si="3"/>
        <v>0.66</v>
      </c>
      <c r="AH11" s="1615">
        <f t="shared" si="3"/>
        <v>0.66</v>
      </c>
      <c r="AI11" s="1615">
        <f t="shared" si="3"/>
        <v>0.66</v>
      </c>
      <c r="AJ11" s="1615">
        <f t="shared" si="3"/>
        <v>0.66</v>
      </c>
    </row>
    <row r="12" spans="1:36" ht="25.8" thickBot="1">
      <c r="A12" s="3168" t="s">
        <v>2858</v>
      </c>
      <c r="B12" s="2754" t="s">
        <v>2859</v>
      </c>
      <c r="C12" s="919">
        <f>ROUND(C15*D15*E15*F15*G15*H15*I15*J15,4)</f>
        <v>1</v>
      </c>
      <c r="D12" s="2755" t="s">
        <v>2860</v>
      </c>
      <c r="E12" s="2756"/>
      <c r="F12" s="2756"/>
      <c r="G12" s="2757"/>
      <c r="H12" s="2757"/>
      <c r="I12" s="2757"/>
      <c r="J12" s="2758"/>
      <c r="K12" s="1370"/>
      <c r="L12" s="2759"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3"/>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0"/>
      <c r="B13" s="2760" t="s">
        <v>2863</v>
      </c>
      <c r="C13" s="2761" t="s">
        <v>2864</v>
      </c>
      <c r="D13" s="1808" t="s">
        <v>2865</v>
      </c>
      <c r="E13" s="1808" t="s">
        <v>2866</v>
      </c>
      <c r="F13" s="30" t="s">
        <v>2867</v>
      </c>
      <c r="G13" s="2762" t="s">
        <v>2868</v>
      </c>
      <c r="H13" s="2762" t="s">
        <v>2868</v>
      </c>
      <c r="I13" s="2762" t="s">
        <v>2868</v>
      </c>
      <c r="J13" s="2763" t="s">
        <v>2868</v>
      </c>
      <c r="K13" s="1370"/>
      <c r="L13" s="1370"/>
      <c r="M13" s="1370"/>
      <c r="N13" s="1370"/>
      <c r="O13" s="1370"/>
      <c r="P13" s="1370"/>
      <c r="Q13" s="1370"/>
      <c r="R13" s="1602">
        <v>12</v>
      </c>
      <c r="S13" s="1603"/>
      <c r="T13" s="1602">
        <f t="shared" ca="1" si="0"/>
        <v>0</v>
      </c>
      <c r="U13" s="1603"/>
      <c r="V13" s="1602">
        <f t="shared" ca="1" si="1"/>
        <v>0</v>
      </c>
      <c r="W13" s="3163"/>
      <c r="X13" s="1616"/>
      <c r="Y13" s="1613">
        <f>(-0.163*(Y12^2)-0.59*Y12+7617)*(10^(-4))/Y11</f>
        <v>1.1540909090909091</v>
      </c>
      <c r="Z13" s="1613">
        <f t="shared" ref="Z13:AJ13" si="5">(-0.163*(Z12^2)-0.59*Z12+7617)*(10^(-4))/Z11</f>
        <v>1.1540909090909091</v>
      </c>
      <c r="AA13" s="1613">
        <f t="shared" si="5"/>
        <v>1.1540909090909091</v>
      </c>
      <c r="AB13" s="1613">
        <f t="shared" si="5"/>
        <v>1.1540909090909091</v>
      </c>
      <c r="AC13" s="1613">
        <f t="shared" si="5"/>
        <v>1.1540909090909091</v>
      </c>
      <c r="AD13" s="1613">
        <f t="shared" si="5"/>
        <v>1.1540909090909091</v>
      </c>
      <c r="AE13" s="1613">
        <f t="shared" si="5"/>
        <v>1.1540909090909091</v>
      </c>
      <c r="AF13" s="1613">
        <f t="shared" si="5"/>
        <v>1.1540909090909091</v>
      </c>
      <c r="AG13" s="1613">
        <f t="shared" si="5"/>
        <v>1.1540909090909091</v>
      </c>
      <c r="AH13" s="1613">
        <f t="shared" si="5"/>
        <v>1.1540909090909091</v>
      </c>
      <c r="AI13" s="1613">
        <f t="shared" si="5"/>
        <v>1.1540909090909091</v>
      </c>
      <c r="AJ13" s="1613">
        <f t="shared" si="5"/>
        <v>1.1540909090909091</v>
      </c>
    </row>
    <row r="14" spans="1:36" ht="15">
      <c r="A14" s="3170"/>
      <c r="B14" s="2764"/>
      <c r="C14" s="2765"/>
      <c r="D14" s="2766"/>
      <c r="E14" s="2766"/>
      <c r="F14" s="2767"/>
      <c r="G14" s="2768" t="s">
        <v>2869</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171"/>
      <c r="B15" s="2772" t="s">
        <v>2870</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8" t="s">
        <v>2875</v>
      </c>
      <c r="B16" s="2741" t="s">
        <v>2876</v>
      </c>
      <c r="C16" s="2928">
        <f>ROUND(IF(F17="与级别开发程度一致",0,(G17-E17)/C17),0)</f>
        <v>40</v>
      </c>
      <c r="D16" s="3182" t="s">
        <v>2880</v>
      </c>
      <c r="E16" s="3183"/>
      <c r="F16" s="3182" t="s">
        <v>2877</v>
      </c>
      <c r="G16" s="3183"/>
      <c r="H16" s="2775" t="s">
        <v>3065</v>
      </c>
      <c r="I16" s="2775" t="s">
        <v>3066</v>
      </c>
      <c r="J16" s="2932" t="s">
        <v>3067</v>
      </c>
      <c r="K16" s="2775" t="s">
        <v>3068</v>
      </c>
      <c r="L16" s="2775" t="s">
        <v>3069</v>
      </c>
      <c r="M16" s="2775" t="s">
        <v>3124</v>
      </c>
      <c r="N16" s="2775" t="s">
        <v>3070</v>
      </c>
      <c r="O16" s="2776"/>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172"/>
      <c r="B17" s="2939" t="s">
        <v>2879</v>
      </c>
      <c r="C17" s="2940">
        <f>SUMPRODUCT((修正!A2:A5=E2)*(修正!B1:M1=G2)*(修正!B2:M5))</f>
        <v>1</v>
      </c>
      <c r="D17" s="229" t="str">
        <f>IF(OR(G2="八级",G2="九级",G2="十级",G2="十一级",G2="十二级"),"五通一平","七通一平")</f>
        <v>五通一平</v>
      </c>
      <c r="E17" s="2929">
        <f>SUMPRODUCT((修正!B1:M1=G2)*(修正!B15:M15))</f>
        <v>155</v>
      </c>
      <c r="F17" s="2930" t="s">
        <v>3125</v>
      </c>
      <c r="G17" s="2931">
        <f>SUM(H17:O17)</f>
        <v>195</v>
      </c>
      <c r="H17" s="2940">
        <f>SUMPRODUCT((七通一平=H16)*(修正!B1:M1=G2)*(修正!B6:M14))</f>
        <v>50</v>
      </c>
      <c r="I17" s="2940">
        <f>SUMPRODUCT((七通一平=I16)*(修正!B1:M1=G2)*(修正!B6:M14))</f>
        <v>40</v>
      </c>
      <c r="J17" s="2941">
        <f>SUMPRODUCT((七通一平=J16)*(修正!B1:M1=G2)*(修正!B6:M14))</f>
        <v>10</v>
      </c>
      <c r="K17" s="2940">
        <f>SUMPRODUCT((七通一平=K16)*(修正!B1:M1=G2)*(修正!B6:M14))</f>
        <v>20</v>
      </c>
      <c r="L17" s="2940">
        <f>SUMPRODUCT((七通一平=L16)*(修正!B1:M1=G2)*(修正!B6:M14))</f>
        <v>25</v>
      </c>
      <c r="M17" s="2940">
        <f>SUMPRODUCT((七通一平=M16)*(修正!B1:M1=G2)*(修正!B6:M14))</f>
        <v>40</v>
      </c>
      <c r="N17" s="2940">
        <f>SUMPRODUCT((七通一平=N16)*(修正!B1:M1=G2)*(修正!B6:M14))</f>
        <v>10</v>
      </c>
      <c r="O17" s="2942">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 thickBot="1">
      <c r="A18" s="2933" t="s">
        <v>808</v>
      </c>
      <c r="B18" s="2934" t="s">
        <v>2882</v>
      </c>
      <c r="C18" s="2935">
        <f>SUMIF(修正!C18:C39,E3,修正!E18:E39)</f>
        <v>1</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4" thickBot="1">
      <c r="A19" s="2780" t="s">
        <v>809</v>
      </c>
      <c r="B19" s="2781" t="s">
        <v>2883</v>
      </c>
      <c r="C19" s="924">
        <f>ROUND(IF(H19="按公示增长率计算",SUMPRODUCT((地价!A3:A29=YEAR(G19)&amp;"-"&amp;ROUNDUP(MONTH(G19)/3,0))*(地价!X2:AB2=E2)*(地价!X3:AB29)),IF(H19="地价指数",M20/M19,(1+I19)^O19)),4)</f>
        <v>1.3777999999999999</v>
      </c>
      <c r="D19" s="2785" t="s">
        <v>2884</v>
      </c>
      <c r="E19" s="925">
        <v>41640</v>
      </c>
      <c r="F19" s="2785" t="s">
        <v>2885</v>
      </c>
      <c r="G19" s="926">
        <f>'数据-取费表'!B2</f>
        <v>43921</v>
      </c>
      <c r="H19" s="2786" t="s">
        <v>3097</v>
      </c>
      <c r="I19" s="927" t="str">
        <f>IF(H19="季度增幅（自定义）",SUMIF(N21:N24,E2,O21:O24),"")</f>
        <v/>
      </c>
      <c r="J19" s="2783"/>
      <c r="K19" s="1377"/>
      <c r="L19" s="2787" t="s">
        <v>2886</v>
      </c>
      <c r="M19" s="1734">
        <f>ROUND(SUMIF(地价!B2:F2,E2,地价!B29:F29),0)</f>
        <v>230</v>
      </c>
      <c r="N19" s="2788" t="s">
        <v>2887</v>
      </c>
      <c r="O19" s="928">
        <f>ROUNDDOWN(DATEDIF(E19,G19,"M")/3,0)</f>
        <v>24</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9.4" thickBot="1">
      <c r="A20" s="2792" t="s">
        <v>810</v>
      </c>
      <c r="B20" s="2793" t="s">
        <v>2888</v>
      </c>
      <c r="C20" s="929">
        <f ca="1">ROUND(POWER(1+G20,J20-I20)*(POWER(1+G20,I20)-1)/(POWER(1+G20,J20)-1),4)</f>
        <v>0.87660000000000005</v>
      </c>
      <c r="D20" s="2794" t="s">
        <v>2889</v>
      </c>
      <c r="E20" s="1768">
        <f ca="1">存贷款利率!D4/100</f>
        <v>4.3499999999999997E-2</v>
      </c>
      <c r="F20" s="2794" t="s">
        <v>2881</v>
      </c>
      <c r="G20" s="934">
        <f ca="1">SUMIF(M26:P26,E2,M28:P28)</f>
        <v>4.8000000000000001E-2</v>
      </c>
      <c r="H20" s="2794" t="s">
        <v>2890</v>
      </c>
      <c r="I20" s="935">
        <f>SUMIF('数据-取费表'!C6:C15,E2,'数据-取费表'!F6:F15)/COUNTIF('数据-取费表'!C6:C15,E2)</f>
        <v>33.54</v>
      </c>
      <c r="J20" s="936">
        <f>IF(E2="住宅",70,IF(E2="商业",40,50))</f>
        <v>50</v>
      </c>
      <c r="K20" s="1377"/>
      <c r="L20" s="2795" t="s">
        <v>2891</v>
      </c>
      <c r="M20" s="1735">
        <f>ROUND(SUMPRODUCT((地价!A4:A29=YEAR(G19)&amp;"-"&amp;ROUNDUP(MONTH(G19)/3,0))*(地价!B2:F2=E2)*(地价!B4:F29)),0)</f>
        <v>317</v>
      </c>
      <c r="N20" s="2796" t="s">
        <v>2892</v>
      </c>
      <c r="O20" s="2797" t="s">
        <v>2893</v>
      </c>
      <c r="P20" s="2798" t="s">
        <v>2894</v>
      </c>
      <c r="R20" s="1376"/>
      <c r="S20" s="1376"/>
      <c r="T20" s="1371"/>
      <c r="U20" s="1371"/>
      <c r="V20" s="1371"/>
      <c r="W20" s="1370"/>
      <c r="X20" s="1370"/>
      <c r="Y20" s="1370"/>
      <c r="Z20" s="1377"/>
      <c r="AA20" s="1378"/>
      <c r="AB20" s="1378"/>
      <c r="AC20" s="1378"/>
      <c r="AD20" s="1378"/>
      <c r="AE20" s="1378"/>
      <c r="AF20" s="1378"/>
    </row>
    <row r="21" spans="1:37" s="2734" customFormat="1" ht="14.4">
      <c r="A21" s="2799" t="s">
        <v>811</v>
      </c>
      <c r="B21" s="2800" t="s">
        <v>3098</v>
      </c>
      <c r="C21" s="937">
        <f>IF(B21="容积率修正",IF(G3&lt;=10,D22,J22),C23)</f>
        <v>1.5238</v>
      </c>
      <c r="D21" s="2801"/>
      <c r="E21" s="2801"/>
      <c r="F21" s="2801"/>
      <c r="G21" s="2801"/>
      <c r="H21" s="2801"/>
      <c r="I21" s="2801"/>
      <c r="J21" s="2802"/>
      <c r="K21" s="1377"/>
      <c r="N21" s="2803" t="s">
        <v>2895</v>
      </c>
      <c r="O21" s="1561"/>
      <c r="P21" s="1562">
        <f>SUMPRODUCT((地价!A3:A29=YEAR(G19)&amp;"-"&amp;ROUNDUP(MONTH(G19)/3,0))*(地价!AD2:AH2=N21)*(地价!AD3:AH29))</f>
        <v>1.34E-2</v>
      </c>
      <c r="R21" s="1376"/>
      <c r="S21" s="1376"/>
      <c r="T21" s="1371"/>
      <c r="U21" s="1371"/>
      <c r="V21" s="1371"/>
      <c r="W21" s="1370"/>
      <c r="X21" s="1370"/>
      <c r="Y21" s="1370"/>
      <c r="Z21" s="1377"/>
      <c r="AA21" s="1378"/>
      <c r="AB21" s="1378"/>
      <c r="AC21" s="1378"/>
      <c r="AD21" s="1378"/>
      <c r="AE21" s="1378"/>
      <c r="AF21" s="1378"/>
    </row>
    <row r="22" spans="1:37" s="2734" customFormat="1" ht="14.4">
      <c r="A22" s="2660" t="s">
        <v>2896</v>
      </c>
      <c r="B22" s="2804" t="s">
        <v>2897</v>
      </c>
      <c r="C22" s="1810" t="s">
        <v>2898</v>
      </c>
      <c r="D22" s="1810">
        <f>IF(E22=G22,F22,IF(G3&lt;=10,ROUND(F22+(H22-F22)*(G3-E22)/(G22-E22),4),"——"))</f>
        <v>1.5238</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0" t="s">
        <v>155</v>
      </c>
      <c r="J22" s="938" t="str">
        <f>IF(G3&gt;10,D113,"——")</f>
        <v>——</v>
      </c>
      <c r="K22" s="1377"/>
      <c r="N22" s="2803" t="s">
        <v>2899</v>
      </c>
      <c r="O22" s="1561"/>
      <c r="P22" s="1562">
        <f>SUMPRODUCT((地价!A3:A29=YEAR(G19)&amp;"-"&amp;ROUNDUP(MONTH(G19)/3,0))*(地价!AD2:AH2=N22)*(地价!AD3:AH29))</f>
        <v>1.34E-2</v>
      </c>
      <c r="R22" s="1376"/>
      <c r="S22" s="1376"/>
      <c r="T22" s="1371"/>
      <c r="U22" s="1371"/>
      <c r="V22" s="1371"/>
      <c r="W22" s="1370"/>
      <c r="X22" s="1370"/>
      <c r="Y22" s="1370"/>
      <c r="Z22" s="1377"/>
      <c r="AA22" s="1378"/>
      <c r="AB22" s="1378"/>
      <c r="AC22" s="1378"/>
      <c r="AD22" s="1378"/>
      <c r="AE22" s="1378"/>
      <c r="AF22" s="1378"/>
    </row>
    <row r="23" spans="1:37" ht="29.4" thickBot="1">
      <c r="A23" s="2660" t="s">
        <v>2900</v>
      </c>
      <c r="B23" s="2805" t="s">
        <v>2901</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2902</v>
      </c>
      <c r="O23" s="1561"/>
      <c r="P23" s="1562">
        <f>SUMPRODUCT((地价!A3:A29=YEAR(G19)&amp;"-"&amp;ROUNDUP(MONTH(G19)/3,0))*(地价!AD2:AH2=N23)*(地价!AD3:AH29))</f>
        <v>2.1000000000000001E-2</v>
      </c>
      <c r="R23" s="1376"/>
      <c r="S23" s="1376"/>
      <c r="T23" s="1371"/>
      <c r="U23" s="1371"/>
      <c r="V23" s="1371"/>
      <c r="W23" s="1370"/>
      <c r="X23" s="1370"/>
      <c r="Y23" s="1370"/>
      <c r="Z23" s="1377"/>
      <c r="AA23" s="1378"/>
      <c r="AB23" s="1378"/>
      <c r="AC23" s="1378"/>
      <c r="AD23" s="1378"/>
      <c r="AK23" s="2784"/>
    </row>
    <row r="24" spans="1:37" s="2734" customFormat="1" ht="15" thickBot="1">
      <c r="A24" s="2792" t="s">
        <v>812</v>
      </c>
      <c r="B24" s="2781" t="s">
        <v>2903</v>
      </c>
      <c r="C24" s="924">
        <f>SUMIF(A45:A88,E2,B45:B88)</f>
        <v>1.0116000000000001</v>
      </c>
      <c r="D24" s="2782"/>
      <c r="E24" s="2811"/>
      <c r="F24" s="2811"/>
      <c r="G24" s="2811"/>
      <c r="H24" s="2811"/>
      <c r="I24" s="2811"/>
      <c r="J24" s="2812"/>
      <c r="K24" s="1377"/>
      <c r="N24" s="2813" t="s">
        <v>2904</v>
      </c>
      <c r="O24" s="1563"/>
      <c r="P24" s="1564">
        <f>SUMPRODUCT((地价!A3:A29=YEAR(G19)&amp;"-"&amp;ROUNDUP(MONTH(G19)/3,0))*(地价!AD2:AH2=N24)*(地价!AD3:AH29))</f>
        <v>1.35E-2</v>
      </c>
      <c r="R24" s="1376"/>
      <c r="S24" s="1376"/>
      <c r="T24" s="1371"/>
      <c r="U24" s="1371"/>
      <c r="V24" s="1371"/>
      <c r="W24" s="1370"/>
      <c r="X24" s="1370"/>
      <c r="Y24" s="1370"/>
      <c r="Z24" s="1377"/>
      <c r="AA24" s="1378"/>
      <c r="AB24" s="1378"/>
      <c r="AC24" s="1378"/>
      <c r="AD24" s="1378"/>
      <c r="AE24" s="1378"/>
      <c r="AF24" s="1378"/>
    </row>
    <row r="25" spans="1:37" ht="15" thickBot="1">
      <c r="A25" s="2792" t="s">
        <v>813</v>
      </c>
      <c r="B25" s="2814" t="s">
        <v>2905</v>
      </c>
      <c r="C25" s="930"/>
      <c r="D25" s="2744"/>
      <c r="E25" s="2744"/>
      <c r="F25" s="2815"/>
      <c r="G25" s="2744"/>
      <c r="H25" s="2744"/>
      <c r="I25" s="2744"/>
      <c r="J25" s="2745"/>
      <c r="K25" s="1370"/>
      <c r="N25" s="2816" t="s">
        <v>2906</v>
      </c>
      <c r="O25" s="1565"/>
      <c r="P25" s="1564">
        <f>SUMPRODUCT((地价!A3:A29=YEAR(G19)&amp;"-"&amp;ROUNDUP(MONTH(G19)/3,0))*(地价!AD2:AH2=N25)*(地价!AD3:AH29))</f>
        <v>1.9199999999999998E-2</v>
      </c>
      <c r="R25" s="1376"/>
      <c r="S25" s="1376"/>
      <c r="T25" s="1371"/>
      <c r="U25" s="1371"/>
      <c r="V25" s="1371"/>
      <c r="W25" s="1370"/>
      <c r="X25" s="1370"/>
      <c r="Y25" s="1370"/>
      <c r="Z25" s="1377"/>
      <c r="AA25" s="1378"/>
      <c r="AB25" s="1378"/>
      <c r="AC25" s="1378"/>
      <c r="AD25" s="1378"/>
    </row>
    <row r="26" spans="1:37" ht="14.4">
      <c r="A26" s="2817"/>
      <c r="B26" s="2804" t="s">
        <v>2907</v>
      </c>
      <c r="C26" s="206">
        <f ca="1">E29+SUM(E33:E39)</f>
        <v>2643</v>
      </c>
      <c r="D26" s="2818"/>
      <c r="E26" s="2769"/>
      <c r="F26" s="2819"/>
      <c r="G26" s="2769"/>
      <c r="H26" s="2769"/>
      <c r="I26" s="2769"/>
      <c r="J26" s="2820"/>
      <c r="K26" s="1370"/>
      <c r="L26" s="2773" t="s">
        <v>2806</v>
      </c>
      <c r="M26" s="920" t="s">
        <v>2871</v>
      </c>
      <c r="N26" s="920" t="s">
        <v>2872</v>
      </c>
      <c r="O26" s="920" t="s">
        <v>2873</v>
      </c>
      <c r="P26" s="2774" t="s">
        <v>2874</v>
      </c>
      <c r="R26" s="1376"/>
      <c r="S26" s="1376"/>
      <c r="T26" s="1371"/>
      <c r="U26" s="1371"/>
      <c r="V26" s="1371"/>
      <c r="W26" s="1370"/>
      <c r="X26" s="1370"/>
      <c r="Y26" s="1370"/>
      <c r="Z26" s="1377"/>
      <c r="AA26" s="1378"/>
      <c r="AB26" s="1378"/>
      <c r="AC26" s="1378"/>
      <c r="AD26" s="1378"/>
    </row>
    <row r="27" spans="1:37" ht="15" thickBot="1">
      <c r="A27" s="2817"/>
      <c r="B27" s="2821" t="s">
        <v>2908</v>
      </c>
      <c r="C27" s="931">
        <f ca="1">E30+SUM(I33:I39)</f>
        <v>0</v>
      </c>
      <c r="D27" s="2822"/>
      <c r="E27" s="2823"/>
      <c r="F27" s="2824"/>
      <c r="G27" s="2823"/>
      <c r="H27" s="2823"/>
      <c r="I27" s="2823"/>
      <c r="J27" s="2825"/>
      <c r="K27" s="1370"/>
      <c r="L27" s="2777" t="s">
        <v>2878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6"/>
      <c r="B28" s="2827" t="s">
        <v>2909</v>
      </c>
      <c r="C28" s="2828" t="s">
        <v>2910</v>
      </c>
      <c r="D28" s="2828" t="s">
        <v>2911</v>
      </c>
      <c r="E28" s="2829" t="s">
        <v>2912</v>
      </c>
      <c r="F28" s="2830"/>
      <c r="G28" s="2757"/>
      <c r="H28" s="2757"/>
      <c r="I28" s="2757"/>
      <c r="J28" s="2758"/>
      <c r="K28" s="1370"/>
      <c r="L28" s="2778" t="s">
        <v>2881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2913</v>
      </c>
      <c r="C29" s="206">
        <f ca="1">ROUND(C5*C18*C19*C20*C21*C24,0)</f>
        <v>1657</v>
      </c>
      <c r="D29" s="2833">
        <f>'数据-基础表'!B3</f>
        <v>15950.36</v>
      </c>
      <c r="E29" s="942">
        <f ca="1">ROUND(C29*D29/10000,0)</f>
        <v>2643</v>
      </c>
      <c r="F29" s="2834" t="s">
        <v>2914</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8" thickBot="1">
      <c r="A30" s="2837"/>
      <c r="B30" s="2838" t="s">
        <v>2915</v>
      </c>
      <c r="C30" s="229">
        <f ca="1">ROUND(IF(E2="工业",C29*M39,C29*M38),0)</f>
        <v>249</v>
      </c>
      <c r="D30" s="2839"/>
      <c r="E30" s="942">
        <f ca="1">ROUND(C30*D30/10000,0)</f>
        <v>0</v>
      </c>
      <c r="F30" s="2840" t="s">
        <v>2916</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3.8">
      <c r="A31" s="2843"/>
      <c r="B31" s="2844" t="s">
        <v>2917</v>
      </c>
      <c r="C31" s="2845" t="s">
        <v>2918</v>
      </c>
      <c r="D31" s="2757"/>
      <c r="E31" s="2845"/>
      <c r="F31" s="2845"/>
      <c r="G31" s="2755" t="s">
        <v>2919</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36">
      <c r="A32" s="2831"/>
      <c r="B32" s="2847"/>
      <c r="C32" s="501" t="s">
        <v>2910</v>
      </c>
      <c r="D32" s="498" t="s">
        <v>2911</v>
      </c>
      <c r="E32" s="498" t="s">
        <v>2912</v>
      </c>
      <c r="F32" s="388" t="s">
        <v>2920</v>
      </c>
      <c r="G32" s="2848" t="s">
        <v>2910</v>
      </c>
      <c r="H32" s="2848" t="s">
        <v>2911</v>
      </c>
      <c r="I32" s="2848"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179" t="s">
        <v>2921</v>
      </c>
      <c r="B33" s="2849" t="s">
        <v>2922</v>
      </c>
      <c r="C33" s="206">
        <f ca="1">ROUND(D5*C19*C20*C24*F33,0)</f>
        <v>652</v>
      </c>
      <c r="D33" s="2833"/>
      <c r="E33" s="200">
        <f ca="1">ROUND(C33*D33/10000,0)</f>
        <v>0</v>
      </c>
      <c r="F33" s="200">
        <f>SUMIF(修正!A45:A56,G2,修正!B45:B56)</f>
        <v>0.6</v>
      </c>
      <c r="G33" s="200">
        <f t="shared" ref="G33" ca="1" si="6">ROUND(IF(E2="工业",C33*$M$39,C33*$M$38),0)</f>
        <v>98</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180"/>
      <c r="B34" s="2761" t="s">
        <v>2923</v>
      </c>
      <c r="C34" s="206">
        <f ca="1">ROUND(D5*C19*C20*C24*F34,0)</f>
        <v>326</v>
      </c>
      <c r="D34" s="2833"/>
      <c r="E34" s="200">
        <f t="shared" ref="E34:E39" ca="1" si="7">ROUND(C34*D34/10000,0)</f>
        <v>0</v>
      </c>
      <c r="F34" s="200">
        <f>SUMIF(修正!A45:A56,G2,修正!C45:C56)</f>
        <v>0.3</v>
      </c>
      <c r="G34" s="200">
        <f ca="1">ROUND(IF(E2="工业",C34*$M$39,C34*$M$38),0)</f>
        <v>49</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0"/>
      <c r="B35" s="2761" t="s">
        <v>2924</v>
      </c>
      <c r="C35" s="206">
        <f ca="1">ROUND(D5*C19*C20*C24*F35,0)</f>
        <v>217</v>
      </c>
      <c r="D35" s="2833"/>
      <c r="E35" s="200">
        <f t="shared" ca="1" si="7"/>
        <v>0</v>
      </c>
      <c r="F35" s="200">
        <f>SUMIF(修正!A45:A56,G2,修正!D45:D56)</f>
        <v>0.2</v>
      </c>
      <c r="G35" s="200">
        <f ca="1">ROUND(IF(E2="工业",C35*$M$39,C35*$M$38),0)</f>
        <v>33</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8" thickBot="1">
      <c r="A36" s="3181"/>
      <c r="B36" s="2761" t="s">
        <v>2925</v>
      </c>
      <c r="C36" s="206">
        <f ca="1">ROUND(D5*C19*C20*C24*F36,0)</f>
        <v>217</v>
      </c>
      <c r="D36" s="2833"/>
      <c r="E36" s="200">
        <f t="shared" ca="1" si="7"/>
        <v>0</v>
      </c>
      <c r="F36" s="200">
        <f>SUMIF(修正!A45:A56,G2,修正!E45:E56)</f>
        <v>0.2</v>
      </c>
      <c r="G36" s="200">
        <f ca="1">ROUND(IF(E2="工业",C36*$M$39,C36*$M$38),0)</f>
        <v>33</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2926</v>
      </c>
      <c r="C37" s="200">
        <f ca="1">ROUND(D5*C19*C20*C24*F37,0)</f>
        <v>217</v>
      </c>
      <c r="D37" s="2833"/>
      <c r="E37" s="200">
        <f t="shared" ca="1" si="7"/>
        <v>0</v>
      </c>
      <c r="F37" s="206">
        <f>SUMIF(修正!A45:A56,G2,修正!F45:F56)</f>
        <v>0.2</v>
      </c>
      <c r="G37" s="200">
        <f ca="1">ROUND(IF(E2="工业",C37*$M$39,C37*$M$38),0)</f>
        <v>33</v>
      </c>
      <c r="H37" s="200">
        <f t="shared" si="8"/>
        <v>0</v>
      </c>
      <c r="I37" s="200">
        <f t="shared" ca="1" si="9"/>
        <v>0</v>
      </c>
      <c r="J37" s="2850"/>
      <c r="K37" s="1370"/>
      <c r="L37" s="2852" t="s">
        <v>2927</v>
      </c>
      <c r="M37" s="2853"/>
      <c r="N37" s="1370"/>
      <c r="O37" s="1370"/>
      <c r="P37" s="1370"/>
      <c r="Q37" s="1370"/>
      <c r="R37" s="1370"/>
      <c r="S37" s="1370"/>
      <c r="T37" s="1370"/>
      <c r="U37" s="1370"/>
      <c r="V37" s="1370"/>
      <c r="W37" s="1370"/>
      <c r="X37" s="1370"/>
      <c r="Y37" s="1370"/>
      <c r="Z37" s="1371"/>
    </row>
    <row r="38" spans="1:37">
      <c r="A38" s="2851"/>
      <c r="B38" s="2761" t="s">
        <v>2928</v>
      </c>
      <c r="C38" s="200">
        <f ca="1">ROUND(D5*C19*C41*C24*F38,0)</f>
        <v>217</v>
      </c>
      <c r="D38" s="2833"/>
      <c r="E38" s="200">
        <f t="shared" ca="1" si="7"/>
        <v>0</v>
      </c>
      <c r="F38" s="206">
        <f>SUMIF(修正!A45:A56,G2,修正!G45:G56)</f>
        <v>0.2</v>
      </c>
      <c r="G38" s="200">
        <f ca="1">ROUND(IF(E2="工业",C38*$M$39,C38*$M$38),0)</f>
        <v>33</v>
      </c>
      <c r="H38" s="200">
        <f t="shared" si="8"/>
        <v>0</v>
      </c>
      <c r="I38" s="200">
        <f t="shared" ca="1" si="9"/>
        <v>0</v>
      </c>
      <c r="J38" s="2850"/>
      <c r="K38" s="1370"/>
      <c r="L38" s="1887" t="s">
        <v>2929</v>
      </c>
      <c r="M38" s="2854">
        <v>0.25</v>
      </c>
      <c r="N38" s="1370"/>
      <c r="O38" s="1370"/>
      <c r="P38" s="1370"/>
      <c r="Q38" s="1370"/>
      <c r="R38" s="1370"/>
      <c r="S38" s="1370"/>
      <c r="T38" s="1370"/>
      <c r="U38" s="1370"/>
      <c r="V38" s="1370"/>
      <c r="W38" s="1370"/>
      <c r="X38" s="1370"/>
      <c r="Y38" s="1370"/>
      <c r="Z38" s="1371"/>
    </row>
    <row r="39" spans="1:37" ht="13.8" thickBot="1">
      <c r="A39" s="2837"/>
      <c r="B39" s="2855" t="s">
        <v>2930</v>
      </c>
      <c r="C39" s="229">
        <f ca="1">ROUND(D5*C19*C41*C24*F39,0)</f>
        <v>163</v>
      </c>
      <c r="D39" s="2839"/>
      <c r="E39" s="229">
        <f t="shared" ca="1" si="7"/>
        <v>0</v>
      </c>
      <c r="F39" s="932">
        <f>SUMIF(修正!A45:A56,G2,修正!H45:H56)</f>
        <v>0.15</v>
      </c>
      <c r="G39" s="229">
        <f ca="1">ROUND(IF(E2="工业",C39*$M$39,C39*$M$38),0)</f>
        <v>24</v>
      </c>
      <c r="H39" s="229">
        <f t="shared" si="8"/>
        <v>0</v>
      </c>
      <c r="I39" s="229">
        <f t="shared" ca="1" si="9"/>
        <v>0</v>
      </c>
      <c r="J39" s="2856"/>
      <c r="K39" s="1370"/>
      <c r="L39" s="2857" t="s">
        <v>2874</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6" t="s">
        <v>3038</v>
      </c>
      <c r="C41" s="388">
        <f ca="1">ROUND(POWER(1+E41,H41-G41)*(POWER(1+E41,G41)-1)/(POWER(1+E41,H41)-1),4)</f>
        <v>0.87660000000000005</v>
      </c>
      <c r="D41" s="200" t="s">
        <v>2881</v>
      </c>
      <c r="E41" s="2925">
        <f ca="1">G20</f>
        <v>4.8000000000000001E-2</v>
      </c>
      <c r="F41" s="200" t="s">
        <v>2890</v>
      </c>
      <c r="G41" s="218">
        <f>项目基本情况!I15</f>
        <v>33.54</v>
      </c>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 thickBot="1">
      <c r="A45" s="2860" t="s">
        <v>2931</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4.4" hidden="1">
      <c r="A46" s="2862" t="s">
        <v>2932</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5.2" hidden="1">
      <c r="A47" s="2866" t="s">
        <v>2933</v>
      </c>
      <c r="B47" s="1809" t="s">
        <v>2934</v>
      </c>
      <c r="C47" s="1809" t="s">
        <v>2935</v>
      </c>
      <c r="D47" s="1809" t="s">
        <v>2936</v>
      </c>
      <c r="E47" s="819" t="s">
        <v>2937</v>
      </c>
      <c r="F47" s="2867" t="s">
        <v>2938</v>
      </c>
      <c r="G47" s="1809" t="s">
        <v>754</v>
      </c>
      <c r="H47" s="2868" t="s">
        <v>2939</v>
      </c>
      <c r="I47" s="1809" t="s">
        <v>2940</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52.8" hidden="1">
      <c r="A48" s="2866" t="s">
        <v>2941</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hidden="1">
      <c r="A49" s="2866" t="s">
        <v>2942</v>
      </c>
      <c r="B49" s="2870" t="str">
        <f>估价对象房地状况!C18</f>
        <v>估价对象周边道路状况、公共交通通达情况、停车便捷程度，综合评价交通便捷度较好</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6" t="s">
        <v>2943</v>
      </c>
      <c r="B50" s="2870">
        <f>估价对象房地状况!C19</f>
        <v>0</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hidden="1">
      <c r="A51" s="2866" t="s">
        <v>2944</v>
      </c>
      <c r="B51" s="2871" t="s">
        <v>2945</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6" t="s">
        <v>2946</v>
      </c>
      <c r="B52" s="2870">
        <f>估价对象房地状况!C24</f>
        <v>0</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hidden="1">
      <c r="A53" s="2866" t="s">
        <v>2947</v>
      </c>
      <c r="B53" s="2872" t="s">
        <v>2948</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hidden="1">
      <c r="A54" s="2873" t="s">
        <v>2949</v>
      </c>
      <c r="B54" s="1725" t="str">
        <f>估价对象房地状况!C21</f>
        <v>估价对象所在区域公共配套设施齐备情况</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hidden="1">
      <c r="A55" s="2873" t="s">
        <v>2950</v>
      </c>
      <c r="B55" s="2870" t="str">
        <f>估价对象房地状况!C22</f>
        <v>估价对象所在区域基础设施水平</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hidden="1" thickBot="1">
      <c r="A56" s="2874" t="s">
        <v>2951</v>
      </c>
      <c r="B56" s="2875" t="str">
        <f>估价对象房地状况!C20</f>
        <v>区域自然环境：；人文环境；综合评价环境状况一般</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hidden="1">
      <c r="A57" s="2862" t="s">
        <v>2952</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hidden="1">
      <c r="A58" s="2866" t="s">
        <v>2933</v>
      </c>
      <c r="B58" s="1809"/>
      <c r="C58" s="1809" t="s">
        <v>2935</v>
      </c>
      <c r="D58" s="1809" t="s">
        <v>2936</v>
      </c>
      <c r="E58" s="819" t="s">
        <v>2937</v>
      </c>
      <c r="F58" s="2867" t="s">
        <v>2953</v>
      </c>
      <c r="G58" s="1809" t="s">
        <v>754</v>
      </c>
      <c r="H58" s="2868" t="s">
        <v>2939</v>
      </c>
      <c r="I58" s="1809" t="s">
        <v>2940</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52.8" hidden="1">
      <c r="A59" s="2866" t="s">
        <v>2954</v>
      </c>
      <c r="B59" s="2869" t="str">
        <f>估价对象房地状况!C17</f>
        <v>估价对象位于XX商圈，周边办公楼项目较多，入驻率高，办公集聚程度较好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hidden="1">
      <c r="A60" s="2866" t="s">
        <v>2942</v>
      </c>
      <c r="B60" s="2870" t="str">
        <f>估价对象房地状况!C18</f>
        <v>估价对象周边道路状况、公共交通通达情况、停车便捷程度，综合评价交通便捷度较好</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6" t="s">
        <v>2943</v>
      </c>
      <c r="B61" s="2870">
        <f>估价对象房地状况!C19</f>
        <v>0</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hidden="1">
      <c r="A62" s="2866" t="s">
        <v>2944</v>
      </c>
      <c r="B62" s="2871" t="s">
        <v>2945</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6" t="s">
        <v>2946</v>
      </c>
      <c r="B63" s="2870">
        <f>估价对象房地状况!C24</f>
        <v>0</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hidden="1">
      <c r="A64" s="2866" t="s">
        <v>2947</v>
      </c>
      <c r="B64" s="2872" t="s">
        <v>2948</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hidden="1">
      <c r="A65" s="2866" t="s">
        <v>2949</v>
      </c>
      <c r="B65" s="1725" t="str">
        <f>估价对象房地状况!C21</f>
        <v>估价对象所在区域公共配套设施齐备情况</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hidden="1">
      <c r="A66" s="2866" t="s">
        <v>2950</v>
      </c>
      <c r="B66" s="1725" t="str">
        <f>估价对象房地状况!C22</f>
        <v>估价对象所在区域基础设施水平</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hidden="1" thickBot="1">
      <c r="A67" s="2874" t="s">
        <v>2951</v>
      </c>
      <c r="B67" s="2876" t="str">
        <f>估价对象房地状况!C20</f>
        <v>区域自然环境：；人文环境；综合评价环境状况一般</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hidden="1">
      <c r="A68" s="2862" t="s">
        <v>2955</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hidden="1">
      <c r="A69" s="2866" t="s">
        <v>2933</v>
      </c>
      <c r="B69" s="1809"/>
      <c r="C69" s="1809" t="s">
        <v>2935</v>
      </c>
      <c r="D69" s="1809" t="s">
        <v>2936</v>
      </c>
      <c r="E69" s="819" t="s">
        <v>2937</v>
      </c>
      <c r="F69" s="2867" t="s">
        <v>2953</v>
      </c>
      <c r="G69" s="1809" t="s">
        <v>754</v>
      </c>
      <c r="H69" s="2868" t="s">
        <v>2939</v>
      </c>
      <c r="I69" s="1809" t="s">
        <v>2940</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66" hidden="1">
      <c r="A70" s="2866" t="s">
        <v>2956</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hidden="1">
      <c r="A71" s="2866" t="s">
        <v>2942</v>
      </c>
      <c r="B71" s="2870" t="str">
        <f>估价对象房地状况!C18</f>
        <v>估价对象周边道路状况、公共交通通达情况、停车便捷程度，综合评价交通便捷度较好</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6" t="s">
        <v>2943</v>
      </c>
      <c r="B72" s="2870">
        <f>估价对象房地状况!C19</f>
        <v>0</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hidden="1">
      <c r="A73" s="2866" t="s">
        <v>2957</v>
      </c>
      <c r="B73" s="2870">
        <f>估价对象房地状况!C24</f>
        <v>0</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hidden="1">
      <c r="A74" s="2866" t="s">
        <v>2949</v>
      </c>
      <c r="B74" s="1725" t="str">
        <f>估价对象房地状况!C21</f>
        <v>估价对象所在区域公共配套设施齐备情况</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hidden="1">
      <c r="A75" s="2866" t="s">
        <v>2950</v>
      </c>
      <c r="B75" s="1725" t="str">
        <f>估价对象房地状况!C22</f>
        <v>估价对象所在区域基础设施水平</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36" hidden="1">
      <c r="A76" s="2866" t="s">
        <v>2947</v>
      </c>
      <c r="B76" s="2872" t="s">
        <v>2948</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39.6" hidden="1">
      <c r="A77" s="2866" t="s">
        <v>2951</v>
      </c>
      <c r="B77" s="2869" t="str">
        <f>估价对象房地状况!C20</f>
        <v>区域自然环境：；人文环境；综合评价环境状况一般</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36.6" hidden="1" thickBot="1">
      <c r="A78" s="2874" t="s">
        <v>2958</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4.4">
      <c r="A79" s="2862" t="s">
        <v>2959</v>
      </c>
      <c r="B79" s="2863">
        <f>1+E81</f>
        <v>1.0116000000000001</v>
      </c>
      <c r="C79" s="814"/>
      <c r="D79" s="814"/>
      <c r="E79" s="815"/>
      <c r="F79" s="2865"/>
      <c r="G79" s="6"/>
      <c r="H79" s="6"/>
      <c r="I79" s="6"/>
      <c r="J79" s="7"/>
      <c r="K79" s="7"/>
      <c r="L79" s="7"/>
      <c r="M79" s="7"/>
      <c r="N79" s="7"/>
      <c r="Z79" s="2716"/>
      <c r="AA79" s="2784"/>
      <c r="AG79" s="1372"/>
      <c r="AK79" s="2784"/>
    </row>
    <row r="80" spans="1:37" ht="25.2">
      <c r="A80" s="2866" t="s">
        <v>2933</v>
      </c>
      <c r="B80" s="1809"/>
      <c r="C80" s="1809" t="s">
        <v>2935</v>
      </c>
      <c r="D80" s="1809" t="s">
        <v>2936</v>
      </c>
      <c r="E80" s="819" t="s">
        <v>2937</v>
      </c>
      <c r="F80" s="2867" t="s">
        <v>2953</v>
      </c>
      <c r="G80" s="1809" t="s">
        <v>754</v>
      </c>
      <c r="H80" s="2868" t="s">
        <v>2939</v>
      </c>
      <c r="I80" s="1809" t="s">
        <v>2940</v>
      </c>
      <c r="J80" s="603" t="s">
        <v>2589</v>
      </c>
      <c r="K80" s="603" t="s">
        <v>2590</v>
      </c>
      <c r="L80" s="603" t="s">
        <v>2591</v>
      </c>
      <c r="M80" s="603" t="s">
        <v>2592</v>
      </c>
      <c r="N80" s="603" t="s">
        <v>2593</v>
      </c>
      <c r="Z80" s="2716"/>
      <c r="AA80" s="2784"/>
      <c r="AG80" s="1372"/>
      <c r="AK80" s="2784"/>
    </row>
    <row r="81" spans="1:37" ht="79.2">
      <c r="A81" s="2866" t="s">
        <v>2960</v>
      </c>
      <c r="B81" s="2870" t="str">
        <f>估价对象房地状况!G15</f>
        <v>估价对象位于北京雁栖经济开发区，园区建设成熟，周边有波尔亚太金属容器公司、星达顺五星建材产业集聚程度较好。</v>
      </c>
      <c r="C81" s="2766" t="s">
        <v>3099</v>
      </c>
      <c r="D81" s="1286">
        <f t="shared" ref="D81:D88" si="25">SUMIF($J$80:$N$80,C81,J81:N81)</f>
        <v>6.4999999999999997E-3</v>
      </c>
      <c r="E81" s="821">
        <f>ROUND(SUM(D81:D88),4)</f>
        <v>1.1599999999999999E-2</v>
      </c>
      <c r="F81" s="2497">
        <f>IF(E2="工业",SUMIF(L1:L12,G2,N1:N12),"——")</f>
        <v>0.05</v>
      </c>
      <c r="G81" s="1284">
        <f>H81</f>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105.6">
      <c r="A82" s="2866" t="s">
        <v>2942</v>
      </c>
      <c r="B82" s="2870" t="str">
        <f>估价对象房地状况!G16</f>
        <v>估价对象紧邻城市次干道——杨雁路，公共交通通达情况一般，周边有864、936路等公交线路，停车便捷程度一般，综合评价交通便捷度一般。</v>
      </c>
      <c r="C82" s="2766" t="s">
        <v>3100</v>
      </c>
      <c r="D82" s="1286">
        <f t="shared" si="25"/>
        <v>0</v>
      </c>
      <c r="E82" s="826"/>
      <c r="F82" s="2497"/>
      <c r="G82" s="1284">
        <f t="shared" ref="G82:G88" si="30">H82</f>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39.6">
      <c r="A83" s="2866" t="s">
        <v>2943</v>
      </c>
      <c r="B83" s="2870" t="str">
        <f>估价对象房地状况!G17</f>
        <v>周边多为工业用地，对宗地利用无不利影响。</v>
      </c>
      <c r="C83" s="2766" t="s">
        <v>3099</v>
      </c>
      <c r="D83" s="1286">
        <f t="shared" si="25"/>
        <v>1.1999999999999999E-3</v>
      </c>
      <c r="E83" s="826"/>
      <c r="F83" s="2497"/>
      <c r="G83" s="1284">
        <f t="shared" si="30"/>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26.4">
      <c r="A84" s="2866" t="s">
        <v>2957</v>
      </c>
      <c r="B84" s="2870" t="str">
        <f>估价对象房地状况!G22</f>
        <v>城市次干道——杨雁路</v>
      </c>
      <c r="C84" s="2766" t="s">
        <v>3100</v>
      </c>
      <c r="D84" s="1286">
        <f t="shared" si="25"/>
        <v>0</v>
      </c>
      <c r="E84" s="826"/>
      <c r="F84" s="2497"/>
      <c r="G84" s="1284">
        <f t="shared" si="30"/>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118.8">
      <c r="A85" s="2866" t="s">
        <v>2949</v>
      </c>
      <c r="B85" s="1725" t="str">
        <f>估价对象房地状况!G19</f>
        <v>估价对象周边2公里范围内有银行（中国银行），超市（世纪华联超市），学校（怀柔区职业学校），医院（雁栖镇北台下社区卫生服务站），公共配套设施程度一般。</v>
      </c>
      <c r="C85" s="2766" t="s">
        <v>3100</v>
      </c>
      <c r="D85" s="1286">
        <f t="shared" si="25"/>
        <v>0</v>
      </c>
      <c r="E85" s="826"/>
      <c r="F85" s="2497"/>
      <c r="G85" s="1284">
        <f t="shared" si="30"/>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39.6">
      <c r="A86" s="2866" t="s">
        <v>2950</v>
      </c>
      <c r="B86" s="1725" t="str">
        <f>估价对象房地状况!G20</f>
        <v>估价对象所在区域基础设施水平达到“五通”。</v>
      </c>
      <c r="C86" s="2766" t="s">
        <v>3100</v>
      </c>
      <c r="D86" s="1286">
        <f t="shared" si="25"/>
        <v>0</v>
      </c>
      <c r="E86" s="826"/>
      <c r="F86" s="2497"/>
      <c r="G86" s="1284">
        <f t="shared" si="30"/>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36">
      <c r="A87" s="2866" t="s">
        <v>2947</v>
      </c>
      <c r="B87" s="2872" t="s">
        <v>2961</v>
      </c>
      <c r="C87" s="2766" t="s">
        <v>3101</v>
      </c>
      <c r="D87" s="1286">
        <f t="shared" si="25"/>
        <v>2.3999999999999998E-3</v>
      </c>
      <c r="E87" s="826"/>
      <c r="F87" s="2497"/>
      <c r="G87" s="1284">
        <f t="shared" si="30"/>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53.4" thickBot="1">
      <c r="A88" s="2874" t="s">
        <v>2962</v>
      </c>
      <c r="B88" s="2879" t="str">
        <f>估价对象房地状况!G18</f>
        <v>该园区内无污染型企业，绿化较好，卫生条件良好，整体环境状况较好。</v>
      </c>
      <c r="C88" s="2766" t="s">
        <v>3099</v>
      </c>
      <c r="D88" s="1286">
        <f t="shared" si="25"/>
        <v>1.5E-3</v>
      </c>
      <c r="E88" s="827"/>
      <c r="F88" s="2497"/>
      <c r="G88" s="1284">
        <f t="shared" si="30"/>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173" t="s">
        <v>2963</v>
      </c>
      <c r="B90" s="3173"/>
      <c r="C90" s="3173"/>
      <c r="D90" s="3173"/>
      <c r="E90" s="3173"/>
      <c r="F90" s="3173"/>
      <c r="G90" s="3173"/>
      <c r="H90" s="3173"/>
      <c r="I90" s="3173"/>
      <c r="J90" s="3173"/>
      <c r="K90" s="2880"/>
      <c r="L90" s="2880"/>
      <c r="M90" s="2880"/>
      <c r="N90" s="2880"/>
    </row>
    <row r="91" spans="1:37">
      <c r="A91" s="3175" t="s">
        <v>2964</v>
      </c>
      <c r="B91" s="3175" t="s">
        <v>2965</v>
      </c>
      <c r="C91" s="2834" t="s">
        <v>2966</v>
      </c>
      <c r="D91" s="2835"/>
      <c r="E91" s="2835"/>
      <c r="F91" s="2835"/>
      <c r="G91" s="2835"/>
      <c r="H91" s="2835"/>
      <c r="I91" s="2835"/>
      <c r="J91" s="2881"/>
      <c r="K91" s="2882"/>
      <c r="L91" s="2882"/>
      <c r="M91" s="2882"/>
      <c r="N91" s="2882"/>
    </row>
    <row r="92" spans="1:37">
      <c r="A92" s="3175"/>
      <c r="B92" s="3175"/>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176" t="s">
        <v>2967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77"/>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77"/>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77"/>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77"/>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77"/>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77"/>
      <c r="B99" s="2883" t="s">
        <v>2849</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178"/>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176" t="s">
        <v>2968</v>
      </c>
      <c r="B101" s="2887" t="s">
        <v>2969</v>
      </c>
      <c r="C101" s="2888">
        <f>$G$3</f>
        <v>0.66</v>
      </c>
      <c r="D101" s="2888">
        <f t="shared" ref="D101:N101" si="32">$G$3</f>
        <v>0.66</v>
      </c>
      <c r="E101" s="2888">
        <f t="shared" si="32"/>
        <v>0.66</v>
      </c>
      <c r="F101" s="2888">
        <f t="shared" si="32"/>
        <v>0.66</v>
      </c>
      <c r="G101" s="2888">
        <f t="shared" si="32"/>
        <v>0.66</v>
      </c>
      <c r="H101" s="2888">
        <f t="shared" si="32"/>
        <v>0.66</v>
      </c>
      <c r="I101" s="2888">
        <f t="shared" si="32"/>
        <v>0.66</v>
      </c>
      <c r="J101" s="2888">
        <f t="shared" si="32"/>
        <v>0.66</v>
      </c>
      <c r="K101" s="2888">
        <f t="shared" si="32"/>
        <v>0.66</v>
      </c>
      <c r="L101" s="2888">
        <f t="shared" si="32"/>
        <v>0.66</v>
      </c>
      <c r="M101" s="2888">
        <f t="shared" si="32"/>
        <v>0.66</v>
      </c>
      <c r="N101" s="2888">
        <f t="shared" si="32"/>
        <v>0.66</v>
      </c>
    </row>
    <row r="102" spans="1:14">
      <c r="A102" s="3177"/>
      <c r="B102" s="2883">
        <v>1</v>
      </c>
      <c r="C102" s="2884">
        <f>1.9362/C101</f>
        <v>2.9336363636363636</v>
      </c>
      <c r="D102" s="2884">
        <f>1.9362/D101</f>
        <v>2.9336363636363636</v>
      </c>
      <c r="E102" s="2884">
        <f>1.8629/E101</f>
        <v>2.8225757575757573</v>
      </c>
      <c r="F102" s="2884">
        <f>1.8629/F101</f>
        <v>2.8225757575757573</v>
      </c>
      <c r="G102" s="2884">
        <f>1.8629/G101</f>
        <v>2.8225757575757573</v>
      </c>
      <c r="H102" s="2884">
        <f>1.8629/H101</f>
        <v>2.8225757575757573</v>
      </c>
      <c r="I102" s="2884">
        <f>1.8629/I101</f>
        <v>2.8225757575757573</v>
      </c>
      <c r="J102" s="2884">
        <f>1.942/J101</f>
        <v>2.9424242424242424</v>
      </c>
      <c r="K102" s="2884">
        <f>1.942/K101</f>
        <v>2.9424242424242424</v>
      </c>
      <c r="L102" s="2884">
        <f>1.942/L101</f>
        <v>2.9424242424242424</v>
      </c>
      <c r="M102" s="2884">
        <f>1.942/M101</f>
        <v>2.9424242424242424</v>
      </c>
      <c r="N102" s="2884">
        <f>1.942/N101</f>
        <v>2.9424242424242424</v>
      </c>
    </row>
    <row r="103" spans="1:14">
      <c r="A103" s="3177"/>
      <c r="B103" s="2883">
        <v>2</v>
      </c>
      <c r="C103" s="2884">
        <f>1.4198/C101</f>
        <v>2.1512121212121209</v>
      </c>
      <c r="D103" s="2884">
        <f>1.4198/D101</f>
        <v>2.1512121212121209</v>
      </c>
      <c r="E103" s="2884">
        <f>1.3372/E101</f>
        <v>2.0260606060606059</v>
      </c>
      <c r="F103" s="2884">
        <f>1.3372/F101</f>
        <v>2.0260606060606059</v>
      </c>
      <c r="G103" s="2884">
        <f>1.3372/G101</f>
        <v>2.0260606060606059</v>
      </c>
      <c r="H103" s="2884">
        <f>1.3372/H101</f>
        <v>2.0260606060606059</v>
      </c>
      <c r="I103" s="2884">
        <f>1.3372/I101</f>
        <v>2.0260606060606059</v>
      </c>
      <c r="J103" s="2884">
        <f>1.2799/J101</f>
        <v>1.9392424242424242</v>
      </c>
      <c r="K103" s="2884">
        <f>1.2799/K101</f>
        <v>1.9392424242424242</v>
      </c>
      <c r="L103" s="2884">
        <f>1.2799/L101</f>
        <v>1.9392424242424242</v>
      </c>
      <c r="M103" s="2884">
        <f>1.2799/M101</f>
        <v>1.9392424242424242</v>
      </c>
      <c r="N103" s="2884">
        <f>1.2799/N101</f>
        <v>1.9392424242424242</v>
      </c>
    </row>
    <row r="104" spans="1:14">
      <c r="A104" s="3177"/>
      <c r="B104" s="2883">
        <v>3</v>
      </c>
      <c r="C104" s="2884">
        <f>1.1594/C101</f>
        <v>1.7566666666666666</v>
      </c>
      <c r="D104" s="2884">
        <f>1.1594/D101</f>
        <v>1.7566666666666666</v>
      </c>
      <c r="E104" s="2884">
        <f>1.0788/E101</f>
        <v>1.6345454545454545</v>
      </c>
      <c r="F104" s="2884">
        <f>1.0788/F101</f>
        <v>1.6345454545454545</v>
      </c>
      <c r="G104" s="2884">
        <f>1.0788/G101</f>
        <v>1.6345454545454545</v>
      </c>
      <c r="H104" s="2884">
        <f>1.0788/H101</f>
        <v>1.6345454545454545</v>
      </c>
      <c r="I104" s="2884">
        <f>1.0788/I101</f>
        <v>1.6345454545454545</v>
      </c>
      <c r="J104" s="2884">
        <f>1.0072/J101</f>
        <v>1.5260606060606061</v>
      </c>
      <c r="K104" s="2884">
        <f>1.0072/K101</f>
        <v>1.5260606060606061</v>
      </c>
      <c r="L104" s="2884">
        <f>1.0072/L101</f>
        <v>1.5260606060606061</v>
      </c>
      <c r="M104" s="2884">
        <f>1.0072/M101</f>
        <v>1.5260606060606061</v>
      </c>
      <c r="N104" s="2884">
        <f>1.0072/N101</f>
        <v>1.5260606060606061</v>
      </c>
    </row>
    <row r="105" spans="1:14">
      <c r="A105" s="3177"/>
      <c r="B105" s="2883">
        <v>4</v>
      </c>
      <c r="C105" s="2884">
        <f>0.9622/C101</f>
        <v>1.457878787878788</v>
      </c>
      <c r="D105" s="2884">
        <f>0.9622/D101</f>
        <v>1.457878787878788</v>
      </c>
      <c r="E105" s="2884">
        <f>0.8656/E101</f>
        <v>1.3115151515151515</v>
      </c>
      <c r="F105" s="2884">
        <f>0.8656/F101</f>
        <v>1.3115151515151515</v>
      </c>
      <c r="G105" s="2884">
        <f>0.8656/G101</f>
        <v>1.3115151515151515</v>
      </c>
      <c r="H105" s="2884">
        <f>0.8656/H101</f>
        <v>1.3115151515151515</v>
      </c>
      <c r="I105" s="2884">
        <f>0.8656/I101</f>
        <v>1.3115151515151515</v>
      </c>
      <c r="J105" s="2884">
        <f>0.7525/J101</f>
        <v>1.1401515151515149</v>
      </c>
      <c r="K105" s="2884">
        <f>0.7525/K101</f>
        <v>1.1401515151515149</v>
      </c>
      <c r="L105" s="2884">
        <f>0.7525/L101</f>
        <v>1.1401515151515149</v>
      </c>
      <c r="M105" s="2884">
        <f>0.7525/M101</f>
        <v>1.1401515151515149</v>
      </c>
      <c r="N105" s="2884">
        <f>0.7525/N101</f>
        <v>1.1401515151515149</v>
      </c>
    </row>
    <row r="106" spans="1:14">
      <c r="A106" s="3177"/>
      <c r="B106" s="2883">
        <v>5</v>
      </c>
      <c r="C106" s="2884">
        <f>0.8417/C101</f>
        <v>1.2753030303030302</v>
      </c>
      <c r="D106" s="2884">
        <f>0.8417/D101</f>
        <v>1.2753030303030302</v>
      </c>
      <c r="E106" s="2884">
        <f>0.7371/E101</f>
        <v>1.1168181818181817</v>
      </c>
      <c r="F106" s="2884">
        <f>0.7371/F101</f>
        <v>1.1168181818181817</v>
      </c>
      <c r="G106" s="2884">
        <f>0.7371/G101</f>
        <v>1.1168181818181817</v>
      </c>
      <c r="H106" s="2884">
        <f>0.7371/H101</f>
        <v>1.1168181818181817</v>
      </c>
      <c r="I106" s="2884">
        <f>0.7371/I101</f>
        <v>1.1168181818181817</v>
      </c>
      <c r="J106" s="2884">
        <f>0.5659/J101</f>
        <v>0.85742424242424231</v>
      </c>
      <c r="K106" s="2884">
        <f>0.5659/K101</f>
        <v>0.85742424242424231</v>
      </c>
      <c r="L106" s="2884">
        <f>0.5659/L101</f>
        <v>0.85742424242424231</v>
      </c>
      <c r="M106" s="2884">
        <f>0.5659/M101</f>
        <v>0.85742424242424231</v>
      </c>
      <c r="N106" s="2884">
        <f>0.5659/N101</f>
        <v>0.85742424242424231</v>
      </c>
    </row>
    <row r="107" spans="1:14">
      <c r="A107" s="3177"/>
      <c r="B107" s="2883">
        <v>6</v>
      </c>
      <c r="C107" s="2884">
        <f>0.7608/C101</f>
        <v>1.1527272727272728</v>
      </c>
      <c r="D107" s="2884">
        <f>0.7608/D101</f>
        <v>1.1527272727272728</v>
      </c>
      <c r="E107" s="2884">
        <f>0.6482/E101</f>
        <v>0.98212121212121206</v>
      </c>
      <c r="F107" s="2884">
        <f>0.6482/F101</f>
        <v>0.98212121212121206</v>
      </c>
      <c r="G107" s="2884">
        <f>0.6482/G101</f>
        <v>0.98212121212121206</v>
      </c>
      <c r="H107" s="2884">
        <f>0.6482/H101</f>
        <v>0.98212121212121206</v>
      </c>
      <c r="I107" s="2884">
        <f>0.6482/I101</f>
        <v>0.98212121212121206</v>
      </c>
      <c r="J107" s="2884">
        <f>0.4525/J101</f>
        <v>0.68560606060606055</v>
      </c>
      <c r="K107" s="2884">
        <f>0.4525/K101</f>
        <v>0.68560606060606055</v>
      </c>
      <c r="L107" s="2884">
        <f>0.4525/L101</f>
        <v>0.68560606060606055</v>
      </c>
      <c r="M107" s="2884">
        <f>0.4525/M101</f>
        <v>0.68560606060606055</v>
      </c>
      <c r="N107" s="2884">
        <f>0.4525/N101</f>
        <v>0.68560606060606055</v>
      </c>
    </row>
    <row r="108" spans="1:14">
      <c r="A108" s="3177"/>
      <c r="B108" s="3131" t="s">
        <v>2970</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178"/>
      <c r="B109" s="3132"/>
      <c r="C109" s="2886">
        <f>(-0.163*(C108^2)-0.59*C108+7617)*(10^(-4))/C101</f>
        <v>1.1540909090909091</v>
      </c>
      <c r="D109" s="2886">
        <f>(-0.163*(D108^2)-0.59*D108+7617)*(10^(-4))/D101</f>
        <v>1.1540909090909091</v>
      </c>
      <c r="E109" s="2886">
        <f>(-0.161*(E108^2)-7.509*E108+6533)*(10^(-4))/E101</f>
        <v>0.98984848484848476</v>
      </c>
      <c r="F109" s="2886">
        <f>(-0.161*(F108^2)-7.509*F108+6533)*(10^(-4))/F101</f>
        <v>0.98984848484848476</v>
      </c>
      <c r="G109" s="2886">
        <f>(-0.161*(G108^2)-7.509*G108+6533)*(10^(-4))/G101</f>
        <v>0.98984848484848476</v>
      </c>
      <c r="H109" s="2886">
        <f>(-0.161*(H108^2)-7.509*H108+6533)*(10^(-4))/H101</f>
        <v>0.98984848484848476</v>
      </c>
      <c r="I109" s="2886">
        <f>(-0.161*(I108^2)-7.509*I108+6533)*(10^(-4))/I101</f>
        <v>0.98984848484848476</v>
      </c>
      <c r="J109" s="2886">
        <f>(-0.214*(J108^2)-21.991*J108+4665)*(10^(-4))/J101</f>
        <v>0.70681818181818179</v>
      </c>
      <c r="K109" s="2886">
        <f>(-0.214*(K108^2)-21.991*K108+4665)*(10^(-4))/K101</f>
        <v>0.70681818181818179</v>
      </c>
      <c r="L109" s="2886">
        <f>(-0.214*(L108^2)-21.991*L108+4665)*(10^(-4))/L101</f>
        <v>0.70681818181818179</v>
      </c>
      <c r="M109" s="2886">
        <f>(-0.214*(M108^2)-21.991*M108+4665)*(10^(-4))/M101</f>
        <v>0.70681818181818179</v>
      </c>
      <c r="N109" s="2886">
        <f>(-0.214*(N108^2)-21.991*N108+4665)*(10^(-4))/N101</f>
        <v>0.70681818181818179</v>
      </c>
    </row>
    <row r="110" spans="1:14">
      <c r="A110" s="3174" t="s">
        <v>2971</v>
      </c>
      <c r="B110" s="3174"/>
      <c r="C110" s="3174"/>
      <c r="D110" s="3174"/>
      <c r="E110" s="3174"/>
      <c r="F110" s="3174"/>
      <c r="G110" s="3174"/>
      <c r="H110" s="3174"/>
      <c r="I110" s="3174"/>
      <c r="J110" s="3174"/>
      <c r="K110" s="2889"/>
      <c r="L110" s="2889"/>
      <c r="M110" s="2889"/>
      <c r="N110" s="2889"/>
    </row>
    <row r="112" spans="1:14" ht="13.8" thickBot="1"/>
    <row r="113" spans="1:13" ht="25.8" thickBot="1">
      <c r="A113" s="903" t="s">
        <v>2972</v>
      </c>
      <c r="B113" s="1287">
        <f>G3</f>
        <v>0.66</v>
      </c>
      <c r="C113" s="904" t="s">
        <v>2973</v>
      </c>
      <c r="D113" s="905">
        <f>SUMPRODUCT((A115:A118=F113)*(B114:M114=H113)*B115:M118)</f>
        <v>0.55769999999999997</v>
      </c>
      <c r="E113" s="2720" t="s">
        <v>2806</v>
      </c>
      <c r="F113" s="2891" t="str">
        <f>E2</f>
        <v>工业</v>
      </c>
      <c r="G113" s="2720" t="s">
        <v>2807</v>
      </c>
      <c r="H113" s="2891" t="str">
        <f>G2</f>
        <v>九级</v>
      </c>
      <c r="I113" s="2720"/>
      <c r="J113" s="2892"/>
      <c r="K113" s="2892"/>
      <c r="L113" s="2892"/>
      <c r="M113" s="2892"/>
    </row>
    <row r="114" spans="1:13">
      <c r="A114" s="908"/>
      <c r="B114" s="2893" t="s">
        <v>2974</v>
      </c>
      <c r="C114" s="2893" t="s">
        <v>2975</v>
      </c>
      <c r="D114" s="2893" t="s">
        <v>2976</v>
      </c>
      <c r="E114" s="2894" t="s">
        <v>2977</v>
      </c>
      <c r="F114" s="2894" t="s">
        <v>2978</v>
      </c>
      <c r="G114" s="2894" t="s">
        <v>2979</v>
      </c>
      <c r="H114" s="2895" t="s">
        <v>2980</v>
      </c>
      <c r="I114" s="2895" t="s">
        <v>2981</v>
      </c>
      <c r="J114" s="2896" t="s">
        <v>2982</v>
      </c>
      <c r="K114" s="2896" t="s">
        <v>2983</v>
      </c>
      <c r="L114" s="2896" t="s">
        <v>2984</v>
      </c>
      <c r="M114" s="2897" t="s">
        <v>2985</v>
      </c>
    </row>
    <row r="115" spans="1:13">
      <c r="A115" s="909" t="s">
        <v>2871</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4">I115</f>
        <v>0.67879999999999996</v>
      </c>
      <c r="K115" s="910">
        <f t="shared" si="34"/>
        <v>0.67879999999999996</v>
      </c>
      <c r="L115" s="910">
        <f t="shared" si="34"/>
        <v>0.67879999999999996</v>
      </c>
      <c r="M115" s="911">
        <f t="shared" si="34"/>
        <v>0.67879999999999996</v>
      </c>
    </row>
    <row r="116" spans="1:13">
      <c r="A116" s="909" t="s">
        <v>2872</v>
      </c>
      <c r="B116" s="910">
        <f>ROUND(0.949-0.012*B113,4)</f>
        <v>0.94110000000000005</v>
      </c>
      <c r="C116" s="910">
        <f>B116</f>
        <v>0.94110000000000005</v>
      </c>
      <c r="D116" s="910">
        <f>ROUND(0.8567-0.013*B113,4)</f>
        <v>0.84809999999999997</v>
      </c>
      <c r="E116" s="910">
        <f t="shared" ref="E116:H117" si="35">D116</f>
        <v>0.84809999999999997</v>
      </c>
      <c r="F116" s="910">
        <f t="shared" si="35"/>
        <v>0.84809999999999997</v>
      </c>
      <c r="G116" s="910">
        <f t="shared" si="35"/>
        <v>0.84809999999999997</v>
      </c>
      <c r="H116" s="910">
        <f t="shared" si="35"/>
        <v>0.84809999999999997</v>
      </c>
      <c r="I116" s="910">
        <f>ROUND(0.7694-0.014*B113,4)</f>
        <v>0.76019999999999999</v>
      </c>
      <c r="J116" s="910">
        <f t="shared" si="34"/>
        <v>0.76019999999999999</v>
      </c>
      <c r="K116" s="910">
        <f t="shared" si="34"/>
        <v>0.76019999999999999</v>
      </c>
      <c r="L116" s="910">
        <f t="shared" si="34"/>
        <v>0.76019999999999999</v>
      </c>
      <c r="M116" s="911">
        <f t="shared" si="34"/>
        <v>0.76019999999999999</v>
      </c>
    </row>
    <row r="117" spans="1:13">
      <c r="A117" s="909" t="s">
        <v>2873</v>
      </c>
      <c r="B117" s="910">
        <f>ROUND(0.8808-0.006*B113,4)</f>
        <v>0.87680000000000002</v>
      </c>
      <c r="C117" s="910">
        <f>B117</f>
        <v>0.87680000000000002</v>
      </c>
      <c r="D117" s="910">
        <f>ROUND(0.8748-0.008*B113,4)</f>
        <v>0.86950000000000005</v>
      </c>
      <c r="E117" s="910">
        <f t="shared" si="35"/>
        <v>0.86950000000000005</v>
      </c>
      <c r="F117" s="910">
        <f t="shared" si="35"/>
        <v>0.86950000000000005</v>
      </c>
      <c r="G117" s="910">
        <f t="shared" si="35"/>
        <v>0.86950000000000005</v>
      </c>
      <c r="H117" s="910">
        <f t="shared" si="35"/>
        <v>0.86950000000000005</v>
      </c>
      <c r="I117" s="910">
        <f>ROUND(0.7412-0.0095*B113,4)</f>
        <v>0.7349</v>
      </c>
      <c r="J117" s="910">
        <f t="shared" si="34"/>
        <v>0.7349</v>
      </c>
      <c r="K117" s="910">
        <f t="shared" si="34"/>
        <v>0.7349</v>
      </c>
      <c r="L117" s="910">
        <f t="shared" si="34"/>
        <v>0.7349</v>
      </c>
      <c r="M117" s="911">
        <f t="shared" si="34"/>
        <v>0.7349</v>
      </c>
    </row>
    <row r="118" spans="1:13" ht="13.8" thickBot="1">
      <c r="A118" s="714" t="s">
        <v>2874</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4"/>
        <v>0.55769999999999997</v>
      </c>
      <c r="K118" s="912">
        <f t="shared" si="34"/>
        <v>0.55769999999999997</v>
      </c>
      <c r="L118" s="912">
        <f t="shared" si="34"/>
        <v>0.55769999999999997</v>
      </c>
      <c r="M118" s="913">
        <f t="shared" si="34"/>
        <v>0.55769999999999997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81:C88 C70:C78 C48:C56 C59:C67" xr:uid="{00000000-0002-0000-1500-000008000000}">
      <formula1>五等判定</formula1>
    </dataValidation>
    <dataValidation type="list" allowBlank="1" showInputMessage="1" showErrorMessage="1" sqref="H19" xr:uid="{00000000-0002-0000-1500-000009000000}">
      <formula1>"地价指数,季度增幅（自定义）,按公示增长率计算"</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F13"/>
  <sheetViews>
    <sheetView topLeftCell="A4" workbookViewId="0">
      <selection activeCell="E21" sqref="E21:E44"/>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7" t="s">
        <v>2518</v>
      </c>
      <c r="B1" s="2558"/>
      <c r="C1" s="2558"/>
      <c r="D1" s="2558"/>
      <c r="E1" s="2559"/>
    </row>
    <row r="2" spans="1:6" ht="15.6">
      <c r="A2" s="2560" t="s">
        <v>2319</v>
      </c>
      <c r="B2" s="2561">
        <f ca="1">SUMIF(B6:B13,"&lt;&gt;#ref!",B6:B13)</f>
        <v>8826</v>
      </c>
      <c r="C2" s="2562" t="s">
        <v>2511</v>
      </c>
      <c r="D2" s="2563" t="s">
        <v>2512</v>
      </c>
      <c r="E2" s="2564">
        <f>SUM(E6:E13)</f>
        <v>15950.359999999999</v>
      </c>
    </row>
    <row r="3" spans="1:6" ht="15.6">
      <c r="A3" s="2560" t="s">
        <v>1389</v>
      </c>
      <c r="B3" s="2561">
        <f ca="1">ROUND(B2*10000/E2,0)</f>
        <v>5533</v>
      </c>
      <c r="C3" s="2562" t="s">
        <v>2519</v>
      </c>
      <c r="D3" s="2565"/>
      <c r="E3" s="2566"/>
    </row>
    <row r="4" spans="1:6" ht="15.6">
      <c r="A4" s="2567"/>
      <c r="B4" s="2565"/>
      <c r="C4" s="2565"/>
      <c r="D4" s="2565"/>
      <c r="E4" s="2566"/>
    </row>
    <row r="5" spans="1:6" ht="14.4">
      <c r="A5" s="2568" t="s">
        <v>2513</v>
      </c>
      <c r="B5" s="3184" t="s">
        <v>2514</v>
      </c>
      <c r="C5" s="3184"/>
      <c r="D5" s="2569"/>
      <c r="E5" s="2570" t="s">
        <v>2515</v>
      </c>
      <c r="F5" s="2571" t="s">
        <v>2516</v>
      </c>
    </row>
    <row r="6" spans="1:6" ht="14.4">
      <c r="A6" s="2572" t="str">
        <f>'数据-取费表'!AN6</f>
        <v>收益法</v>
      </c>
      <c r="B6" s="2571">
        <f ca="1">IF(F6="是",'数据-取费表'!AO6,0)</f>
        <v>7340</v>
      </c>
      <c r="C6" s="2562" t="s">
        <v>2511</v>
      </c>
      <c r="D6" s="2565"/>
      <c r="E6" s="2573">
        <f>IF(OR(A6=0,F6="否"),0,'数据-取费表'!K6+'数据-取费表'!S6)</f>
        <v>14131.06</v>
      </c>
      <c r="F6" s="2574" t="s">
        <v>2517</v>
      </c>
    </row>
    <row r="7" spans="1:6" ht="14.4">
      <c r="A7" s="2572" t="str">
        <f>'数据-取费表'!AN7</f>
        <v>收益法 (配套办公)</v>
      </c>
      <c r="B7" s="2571">
        <f ca="1">IF(F7="是",'数据-取费表'!AO7,0)</f>
        <v>1486</v>
      </c>
      <c r="C7" s="2562" t="s">
        <v>2511</v>
      </c>
      <c r="D7" s="2565"/>
      <c r="E7" s="2573">
        <f>IF(OR(A7=0,F7="否"),0,'数据-取费表'!K7+'数据-取费表'!S7)</f>
        <v>1819.3</v>
      </c>
      <c r="F7" s="2574" t="s">
        <v>2517</v>
      </c>
    </row>
    <row r="8" spans="1:6" ht="14.4">
      <c r="A8" s="2572">
        <f>'数据-取费表'!AN8</f>
        <v>0</v>
      </c>
      <c r="B8" s="2571" t="e">
        <f ca="1">IF(F8="是",'数据-取费表'!AO8,0)</f>
        <v>#REF!</v>
      </c>
      <c r="C8" s="2562" t="s">
        <v>2511</v>
      </c>
      <c r="D8" s="2565"/>
      <c r="E8" s="2573">
        <f>IF(OR(A8=0,F8="否"),0,'数据-取费表'!K8+'数据-取费表'!S8)</f>
        <v>0</v>
      </c>
      <c r="F8" s="2574" t="s">
        <v>2517</v>
      </c>
    </row>
    <row r="9" spans="1:6" ht="14.4">
      <c r="A9" s="2572">
        <f>'数据-取费表'!AN9</f>
        <v>0</v>
      </c>
      <c r="B9" s="2571" t="e">
        <f ca="1">IF(F9="是",'数据-取费表'!AO9,0)</f>
        <v>#REF!</v>
      </c>
      <c r="C9" s="2562" t="s">
        <v>2511</v>
      </c>
      <c r="D9" s="2565"/>
      <c r="E9" s="2573">
        <f>IF(OR(A9=0,F9="否"),0,'数据-取费表'!K9+'数据-取费表'!S9)</f>
        <v>0</v>
      </c>
      <c r="F9" s="2574" t="s">
        <v>2517</v>
      </c>
    </row>
    <row r="10" spans="1:6" ht="14.4">
      <c r="A10" s="2572">
        <f>'数据-取费表'!AN10</f>
        <v>0</v>
      </c>
      <c r="B10" s="2571" t="e">
        <f ca="1">IF(F10="是",'数据-取费表'!AO10,0)</f>
        <v>#REF!</v>
      </c>
      <c r="C10" s="2562" t="s">
        <v>2511</v>
      </c>
      <c r="D10" s="2565"/>
      <c r="E10" s="2573">
        <f>IF(OR(A10=0,F10="否"),0,'数据-取费表'!K10+'数据-取费表'!S10)</f>
        <v>0</v>
      </c>
      <c r="F10" s="2574" t="s">
        <v>2517</v>
      </c>
    </row>
    <row r="11" spans="1:6" ht="14.4">
      <c r="A11" s="2572">
        <f>'数据-取费表'!AN11</f>
        <v>0</v>
      </c>
      <c r="B11" s="2571" t="e">
        <f ca="1">IF(F11="是",'数据-取费表'!AO11,0)</f>
        <v>#REF!</v>
      </c>
      <c r="C11" s="2562" t="s">
        <v>2511</v>
      </c>
      <c r="D11" s="2565"/>
      <c r="E11" s="2573">
        <f>IF(OR(A11=0,F11="否"),0,'数据-取费表'!K11+'数据-取费表'!S11)</f>
        <v>0</v>
      </c>
      <c r="F11" s="2574" t="s">
        <v>2517</v>
      </c>
    </row>
    <row r="12" spans="1:6" ht="14.4">
      <c r="A12" s="2572">
        <f>'数据-取费表'!AN12</f>
        <v>0</v>
      </c>
      <c r="B12" s="2571" t="e">
        <f ca="1">IF(F12="是",'数据-取费表'!AO12,0)</f>
        <v>#REF!</v>
      </c>
      <c r="C12" s="2562" t="s">
        <v>2511</v>
      </c>
      <c r="D12" s="2565"/>
      <c r="E12" s="2573">
        <f>IF(OR(A12=0,F12="否"),0,'数据-取费表'!K12+'数据-取费表'!S12)</f>
        <v>0</v>
      </c>
      <c r="F12" s="2574" t="s">
        <v>2517</v>
      </c>
    </row>
    <row r="13" spans="1:6" ht="15" thickBot="1">
      <c r="A13" s="2575">
        <f>'数据-取费表'!AN13</f>
        <v>0</v>
      </c>
      <c r="B13" s="2571" t="e">
        <f ca="1">IF(F13="是",'数据-取费表'!AO13,0)</f>
        <v>#REF!</v>
      </c>
      <c r="C13" s="2576" t="s">
        <v>2511</v>
      </c>
      <c r="D13" s="2577"/>
      <c r="E13" s="2573">
        <f>IF(OR(A13=0,F13="否"),0,'数据-取费表'!K13+'数据-取费表'!S13)</f>
        <v>0</v>
      </c>
      <c r="F13" s="2574"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600-000000000000}">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topLeftCell="A13" zoomScale="80" zoomScaleNormal="80" zoomScaleSheetLayoutView="90" workbookViewId="0">
      <selection activeCell="J34" sqref="J3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t="s">
        <v>6</v>
      </c>
      <c r="D1" s="1820"/>
      <c r="E1" s="1821" t="s">
        <v>1381</v>
      </c>
      <c r="F1" s="1283">
        <f ca="1">J53</f>
        <v>33.54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7340</v>
      </c>
      <c r="C2" s="1845" t="s">
        <v>1510</v>
      </c>
      <c r="D2" s="1845"/>
      <c r="E2" s="1846"/>
      <c r="F2" s="1847"/>
      <c r="G2" s="1848"/>
      <c r="H2" s="1840"/>
      <c r="I2" s="1840"/>
      <c r="J2" s="1840"/>
      <c r="K2" s="1841"/>
      <c r="L2" s="1840"/>
      <c r="M2" s="1840"/>
    </row>
    <row r="3" spans="1:37" ht="18" customHeight="1" thickBot="1">
      <c r="A3" s="1849" t="s">
        <v>1511</v>
      </c>
      <c r="B3" s="1850">
        <f ca="1">IF(ISERROR(B2*10000/F43),0,ROUND(B2*10000/F43,0))</f>
        <v>5194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465</v>
      </c>
      <c r="D5" s="1822" t="s">
        <v>1396</v>
      </c>
      <c r="E5" s="1293"/>
      <c r="F5" s="1294"/>
      <c r="G5" s="1851"/>
      <c r="H5" s="344">
        <v>1</v>
      </c>
      <c r="I5" s="345" t="s">
        <v>1395</v>
      </c>
      <c r="J5" s="1292">
        <f ca="1">J6+J10+J12</f>
        <v>0</v>
      </c>
      <c r="K5" s="1822" t="s">
        <v>1396</v>
      </c>
      <c r="L5" s="1293"/>
      <c r="M5" s="1294"/>
    </row>
    <row r="6" spans="1:37" ht="18" customHeight="1">
      <c r="A6" s="1291" t="s">
        <v>1031</v>
      </c>
      <c r="B6" s="3187" t="s">
        <v>1397</v>
      </c>
      <c r="C6" s="1296">
        <f ca="1">ROUND(F6*F8*F7*(1-F9)/10000,0)</f>
        <v>464</v>
      </c>
      <c r="D6" s="164" t="s">
        <v>3023</v>
      </c>
      <c r="E6" s="347" t="s">
        <v>1399</v>
      </c>
      <c r="F6" s="348">
        <f ca="1">INDIRECT("'数据-取费表'!u"&amp;$G$1)</f>
        <v>1</v>
      </c>
      <c r="G6" s="1851"/>
      <c r="H6" s="1291" t="s">
        <v>1031</v>
      </c>
      <c r="I6" s="3187" t="s">
        <v>1397</v>
      </c>
      <c r="J6" s="346">
        <f ca="1">ROUND(M6*M8*M7*(1-M9)/10000,0)</f>
        <v>0</v>
      </c>
      <c r="K6" s="164" t="s">
        <v>3022</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14131.06</v>
      </c>
      <c r="G7" s="1851"/>
      <c r="H7" s="349"/>
      <c r="I7" s="3188"/>
      <c r="J7" s="351"/>
      <c r="K7" s="352"/>
      <c r="L7" s="347" t="s">
        <v>1400</v>
      </c>
      <c r="M7" s="348">
        <f ca="1">F7</f>
        <v>14131.06</v>
      </c>
    </row>
    <row r="8" spans="1:37" ht="18" customHeight="1">
      <c r="A8" s="349"/>
      <c r="B8" s="3188"/>
      <c r="C8" s="351"/>
      <c r="D8" s="352"/>
      <c r="E8" s="347" t="s">
        <v>1401</v>
      </c>
      <c r="F8" s="348">
        <f ca="1">INDIRECT("'数据-取费表'!ai"&amp;$G$1)</f>
        <v>365</v>
      </c>
      <c r="G8" s="1851"/>
      <c r="H8" s="349"/>
      <c r="I8" s="3188"/>
      <c r="J8" s="351"/>
      <c r="K8" s="352"/>
      <c r="L8" s="347" t="s">
        <v>1401</v>
      </c>
      <c r="M8" s="348">
        <f ca="1">INDIRECT("'数据-取费表'!ai"&amp;$G$1)</f>
        <v>365</v>
      </c>
    </row>
    <row r="9" spans="1:37" ht="18" customHeight="1">
      <c r="A9" s="349"/>
      <c r="B9" s="3189"/>
      <c r="C9" s="351"/>
      <c r="D9" s="352"/>
      <c r="E9" s="347" t="s">
        <v>1402</v>
      </c>
      <c r="F9" s="357">
        <f ca="1">INDIRECT("'数据-取费表'!w"&amp;$G$1)</f>
        <v>0.1</v>
      </c>
      <c r="G9" s="1851"/>
      <c r="H9" s="349"/>
      <c r="I9" s="3189"/>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3032</v>
      </c>
      <c r="E10" s="358" t="s">
        <v>1404</v>
      </c>
      <c r="F10" s="1366" t="s">
        <v>3105</v>
      </c>
      <c r="G10" s="1851"/>
      <c r="H10" s="1291" t="s">
        <v>1035</v>
      </c>
      <c r="I10" s="1823" t="s">
        <v>1403</v>
      </c>
      <c r="J10" s="346">
        <f ca="1">ROUND(IF(M10="押一",J6/12*M11,IF(M10="押二",J6/12*2*M11,IF(M10="押三",J6/12*3*M11,J11*M11))),0)</f>
        <v>0</v>
      </c>
      <c r="K10" s="1824" t="s">
        <v>3031</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3550</v>
      </c>
      <c r="D13" s="1331" t="s">
        <v>1409</v>
      </c>
      <c r="E13" s="1331" t="s">
        <v>1410</v>
      </c>
      <c r="F13" s="1332">
        <f ca="1">INDIRECT("'数据-取费表'!y"&amp;$G$1)</f>
        <v>0.78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3250</v>
      </c>
      <c r="D14" s="1800" t="s">
        <v>1412</v>
      </c>
      <c r="E14" s="1794"/>
      <c r="F14" s="364"/>
      <c r="G14" s="1851"/>
      <c r="H14" s="1201" t="s">
        <v>1031</v>
      </c>
      <c r="I14" s="347" t="s">
        <v>1413</v>
      </c>
      <c r="J14" s="24">
        <f ca="1">C29</f>
        <v>4551</v>
      </c>
      <c r="K14" s="15"/>
      <c r="L14" s="979"/>
      <c r="M14" s="980"/>
    </row>
    <row r="15" spans="1:37" s="1858" customFormat="1" ht="18" customHeight="1" thickBot="1">
      <c r="A15" s="1201" t="s">
        <v>1032</v>
      </c>
      <c r="B15" s="347" t="s">
        <v>1414</v>
      </c>
      <c r="C15" s="24">
        <f ca="1">ROUND(C14*F15,0)</f>
        <v>98</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87</v>
      </c>
      <c r="K16" s="1337" t="s">
        <v>1419</v>
      </c>
      <c r="L16" s="1338"/>
      <c r="M16" s="1294"/>
    </row>
    <row r="17" spans="1:37" s="1858" customFormat="1" ht="18" customHeight="1">
      <c r="A17" s="1201" t="s">
        <v>1384</v>
      </c>
      <c r="B17" s="347" t="s">
        <v>1420</v>
      </c>
      <c r="C17" s="24">
        <f ca="1">ROUND(F17*(F43+INDIRECT("'数据-取费表'!S"&amp;$G$1))/10000,0)</f>
        <v>283</v>
      </c>
      <c r="D17" s="347" t="s">
        <v>1421</v>
      </c>
      <c r="E17" s="347" t="s">
        <v>1422</v>
      </c>
      <c r="F17" s="26">
        <f>'数据-取费表'!B35</f>
        <v>200</v>
      </c>
      <c r="G17" s="1854"/>
      <c r="H17" s="1201" t="s">
        <v>1031</v>
      </c>
      <c r="I17" s="347" t="s">
        <v>1423</v>
      </c>
      <c r="J17" s="24">
        <f ca="1">ROUND(IF(项目基本情况!B11="自然人",J6*M17/(1+'数据-取费表'!C42),J18+J19+J20),1)</f>
        <v>41.5</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49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3680</v>
      </c>
      <c r="D19" s="140" t="s">
        <v>1430</v>
      </c>
      <c r="E19" s="1818"/>
      <c r="F19" s="26"/>
      <c r="G19" s="1851"/>
      <c r="H19" s="1201" t="s">
        <v>1032</v>
      </c>
      <c r="I19" s="347" t="s">
        <v>1431</v>
      </c>
      <c r="J19" s="24">
        <f ca="1">IF(K19="按租金收入计税",ROUND(J6*M19/(1+'数据-取费表'!C42),2),ROUND(C29*M19*0.7,2))</f>
        <v>38.229999999999997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74</v>
      </c>
      <c r="D20" s="369" t="s">
        <v>1434</v>
      </c>
      <c r="E20" s="347" t="s">
        <v>1416</v>
      </c>
      <c r="F20" s="367">
        <f>'数据-取费表'!B37</f>
        <v>0.02</v>
      </c>
      <c r="G20" s="1854"/>
      <c r="H20" s="1201" t="s">
        <v>1383</v>
      </c>
      <c r="I20" s="164" t="s">
        <v>1435</v>
      </c>
      <c r="J20" s="25">
        <f ca="1">ROUND(M20*M21/10000,2)</f>
        <v>3.22</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21453.65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45.5</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82</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-87</v>
      </c>
      <c r="K25" s="1345" t="s">
        <v>1458</v>
      </c>
      <c r="L25" s="1346"/>
      <c r="M25" s="1347"/>
    </row>
    <row r="26" spans="1:37">
      <c r="A26" s="1201" t="s">
        <v>1030</v>
      </c>
      <c r="B26" s="347" t="s">
        <v>1459</v>
      </c>
      <c r="C26" s="24">
        <f ca="1">ROUND((C19+C20)*F26,0)</f>
        <v>375</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4551</v>
      </c>
      <c r="D29" s="1342"/>
      <c r="E29" s="1340"/>
      <c r="F29" s="1343"/>
      <c r="G29" s="1854"/>
      <c r="H29" s="380" t="s">
        <v>1029</v>
      </c>
      <c r="I29" s="381" t="s">
        <v>1473</v>
      </c>
      <c r="J29" s="382">
        <f ca="1">ROUND(J26/(1+F40)^F41,0)</f>
        <v>0</v>
      </c>
      <c r="K29" s="383" t="s">
        <v>1474</v>
      </c>
      <c r="L29" s="384"/>
      <c r="M29" s="385">
        <f ca="1">INDIRECT("'数据-取费表'!k"&amp;$G$1)</f>
        <v>14131.06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134</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80.599999999999994</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24.3</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53.03</v>
      </c>
      <c r="D33" s="1828" t="s">
        <v>3106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3.22</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21453.65</v>
      </c>
      <c r="G35" s="1851"/>
      <c r="H35" s="745"/>
      <c r="I35" s="1860"/>
      <c r="J35" s="1861"/>
      <c r="K35" s="1862"/>
      <c r="L35" s="1859"/>
      <c r="M35" s="1859"/>
    </row>
    <row r="36" spans="1:18" ht="18" customHeight="1">
      <c r="A36" s="1352" t="s">
        <v>1035</v>
      </c>
      <c r="B36" s="347" t="s">
        <v>1443</v>
      </c>
      <c r="C36" s="24">
        <f ca="1">ROUND(C29*F36,1)</f>
        <v>45.5</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3.6</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4.7</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331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7340</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33.54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5194</v>
      </c>
      <c r="D43" s="383" t="s">
        <v>1482</v>
      </c>
      <c r="E43" s="384" t="s">
        <v>1483</v>
      </c>
      <c r="F43" s="385">
        <f ca="1">INDIRECT("'数据-取费表'!k"&amp;$G$1)</f>
        <v>14131.06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f ca="1">C68-C40</f>
        <v>-14346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t="s">
        <v>3107</v>
      </c>
      <c r="K47" s="1882" t="s">
        <v>1521</v>
      </c>
      <c r="L47" s="1883">
        <f ca="1">INDIRECT("'数据-取费表'!d"&amp;$G$1)</f>
        <v>50</v>
      </c>
      <c r="M47" s="1838" t="str">
        <f>IF(ISNUMBER(FIND("住宅",C1)),"住宅","非住宅")</f>
        <v>非住宅</v>
      </c>
      <c r="O47" s="1884" t="s">
        <v>1036</v>
      </c>
      <c r="P47" s="1885" t="s">
        <v>1522</v>
      </c>
      <c r="Q47" s="1886">
        <f ca="1">C40+J29</f>
        <v>7340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t="s">
        <v>3108</v>
      </c>
      <c r="K48" s="1889" t="s">
        <v>1525</v>
      </c>
      <c r="L48" s="1890">
        <f ca="1">INDIRECT("'数据-取费表'!f"&amp;$G$1)</f>
        <v>33.54</v>
      </c>
      <c r="O48" s="1884" t="s">
        <v>1037</v>
      </c>
      <c r="P48" s="1885" t="s">
        <v>1526</v>
      </c>
      <c r="Q48" s="1886" t="str">
        <f ca="1">J60</f>
        <v>0</v>
      </c>
      <c r="R48" s="1886" t="s">
        <v>1527</v>
      </c>
    </row>
    <row r="49" spans="1:18" s="1842" customFormat="1" ht="13.8" thickBot="1">
      <c r="A49" s="1194" t="s">
        <v>1132</v>
      </c>
      <c r="B49" s="1829" t="s">
        <v>1484</v>
      </c>
      <c r="C49" s="1364">
        <f ca="1">ROUND(F49*F51*F50*(1-F52)/10000,0)</f>
        <v>0</v>
      </c>
      <c r="D49" s="1276" t="s">
        <v>3024</v>
      </c>
      <c r="E49" s="1830" t="s">
        <v>1485</v>
      </c>
      <c r="F49" s="1281"/>
      <c r="G49" s="1891"/>
      <c r="H49" s="793"/>
      <c r="I49" s="1887" t="s">
        <v>1528</v>
      </c>
      <c r="J49" s="1892">
        <v>2005</v>
      </c>
      <c r="K49" s="1889" t="s">
        <v>1529</v>
      </c>
      <c r="L49" s="1893"/>
      <c r="O49" s="1894" t="s">
        <v>1038</v>
      </c>
      <c r="P49" s="1885" t="s">
        <v>1530</v>
      </c>
      <c r="Q49" s="1886">
        <f ca="1">C29</f>
        <v>4551</v>
      </c>
      <c r="R49" s="1886" t="s">
        <v>1523</v>
      </c>
    </row>
    <row r="50" spans="1:18" s="1842" customFormat="1" ht="13.8" thickBot="1">
      <c r="A50" s="1195"/>
      <c r="B50" s="1198"/>
      <c r="C50" s="1368"/>
      <c r="D50" s="1172"/>
      <c r="E50" s="1277" t="s">
        <v>1400</v>
      </c>
      <c r="F50" s="1278">
        <f ca="1">F7</f>
        <v>14131.06</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8" thickBot="1">
      <c r="A51" s="1196"/>
      <c r="B51" s="1198"/>
      <c r="C51" s="1199"/>
      <c r="D51" s="1172"/>
      <c r="E51" s="1200" t="s">
        <v>1401</v>
      </c>
      <c r="F51" s="348">
        <f ca="1">F8</f>
        <v>365</v>
      </c>
      <c r="I51" s="1898" t="s">
        <v>1534</v>
      </c>
      <c r="J51" s="1899">
        <f>IF(J49="",J50,J49+J50-YEAR('数据-取费表'!B2))</f>
        <v>35</v>
      </c>
      <c r="K51" s="1900" t="s">
        <v>1535</v>
      </c>
      <c r="L51" s="1901">
        <f ca="1">ROUND(-PV(INDIRECT("'数据-取费表'!h"&amp;$G$1),L48,(C39-C13*C76),0),0)</f>
        <v>483</v>
      </c>
      <c r="M51" s="1902"/>
      <c r="O51" s="1894" t="s">
        <v>1040</v>
      </c>
      <c r="P51" s="1885" t="s">
        <v>1536</v>
      </c>
      <c r="Q51" s="1897">
        <f>J52</f>
        <v>0.09</v>
      </c>
      <c r="R51" s="1886"/>
    </row>
    <row r="52" spans="1:18" s="1842" customFormat="1" ht="13.8" thickBot="1">
      <c r="A52" s="1196"/>
      <c r="B52" s="1198"/>
      <c r="C52" s="1199"/>
      <c r="D52" s="1172"/>
      <c r="E52" s="1200" t="s">
        <v>1402</v>
      </c>
      <c r="F52" s="1275"/>
      <c r="I52" s="1903" t="s">
        <v>1537</v>
      </c>
      <c r="J52" s="1904">
        <v>0.09</v>
      </c>
      <c r="K52" s="1903" t="s">
        <v>1538</v>
      </c>
      <c r="L52" s="1904"/>
      <c r="O52" s="1894" t="s">
        <v>1041</v>
      </c>
      <c r="P52" s="1885" t="s">
        <v>1539</v>
      </c>
      <c r="Q52" s="1886">
        <f ca="1">J53</f>
        <v>33.54</v>
      </c>
      <c r="R52" s="1886" t="s">
        <v>1540</v>
      </c>
    </row>
    <row r="53" spans="1:18" s="1842" customFormat="1" ht="36.6" thickBot="1">
      <c r="A53" s="1405" t="s">
        <v>1133</v>
      </c>
      <c r="B53" s="1831" t="s">
        <v>1403</v>
      </c>
      <c r="C53" s="361">
        <f ca="1">ROUND(IF(F53="押一",C49/12*F11,IF(F53="押二",C49/12*2*F11,IF(F53="押三",C49/12*3*F11,C54*F11))),0)</f>
        <v>0</v>
      </c>
      <c r="D53" s="1824" t="s">
        <v>3031</v>
      </c>
      <c r="E53" s="358" t="s">
        <v>1404</v>
      </c>
      <c r="F53" s="1366"/>
      <c r="I53" s="1905" t="s">
        <v>1541</v>
      </c>
      <c r="J53" s="2946">
        <f ca="1">IF(M47="住宅",IF(D1="——",MAX(J51,L48),MAX(J51,L48-'数据-取费表'!B24)),IF(D1="——",MIN(J51,L48),MIN(J51,L48-'数据-取费表'!B24)))</f>
        <v>33.54</v>
      </c>
      <c r="K53" s="3185" t="s">
        <v>1542</v>
      </c>
      <c r="L53" s="3186"/>
      <c r="O53" s="1884" t="s">
        <v>1042</v>
      </c>
      <c r="P53" s="1885" t="s">
        <v>1543</v>
      </c>
      <c r="Q53" s="1886">
        <f ca="1">Q47+Q48</f>
        <v>7340</v>
      </c>
      <c r="R53" s="1886" t="s">
        <v>1043</v>
      </c>
    </row>
    <row r="54" spans="1:18" s="1842" customFormat="1" ht="24.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37.200000000000003" thickTop="1" thickBot="1">
      <c r="A56" s="1176">
        <v>2</v>
      </c>
      <c r="B56" s="1177" t="s">
        <v>1408</v>
      </c>
      <c r="C56" s="276">
        <f ca="1">C13</f>
        <v>3550</v>
      </c>
      <c r="D56" s="1913"/>
      <c r="E56" s="1914"/>
      <c r="F56" s="1906"/>
      <c r="I56" s="1915" t="s">
        <v>1548</v>
      </c>
      <c r="J56" s="1916" t="s">
        <v>3072</v>
      </c>
      <c r="K56" s="1887" t="s">
        <v>1549</v>
      </c>
      <c r="L56" s="1890" t="str">
        <f ca="1">IF(L48&lt;J51,"——",L48-J53)</f>
        <v>——</v>
      </c>
      <c r="O56" s="1884" t="s">
        <v>1036</v>
      </c>
      <c r="P56" s="1885" t="s">
        <v>1522</v>
      </c>
      <c r="Q56" s="1886">
        <f ca="1">C40+J29</f>
        <v>7340</v>
      </c>
      <c r="R56" s="1886" t="s">
        <v>1523</v>
      </c>
    </row>
    <row r="57" spans="1:18" s="1842" customFormat="1" ht="24.6" thickBot="1">
      <c r="A57" s="1917"/>
      <c r="B57" s="1169" t="s">
        <v>1472</v>
      </c>
      <c r="C57" s="282">
        <f ca="1">C29</f>
        <v>4551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6" thickBot="1">
      <c r="A58" s="360" t="s">
        <v>1026</v>
      </c>
      <c r="B58" s="1177" t="s">
        <v>1418</v>
      </c>
      <c r="C58" s="361">
        <f ca="1">ROUND(C59+C64+C65+C66,0)</f>
        <v>435</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ROUND(IF(项目基本情况!B11="自然人",C48*F59,C60+C61+C62),1)</f>
        <v>385.5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IF(项目基本情况!B11="自然人","——",IF(D61="按租金收入计税",ROUND(C48*F61,2),IF(D61="按房产原值计税",ROUND(C57*F61*0.7,2),INDIRECT("'数据-取费表'!Aj"&amp;$G$1))))</f>
        <v>382.28</v>
      </c>
      <c r="D61" s="1828" t="s">
        <v>1432</v>
      </c>
      <c r="E61" s="1169" t="s">
        <v>1488</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IF(项目基本情况!B11="自然人","——",ROUND(F62*F63/10000,2))</f>
        <v>3.22</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7340</v>
      </c>
      <c r="R62" s="1886" t="s">
        <v>1043</v>
      </c>
    </row>
    <row r="63" spans="1:18" s="1842" customFormat="1" ht="13.8" thickBot="1">
      <c r="A63" s="372"/>
      <c r="B63" s="1175"/>
      <c r="C63" s="29"/>
      <c r="D63" s="1185"/>
      <c r="E63" s="1169" t="s">
        <v>1493</v>
      </c>
      <c r="F63" s="348">
        <f t="shared" ca="1" si="0"/>
        <v>21453.65</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ROUND(C57*F64,1)</f>
        <v>45.5</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3.6</v>
      </c>
      <c r="D65" s="1183" t="s">
        <v>1448</v>
      </c>
      <c r="E65" s="1169" t="s">
        <v>1449</v>
      </c>
      <c r="F65" s="376">
        <f t="shared" ca="1" si="0"/>
        <v>1E-3</v>
      </c>
      <c r="I65" s="1928" t="s">
        <v>1573</v>
      </c>
      <c r="J65" s="1929">
        <v>40</v>
      </c>
      <c r="K65" s="1929">
        <v>30</v>
      </c>
      <c r="L65" s="1929">
        <v>50</v>
      </c>
      <c r="M65" s="1931">
        <v>0.02</v>
      </c>
      <c r="O65" s="1884" t="s">
        <v>1036</v>
      </c>
      <c r="P65" s="1885" t="s">
        <v>1574</v>
      </c>
      <c r="Q65" s="1886">
        <f ca="1">C40+J29</f>
        <v>7340</v>
      </c>
      <c r="R65" s="1886" t="s">
        <v>1523</v>
      </c>
    </row>
    <row r="66" spans="1:18" s="1842" customFormat="1" ht="16.2"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24.6" thickBot="1">
      <c r="A67" s="1176" t="s">
        <v>1027</v>
      </c>
      <c r="B67" s="1186" t="s">
        <v>1457</v>
      </c>
      <c r="C67" s="361">
        <f ca="1">C48-C58</f>
        <v>-435</v>
      </c>
      <c r="D67" s="1182" t="s">
        <v>1458</v>
      </c>
      <c r="E67" s="1187"/>
      <c r="F67" s="1188"/>
      <c r="O67" s="1894" t="s">
        <v>1038</v>
      </c>
      <c r="P67" s="1885" t="s">
        <v>1556</v>
      </c>
      <c r="Q67" s="1932">
        <f ca="1">L51</f>
        <v>483</v>
      </c>
      <c r="R67" s="1886" t="s">
        <v>1576</v>
      </c>
    </row>
    <row r="68" spans="1:18" s="1842" customFormat="1" ht="16.2" thickBot="1">
      <c r="A68" s="1166" t="s">
        <v>1028</v>
      </c>
      <c r="B68" s="1167" t="s">
        <v>1479</v>
      </c>
      <c r="C68" s="346">
        <f ca="1">ROUND(C67*(1-((1+F70)/(1+F68))^F69)/(F68-F70),0)</f>
        <v>-7006</v>
      </c>
      <c r="D68" s="1184" t="s">
        <v>1463</v>
      </c>
      <c r="E68" s="1169" t="s">
        <v>1464</v>
      </c>
      <c r="F68" s="357">
        <f ca="1">F40</f>
        <v>0.05</v>
      </c>
      <c r="O68" s="1894" t="s">
        <v>1039</v>
      </c>
      <c r="P68" s="1933" t="s">
        <v>1577</v>
      </c>
      <c r="Q68" s="1886">
        <f ca="1">ROUND(Q69-Q70*Q71,0)</f>
        <v>29</v>
      </c>
      <c r="R68" s="1886" t="s">
        <v>1047</v>
      </c>
    </row>
    <row r="69" spans="1:18" s="1842" customFormat="1" ht="13.8" thickBot="1">
      <c r="A69" s="1170"/>
      <c r="B69" s="1171"/>
      <c r="C69" s="351"/>
      <c r="D69" s="1189" t="s">
        <v>1467</v>
      </c>
      <c r="E69" s="1169" t="s">
        <v>1468</v>
      </c>
      <c r="F69" s="379">
        <f ca="1">F41</f>
        <v>33.54</v>
      </c>
      <c r="O69" s="1894" t="s">
        <v>1044</v>
      </c>
      <c r="P69" s="1933" t="s">
        <v>1578</v>
      </c>
      <c r="Q69" s="1886">
        <f ca="1">C39</f>
        <v>331</v>
      </c>
      <c r="R69" s="1886" t="s">
        <v>1523</v>
      </c>
    </row>
    <row r="70" spans="1:18" s="1842" customFormat="1" ht="13.8" thickBot="1">
      <c r="A70" s="1173"/>
      <c r="B70" s="1174"/>
      <c r="C70" s="355"/>
      <c r="D70" s="1185"/>
      <c r="E70" s="1169" t="s">
        <v>1471</v>
      </c>
      <c r="F70" s="1275"/>
      <c r="O70" s="1894" t="s">
        <v>1045</v>
      </c>
      <c r="P70" s="1933" t="s">
        <v>1579</v>
      </c>
      <c r="Q70" s="1886">
        <f ca="1">C13</f>
        <v>3550</v>
      </c>
      <c r="R70" s="1886" t="s">
        <v>1523</v>
      </c>
    </row>
    <row r="71" spans="1:18" s="1842" customFormat="1" ht="13.8" thickBot="1">
      <c r="A71" s="1190" t="s">
        <v>1029</v>
      </c>
      <c r="B71" s="1191" t="s">
        <v>1481</v>
      </c>
      <c r="C71" s="382">
        <f ca="1">ROUND(C68*10000/F71,0)</f>
        <v>-4958</v>
      </c>
      <c r="D71" s="1192" t="s">
        <v>1482</v>
      </c>
      <c r="E71" s="1193" t="s">
        <v>1483</v>
      </c>
      <c r="F71" s="385">
        <f ca="1">F43</f>
        <v>14131.06</v>
      </c>
      <c r="O71" s="1894" t="s">
        <v>1046</v>
      </c>
      <c r="P71" s="1933" t="s">
        <v>1580</v>
      </c>
      <c r="Q71" s="1897">
        <f ca="1">C76</f>
        <v>8.5000000000000006E-2</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8" thickBot="1">
      <c r="A75" s="1842"/>
      <c r="B75" s="386" t="s">
        <v>1500</v>
      </c>
      <c r="C75" s="387">
        <f ca="1">ROUND(C13*C76,0)</f>
        <v>302</v>
      </c>
      <c r="D75" s="1842"/>
      <c r="E75" s="1842"/>
      <c r="F75" s="1842"/>
      <c r="K75" s="1868"/>
      <c r="L75" s="1842"/>
      <c r="O75" s="1884" t="s">
        <v>1042</v>
      </c>
      <c r="P75" s="1885" t="s">
        <v>1543</v>
      </c>
      <c r="Q75" s="1886">
        <f ca="1">Q65+Q66</f>
        <v>7340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8.7999999999999967E-2</v>
      </c>
    </row>
    <row r="80" spans="1:18">
      <c r="B80" s="386" t="s">
        <v>1505</v>
      </c>
      <c r="C80" s="318">
        <f ca="1">ROUND(C75/C39,3)</f>
        <v>0.91200000000000003</v>
      </c>
    </row>
    <row r="81" spans="2:3">
      <c r="B81" s="314" t="s">
        <v>1506</v>
      </c>
      <c r="C81" s="282"/>
    </row>
    <row r="82" spans="2:3">
      <c r="B82" s="317" t="s">
        <v>1507</v>
      </c>
      <c r="C82" s="319">
        <f ca="1">1-C83</f>
        <v>0.51600000000000001</v>
      </c>
    </row>
    <row r="83" spans="2:3">
      <c r="B83" s="317" t="s">
        <v>1508</v>
      </c>
      <c r="C83" s="318">
        <f ca="1">ROUND(C13/C40,3)</f>
        <v>0.48399999999999999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4" zoomScale="80" zoomScaleNormal="80" zoomScaleSheetLayoutView="90" workbookViewId="0">
      <selection activeCell="I19" sqref="I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t="s">
        <v>3077</v>
      </c>
      <c r="D1" s="1820"/>
      <c r="E1" s="1821" t="s">
        <v>1381</v>
      </c>
      <c r="F1" s="1283">
        <f ca="1">J53</f>
        <v>33.54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1486</v>
      </c>
      <c r="C2" s="1845" t="s">
        <v>1510</v>
      </c>
      <c r="D2" s="1845"/>
      <c r="E2" s="1846"/>
      <c r="F2" s="1847"/>
      <c r="G2" s="1848"/>
      <c r="H2" s="1840"/>
      <c r="I2" s="1840"/>
      <c r="J2" s="1840"/>
      <c r="K2" s="1841"/>
      <c r="L2" s="1840"/>
      <c r="M2" s="1840"/>
    </row>
    <row r="3" spans="1:37" ht="18" customHeight="1" thickBot="1">
      <c r="A3" s="1849" t="s">
        <v>1511</v>
      </c>
      <c r="B3" s="1850">
        <f ca="1">IF(ISERROR(B2*10000/F43),0,ROUND(B2*10000/F43,0))</f>
        <v>8168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90</v>
      </c>
      <c r="D5" s="1822" t="s">
        <v>1396</v>
      </c>
      <c r="E5" s="1293"/>
      <c r="F5" s="1294"/>
      <c r="G5" s="1851"/>
      <c r="H5" s="344">
        <v>1</v>
      </c>
      <c r="I5" s="345" t="s">
        <v>1395</v>
      </c>
      <c r="J5" s="1292">
        <f ca="1">J6+J10+J12</f>
        <v>0</v>
      </c>
      <c r="K5" s="1822" t="s">
        <v>1396</v>
      </c>
      <c r="L5" s="1293"/>
      <c r="M5" s="1294"/>
    </row>
    <row r="6" spans="1:37" ht="18" customHeight="1">
      <c r="A6" s="1291" t="s">
        <v>1031</v>
      </c>
      <c r="B6" s="3187" t="s">
        <v>1397</v>
      </c>
      <c r="C6" s="1296">
        <f ca="1">ROUND(F6*F8*F7*(1-F9)/10000,0)</f>
        <v>90</v>
      </c>
      <c r="D6" s="164" t="s">
        <v>3023</v>
      </c>
      <c r="E6" s="347" t="s">
        <v>1399</v>
      </c>
      <c r="F6" s="348">
        <f ca="1">INDIRECT("'数据-取费表'!u"&amp;$G$1)</f>
        <v>1.5</v>
      </c>
      <c r="G6" s="1851"/>
      <c r="H6" s="1291" t="s">
        <v>1031</v>
      </c>
      <c r="I6" s="3187" t="s">
        <v>1397</v>
      </c>
      <c r="J6" s="346">
        <f ca="1">ROUND(M6*M8*M7*(1-M9)/10000,0)</f>
        <v>0</v>
      </c>
      <c r="K6" s="164" t="s">
        <v>3022</v>
      </c>
      <c r="L6" s="347" t="s">
        <v>1399</v>
      </c>
      <c r="M6" s="348">
        <f ca="1">INDIRECT("'数据-取费表'!z"&amp;$G$1)</f>
        <v>0</v>
      </c>
    </row>
    <row r="7" spans="1:37" ht="18" customHeight="1">
      <c r="A7" s="1295"/>
      <c r="B7" s="3188"/>
      <c r="C7" s="1297"/>
      <c r="D7" s="352"/>
      <c r="E7" s="2952" t="s">
        <v>1400</v>
      </c>
      <c r="F7" s="348">
        <f ca="1">IF(INDIRECT("'数据-取费表'!ah"&amp;$G$1)="",INDIRECT("'数据-取费表'!k"&amp;$G$1),INDIRECT("'数据-取费表'!ah"&amp;$G$1))</f>
        <v>1819.3</v>
      </c>
      <c r="G7" s="1851"/>
      <c r="H7" s="349"/>
      <c r="I7" s="3188"/>
      <c r="J7" s="351"/>
      <c r="K7" s="352"/>
      <c r="L7" s="347" t="s">
        <v>1400</v>
      </c>
      <c r="M7" s="348">
        <f ca="1">F7</f>
        <v>1819.3</v>
      </c>
    </row>
    <row r="8" spans="1:37" ht="18" customHeight="1">
      <c r="A8" s="349"/>
      <c r="B8" s="3188"/>
      <c r="C8" s="351"/>
      <c r="D8" s="352"/>
      <c r="E8" s="347" t="s">
        <v>1401</v>
      </c>
      <c r="F8" s="348">
        <f ca="1">INDIRECT("'数据-取费表'!ai"&amp;$G$1)</f>
        <v>365</v>
      </c>
      <c r="G8" s="1851"/>
      <c r="H8" s="349"/>
      <c r="I8" s="3188"/>
      <c r="J8" s="351"/>
      <c r="K8" s="352"/>
      <c r="L8" s="347" t="s">
        <v>1401</v>
      </c>
      <c r="M8" s="348">
        <f ca="1">INDIRECT("'数据-取费表'!ai"&amp;$G$1)</f>
        <v>365</v>
      </c>
    </row>
    <row r="9" spans="1:37" ht="18" customHeight="1">
      <c r="A9" s="349"/>
      <c r="B9" s="3189"/>
      <c r="C9" s="351"/>
      <c r="D9" s="352"/>
      <c r="E9" s="347" t="s">
        <v>1402</v>
      </c>
      <c r="F9" s="357">
        <f ca="1">INDIRECT("'数据-取费表'!w"&amp;$G$1)</f>
        <v>0.1</v>
      </c>
      <c r="G9" s="1851"/>
      <c r="H9" s="349"/>
      <c r="I9" s="318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3032</v>
      </c>
      <c r="E10" s="358" t="s">
        <v>1404</v>
      </c>
      <c r="F10" s="1366" t="s">
        <v>3105</v>
      </c>
      <c r="G10" s="1851"/>
      <c r="H10" s="1291" t="s">
        <v>1035</v>
      </c>
      <c r="I10" s="1823" t="s">
        <v>1403</v>
      </c>
      <c r="J10" s="346">
        <f ca="1">ROUND(IF(M10="押一",J6/12*M11,IF(M10="押二",J6/12*2*M11,IF(M10="押三",J6/12*3*M11,J11*M11))),0)</f>
        <v>0</v>
      </c>
      <c r="K10" s="1824" t="s">
        <v>3031</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525</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473</v>
      </c>
      <c r="D14" s="2955" t="s">
        <v>1412</v>
      </c>
      <c r="E14" s="2954"/>
      <c r="F14" s="364"/>
      <c r="G14" s="1851"/>
      <c r="H14" s="1201" t="s">
        <v>1031</v>
      </c>
      <c r="I14" s="347" t="s">
        <v>1413</v>
      </c>
      <c r="J14" s="24">
        <f ca="1">C29</f>
        <v>656</v>
      </c>
      <c r="K14" s="2951"/>
      <c r="L14" s="979"/>
      <c r="M14" s="980"/>
    </row>
    <row r="15" spans="1:37" s="1858" customFormat="1" ht="18" customHeight="1" thickBot="1">
      <c r="A15" s="1201" t="s">
        <v>1032</v>
      </c>
      <c r="B15" s="347" t="s">
        <v>1414</v>
      </c>
      <c r="C15" s="24">
        <f ca="1">ROUND(C14*F15,0)</f>
        <v>14</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13</v>
      </c>
      <c r="K16" s="1337" t="s">
        <v>1419</v>
      </c>
      <c r="L16" s="2957"/>
      <c r="M16" s="1294"/>
    </row>
    <row r="17" spans="1:37" s="1858" customFormat="1" ht="18" customHeight="1">
      <c r="A17" s="1201" t="s">
        <v>1384</v>
      </c>
      <c r="B17" s="347" t="s">
        <v>1420</v>
      </c>
      <c r="C17" s="24">
        <f ca="1">ROUND(F17*(F43+INDIRECT("'数据-取费表'!S"&amp;$G$1))/10000,0)</f>
        <v>36</v>
      </c>
      <c r="D17" s="347" t="s">
        <v>1421</v>
      </c>
      <c r="E17" s="347" t="s">
        <v>1422</v>
      </c>
      <c r="F17" s="26">
        <f>'数据-取费表'!B35</f>
        <v>200</v>
      </c>
      <c r="G17" s="1854"/>
      <c r="H17" s="1201" t="s">
        <v>1031</v>
      </c>
      <c r="I17" s="347" t="s">
        <v>1423</v>
      </c>
      <c r="J17" s="24">
        <f ca="1">ROUND(IF(项目基本情况!B11="自然人",J6*M17/(1+'数据-取费表'!C42),J18+J19+J20),1)</f>
        <v>5.9</v>
      </c>
      <c r="K17" s="2955" t="s">
        <v>1424</v>
      </c>
      <c r="L17" s="2956"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7</v>
      </c>
      <c r="D18" s="347" t="s">
        <v>1415</v>
      </c>
      <c r="E18" s="347" t="s">
        <v>1416</v>
      </c>
      <c r="F18" s="367">
        <f>'数据-取费表'!B36</f>
        <v>1.4999999999999999E-2</v>
      </c>
      <c r="G18" s="1854"/>
      <c r="H18" s="1201" t="s">
        <v>1030</v>
      </c>
      <c r="I18" s="347" t="s">
        <v>1427</v>
      </c>
      <c r="J18" s="24">
        <f ca="1">ROUND(J6*M18/(1+'数据-取费表'!C42),2)</f>
        <v>0</v>
      </c>
      <c r="K18" s="2956"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530</v>
      </c>
      <c r="D19" s="140" t="s">
        <v>1430</v>
      </c>
      <c r="E19" s="2950"/>
      <c r="F19" s="26"/>
      <c r="G19" s="1851"/>
      <c r="H19" s="1201" t="s">
        <v>1032</v>
      </c>
      <c r="I19" s="347" t="s">
        <v>1431</v>
      </c>
      <c r="J19" s="24">
        <f ca="1">IF(K19="按租金收入计税",ROUND(J6*M19/(1+'数据-取费表'!C42),2),ROUND(C29*M19*0.7,2))</f>
        <v>5.51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v>
      </c>
      <c r="D20" s="369" t="s">
        <v>1434</v>
      </c>
      <c r="E20" s="347" t="s">
        <v>1416</v>
      </c>
      <c r="F20" s="367">
        <f>'数据-取费表'!B37</f>
        <v>0.02</v>
      </c>
      <c r="G20" s="1854"/>
      <c r="H20" s="1201" t="s">
        <v>1383</v>
      </c>
      <c r="I20" s="164" t="s">
        <v>1435</v>
      </c>
      <c r="J20" s="25">
        <f ca="1">ROUND(M20*M21/10000,2)</f>
        <v>0.41</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2762.05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2950"/>
      <c r="F22" s="26"/>
      <c r="G22" s="1851"/>
      <c r="H22" s="1201" t="s">
        <v>1035</v>
      </c>
      <c r="I22" s="347" t="s">
        <v>1443</v>
      </c>
      <c r="J22" s="24">
        <f ca="1">ROUND(J14*M22,1)</f>
        <v>6.6</v>
      </c>
      <c r="K22" s="2956"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2956" t="s">
        <v>1448</v>
      </c>
      <c r="L23" s="347" t="s">
        <v>1416</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1386</v>
      </c>
      <c r="I24" s="1340" t="s">
        <v>1433</v>
      </c>
      <c r="J24" s="1341">
        <f ca="1">ROUND(J5*M24,1)</f>
        <v>0</v>
      </c>
      <c r="K24" s="1342" t="s">
        <v>1453</v>
      </c>
      <c r="L24" s="1340" t="s">
        <v>1416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0"/>
      <c r="F25" s="26"/>
      <c r="G25" s="1851"/>
      <c r="H25" s="1329" t="s">
        <v>1027</v>
      </c>
      <c r="I25" s="1344" t="s">
        <v>1457</v>
      </c>
      <c r="J25" s="355">
        <f ca="1">J5-J16</f>
        <v>-13</v>
      </c>
      <c r="K25" s="1345" t="s">
        <v>1458</v>
      </c>
      <c r="L25" s="1346"/>
      <c r="M25" s="1347"/>
    </row>
    <row r="26" spans="1:37">
      <c r="A26" s="1201" t="s">
        <v>1030</v>
      </c>
      <c r="B26" s="347" t="s">
        <v>1459</v>
      </c>
      <c r="C26" s="24">
        <f ca="1">ROUND((C19+C20)*F26,0)</f>
        <v>54</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656</v>
      </c>
      <c r="D29" s="1342"/>
      <c r="E29" s="1340"/>
      <c r="F29" s="1343"/>
      <c r="G29" s="1854"/>
      <c r="H29" s="380" t="s">
        <v>1029</v>
      </c>
      <c r="I29" s="381" t="s">
        <v>1473</v>
      </c>
      <c r="J29" s="382">
        <f ca="1">ROUND(J26/(1+F40)^F41,0)</f>
        <v>0</v>
      </c>
      <c r="K29" s="383" t="s">
        <v>1474</v>
      </c>
      <c r="L29" s="384"/>
      <c r="M29" s="385">
        <f ca="1">INDIRECT("'数据-取费表'!k"&amp;$G$1)</f>
        <v>1819.3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23</v>
      </c>
      <c r="D30" s="1337" t="s">
        <v>1419</v>
      </c>
      <c r="E30" s="2957"/>
      <c r="F30" s="1294"/>
      <c r="G30" s="1851"/>
      <c r="H30" s="745"/>
      <c r="I30" s="746"/>
      <c r="J30" s="747"/>
      <c r="K30" s="748"/>
      <c r="L30" s="749"/>
      <c r="M30" s="750"/>
    </row>
    <row r="31" spans="1:37" ht="18" customHeight="1">
      <c r="A31" s="1201" t="s">
        <v>1031</v>
      </c>
      <c r="B31" s="347" t="s">
        <v>1423</v>
      </c>
      <c r="C31" s="24">
        <f ca="1">ROUND(IF(项目基本情况!B11="自然人",C6*F31/(1+'数据-取费表'!C42),C32+C33+C34),1)</f>
        <v>15.4</v>
      </c>
      <c r="D31" s="2955" t="s">
        <v>1424</v>
      </c>
      <c r="E31" s="2956"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4.71</v>
      </c>
      <c r="D32" s="2956"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10.29</v>
      </c>
      <c r="D33" s="1828" t="s">
        <v>3106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0.41</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2762.05</v>
      </c>
      <c r="G35" s="1851"/>
      <c r="H35" s="745"/>
      <c r="I35" s="1860"/>
      <c r="J35" s="1861"/>
      <c r="K35" s="1862"/>
      <c r="L35" s="1859"/>
      <c r="M35" s="1859"/>
    </row>
    <row r="36" spans="1:18" ht="18" customHeight="1">
      <c r="A36" s="1352" t="s">
        <v>1035</v>
      </c>
      <c r="B36" s="347" t="s">
        <v>1443</v>
      </c>
      <c r="C36" s="24">
        <f ca="1">ROUND(C29*F36,1)</f>
        <v>6.6</v>
      </c>
      <c r="D36" s="2956"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0.5</v>
      </c>
      <c r="D37" s="2956" t="s">
        <v>1448</v>
      </c>
      <c r="E37" s="347" t="s">
        <v>1416</v>
      </c>
      <c r="F37" s="376">
        <f ca="1">INDIRECT("'数据-取费表'!Al"&amp;$G$1)</f>
        <v>1E-3</v>
      </c>
      <c r="G37" s="1851"/>
      <c r="H37" s="1859"/>
      <c r="I37" s="1860"/>
      <c r="J37" s="1861"/>
      <c r="K37" s="751"/>
      <c r="L37" s="1859"/>
      <c r="M37" s="1859"/>
    </row>
    <row r="38" spans="1:18" ht="18" customHeight="1" thickBot="1">
      <c r="A38" s="1339" t="s">
        <v>1386</v>
      </c>
      <c r="B38" s="1340" t="s">
        <v>1433</v>
      </c>
      <c r="C38" s="1341">
        <f ca="1">ROUND(C5*F38,1)</f>
        <v>0.9</v>
      </c>
      <c r="D38" s="1342" t="s">
        <v>1453</v>
      </c>
      <c r="E38" s="1340" t="s">
        <v>1416</v>
      </c>
      <c r="F38" s="1336">
        <f ca="1">INDIRECT("'数据-取费表'!Am"&amp;$G$1)</f>
        <v>0.01</v>
      </c>
      <c r="G38" s="1851"/>
      <c r="H38" s="1859"/>
      <c r="I38" s="1860"/>
      <c r="J38" s="1861"/>
      <c r="K38" s="1865"/>
      <c r="L38" s="1859"/>
      <c r="M38" s="1859"/>
    </row>
    <row r="39" spans="1:18" ht="24.6" customHeight="1" thickTop="1">
      <c r="A39" s="1329" t="s">
        <v>1027</v>
      </c>
      <c r="B39" s="1344" t="s">
        <v>1457</v>
      </c>
      <c r="C39" s="355">
        <f ca="1">C5-C30</f>
        <v>67</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1486</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33.54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8168</v>
      </c>
      <c r="D43" s="383" t="s">
        <v>1482</v>
      </c>
      <c r="E43" s="384" t="s">
        <v>1483</v>
      </c>
      <c r="F43" s="385">
        <f ca="1">INDIRECT("'数据-取费表'!k"&amp;$G$1)</f>
        <v>1819.3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f ca="1">C68-C40</f>
        <v>-2501</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t="s">
        <v>3107</v>
      </c>
      <c r="K47" s="1882" t="s">
        <v>1521</v>
      </c>
      <c r="L47" s="1883">
        <f ca="1">INDIRECT("'数据-取费表'!d"&amp;$G$1)</f>
        <v>50</v>
      </c>
      <c r="M47" s="1838" t="str">
        <f>IF(ISNUMBER(FIND("住宅",C1)),"住宅","非住宅")</f>
        <v>非住宅</v>
      </c>
      <c r="O47" s="1884" t="s">
        <v>1036</v>
      </c>
      <c r="P47" s="1885" t="s">
        <v>1522</v>
      </c>
      <c r="Q47" s="1886">
        <f ca="1">C40+J29</f>
        <v>1486</v>
      </c>
      <c r="R47" s="1886" t="s">
        <v>1523</v>
      </c>
    </row>
    <row r="48" spans="1:18" s="1842" customFormat="1" ht="40.200000000000003" thickBot="1">
      <c r="A48" s="1360" t="s">
        <v>1131</v>
      </c>
      <c r="B48" s="345" t="s">
        <v>1395</v>
      </c>
      <c r="C48" s="2949">
        <f ca="1">C49+C53+C55</f>
        <v>0</v>
      </c>
      <c r="D48" s="1362"/>
      <c r="E48" s="1363"/>
      <c r="F48" s="1181"/>
      <c r="G48" s="792"/>
      <c r="H48" s="793"/>
      <c r="I48" s="1887" t="s">
        <v>1524</v>
      </c>
      <c r="J48" s="1888" t="s">
        <v>3109</v>
      </c>
      <c r="K48" s="1889" t="s">
        <v>1525</v>
      </c>
      <c r="L48" s="1890">
        <f ca="1">INDIRECT("'数据-取费表'!f"&amp;$G$1)</f>
        <v>33.54</v>
      </c>
      <c r="O48" s="1884" t="s">
        <v>1037</v>
      </c>
      <c r="P48" s="1885" t="s">
        <v>1526</v>
      </c>
      <c r="Q48" s="1886" t="str">
        <f ca="1">J60</f>
        <v>0</v>
      </c>
      <c r="R48" s="1886" t="s">
        <v>1527</v>
      </c>
    </row>
    <row r="49" spans="1:18" s="1842" customFormat="1" ht="13.8" thickBot="1">
      <c r="A49" s="1194" t="s">
        <v>1132</v>
      </c>
      <c r="B49" s="1829" t="s">
        <v>1484</v>
      </c>
      <c r="C49" s="1364">
        <f ca="1">ROUND(F49*F51*F50*(1-F52)/10000,0)</f>
        <v>0</v>
      </c>
      <c r="D49" s="1276" t="s">
        <v>3022</v>
      </c>
      <c r="E49" s="1830" t="s">
        <v>1485</v>
      </c>
      <c r="F49" s="1281"/>
      <c r="G49" s="1891"/>
      <c r="H49" s="793"/>
      <c r="I49" s="1887" t="s">
        <v>1528</v>
      </c>
      <c r="J49" s="1892">
        <v>2005</v>
      </c>
      <c r="K49" s="1889" t="s">
        <v>1529</v>
      </c>
      <c r="L49" s="1893"/>
      <c r="O49" s="1894" t="s">
        <v>1038</v>
      </c>
      <c r="P49" s="1885" t="s">
        <v>1530</v>
      </c>
      <c r="Q49" s="1886">
        <f ca="1">C29</f>
        <v>656</v>
      </c>
      <c r="R49" s="1886" t="s">
        <v>1523</v>
      </c>
    </row>
    <row r="50" spans="1:18" s="1842" customFormat="1" ht="13.8" thickBot="1">
      <c r="A50" s="1195"/>
      <c r="B50" s="1198"/>
      <c r="C50" s="1368"/>
      <c r="D50" s="1172"/>
      <c r="E50" s="1277" t="s">
        <v>1400</v>
      </c>
      <c r="F50" s="1278">
        <f ca="1">F7</f>
        <v>1819.3</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8" thickBot="1">
      <c r="A51" s="1196"/>
      <c r="B51" s="1198"/>
      <c r="C51" s="1199"/>
      <c r="D51" s="1172"/>
      <c r="E51" s="1200" t="s">
        <v>1401</v>
      </c>
      <c r="F51" s="348">
        <f ca="1">F8</f>
        <v>365</v>
      </c>
      <c r="I51" s="1898" t="s">
        <v>1534</v>
      </c>
      <c r="J51" s="1899">
        <f>IF(J49="",J50,J49+J50-YEAR('数据-取费表'!B2))</f>
        <v>45</v>
      </c>
      <c r="K51" s="1900" t="s">
        <v>1535</v>
      </c>
      <c r="L51" s="1901">
        <f ca="1">ROUND(-PV(INDIRECT("'数据-取费表'!h"&amp;$G$1),L48,(C39-C13*C76),0),0)</f>
        <v>369</v>
      </c>
      <c r="M51" s="1902"/>
      <c r="O51" s="1894" t="s">
        <v>1040</v>
      </c>
      <c r="P51" s="1885" t="s">
        <v>1536</v>
      </c>
      <c r="Q51" s="1897">
        <f>J52</f>
        <v>0.09</v>
      </c>
      <c r="R51" s="1886"/>
    </row>
    <row r="52" spans="1:18" s="1842" customFormat="1" ht="13.8" thickBot="1">
      <c r="A52" s="1196"/>
      <c r="B52" s="1198"/>
      <c r="C52" s="1199"/>
      <c r="D52" s="1172"/>
      <c r="E52" s="1200" t="s">
        <v>1402</v>
      </c>
      <c r="F52" s="1275"/>
      <c r="I52" s="1903" t="s">
        <v>1537</v>
      </c>
      <c r="J52" s="1904">
        <v>0.09</v>
      </c>
      <c r="K52" s="1903" t="s">
        <v>1538</v>
      </c>
      <c r="L52" s="1904"/>
      <c r="O52" s="1894" t="s">
        <v>1041</v>
      </c>
      <c r="P52" s="1885" t="s">
        <v>1539</v>
      </c>
      <c r="Q52" s="1886">
        <f ca="1">J53</f>
        <v>33.54</v>
      </c>
      <c r="R52" s="1886" t="s">
        <v>1540</v>
      </c>
    </row>
    <row r="53" spans="1:18" s="1842" customFormat="1" ht="36.6" thickBot="1">
      <c r="A53" s="1405" t="s">
        <v>1133</v>
      </c>
      <c r="B53" s="1831" t="s">
        <v>1403</v>
      </c>
      <c r="C53" s="361">
        <f ca="1">ROUND(IF(F53="押一",C49/12*F11,IF(F53="押二",C49/12*2*F11,IF(F53="押三",C49/12*3*F11,C54*F11))),0)</f>
        <v>0</v>
      </c>
      <c r="D53" s="1824" t="s">
        <v>3031</v>
      </c>
      <c r="E53" s="358" t="s">
        <v>1404</v>
      </c>
      <c r="F53" s="1366"/>
      <c r="I53" s="1905" t="s">
        <v>1541</v>
      </c>
      <c r="J53" s="2946">
        <f ca="1">IF(M47="住宅",IF(D1="——",MAX(J51,L48),MAX(J51,L48-'数据-取费表'!B24)),IF(D1="——",MIN(J51,L48),MIN(J51,L48-'数据-取费表'!B24)))</f>
        <v>33.54</v>
      </c>
      <c r="K53" s="3185" t="s">
        <v>1542</v>
      </c>
      <c r="L53" s="3186"/>
      <c r="O53" s="1884" t="s">
        <v>1042</v>
      </c>
      <c r="P53" s="1885" t="s">
        <v>1543</v>
      </c>
      <c r="Q53" s="1886">
        <f ca="1">Q47+Q48</f>
        <v>1486</v>
      </c>
      <c r="R53" s="1886" t="s">
        <v>1043</v>
      </c>
    </row>
    <row r="54" spans="1:18" s="1842" customFormat="1" ht="24.6" thickBot="1">
      <c r="A54" s="1406"/>
      <c r="B54" s="1825" t="s">
        <v>1382</v>
      </c>
      <c r="C54" s="1178"/>
      <c r="D54" s="1824"/>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8" thickBot="1">
      <c r="A55" s="1333" t="s">
        <v>1071</v>
      </c>
      <c r="B55" s="1827" t="s">
        <v>1407</v>
      </c>
      <c r="C55" s="1334"/>
      <c r="D55" s="1824"/>
      <c r="E55" s="2953"/>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37.200000000000003" thickTop="1" thickBot="1">
      <c r="A56" s="1176">
        <v>2</v>
      </c>
      <c r="B56" s="1177" t="s">
        <v>1408</v>
      </c>
      <c r="C56" s="276">
        <f ca="1">C13</f>
        <v>525</v>
      </c>
      <c r="D56" s="1913"/>
      <c r="E56" s="1914"/>
      <c r="F56" s="1906"/>
      <c r="I56" s="1915" t="s">
        <v>1548</v>
      </c>
      <c r="J56" s="1916" t="s">
        <v>3072</v>
      </c>
      <c r="K56" s="1887" t="s">
        <v>1549</v>
      </c>
      <c r="L56" s="1890" t="str">
        <f ca="1">IF(L48&lt;J51,"——",L48-J53)</f>
        <v>——</v>
      </c>
      <c r="O56" s="1884" t="s">
        <v>1036</v>
      </c>
      <c r="P56" s="1885" t="s">
        <v>1522</v>
      </c>
      <c r="Q56" s="1886">
        <f ca="1">C40+J29</f>
        <v>1486</v>
      </c>
      <c r="R56" s="1886" t="s">
        <v>1523</v>
      </c>
    </row>
    <row r="57" spans="1:18" s="1842" customFormat="1" ht="24.6" thickBot="1">
      <c r="A57" s="1917"/>
      <c r="B57" s="1169" t="s">
        <v>1472</v>
      </c>
      <c r="C57" s="282">
        <f ca="1">C29</f>
        <v>656</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6" thickBot="1">
      <c r="A58" s="360" t="s">
        <v>1026</v>
      </c>
      <c r="B58" s="1177" t="s">
        <v>1418</v>
      </c>
      <c r="C58" s="361">
        <f ca="1">ROUND(C59+C64+C65+C66,0)</f>
        <v>63</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ROUND(IF(项目基本情况!B11="自然人",C48*F59,C60+C61+C62),1)</f>
        <v>55.5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8" thickBot="1">
      <c r="A61" s="1201" t="s">
        <v>1486</v>
      </c>
      <c r="B61" s="1169" t="s">
        <v>1431</v>
      </c>
      <c r="C61" s="24">
        <f ca="1">IF(项目基本情况!B11="自然人","——",IF(D61="按租金收入计税",ROUND(C48*F61,2),IF(D61="按房产原值计税",ROUND(C57*F61*0.7,2),INDIRECT("'数据-取费表'!Aj"&amp;$G$1))))</f>
        <v>55.1</v>
      </c>
      <c r="D61" s="1828" t="s">
        <v>1432</v>
      </c>
      <c r="E61" s="1169" t="s">
        <v>1416</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8" thickBot="1">
      <c r="A62" s="1201" t="s">
        <v>1489</v>
      </c>
      <c r="B62" s="1168" t="s">
        <v>1435</v>
      </c>
      <c r="C62" s="25">
        <f ca="1">IF(项目基本情况!B11="自然人","——",ROUND(F62*F63/10000,2))</f>
        <v>0.41</v>
      </c>
      <c r="D62" s="1184" t="s">
        <v>1436</v>
      </c>
      <c r="E62" s="1169" t="s">
        <v>1437</v>
      </c>
      <c r="F62" s="371">
        <f t="shared" si="0"/>
        <v>1.5</v>
      </c>
      <c r="I62" s="1928" t="s">
        <v>1564</v>
      </c>
      <c r="J62" s="1929" t="s">
        <v>1565</v>
      </c>
      <c r="K62" s="1929" t="s">
        <v>1566</v>
      </c>
      <c r="L62" s="1929" t="s">
        <v>1567</v>
      </c>
      <c r="M62" s="1930" t="s">
        <v>1568</v>
      </c>
      <c r="O62" s="1884" t="s">
        <v>1042</v>
      </c>
      <c r="P62" s="1885" t="s">
        <v>1543</v>
      </c>
      <c r="Q62" s="1886">
        <f ca="1">Q56+Q57</f>
        <v>1486</v>
      </c>
      <c r="R62" s="1886" t="s">
        <v>1043</v>
      </c>
    </row>
    <row r="63" spans="1:18" s="1842" customFormat="1" ht="13.8" thickBot="1">
      <c r="A63" s="372"/>
      <c r="B63" s="1175"/>
      <c r="C63" s="29"/>
      <c r="D63" s="1185"/>
      <c r="E63" s="1169" t="s">
        <v>1441</v>
      </c>
      <c r="F63" s="348">
        <f t="shared" ca="1" si="0"/>
        <v>2762.05</v>
      </c>
      <c r="I63" s="1928" t="s">
        <v>1570</v>
      </c>
      <c r="J63" s="1929">
        <v>70</v>
      </c>
      <c r="K63" s="1929">
        <v>50</v>
      </c>
      <c r="L63" s="1929">
        <v>80</v>
      </c>
      <c r="M63" s="1931">
        <v>0.02</v>
      </c>
      <c r="O63" s="1869" t="s">
        <v>1571</v>
      </c>
      <c r="P63" s="1839"/>
      <c r="Q63" s="1839"/>
      <c r="R63" s="1839"/>
    </row>
    <row r="64" spans="1:18" s="1842" customFormat="1" ht="13.8" thickBot="1">
      <c r="A64" s="1201" t="s">
        <v>1035</v>
      </c>
      <c r="B64" s="1169" t="s">
        <v>1443</v>
      </c>
      <c r="C64" s="24">
        <f ca="1">ROUND(C57*F64,1)</f>
        <v>6.6</v>
      </c>
      <c r="D64" s="1183" t="s">
        <v>1476</v>
      </c>
      <c r="E64" s="1169" t="s">
        <v>1416</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0.5</v>
      </c>
      <c r="D65" s="1183" t="s">
        <v>1448</v>
      </c>
      <c r="E65" s="1169" t="s">
        <v>1416</v>
      </c>
      <c r="F65" s="376">
        <f t="shared" ca="1" si="0"/>
        <v>1E-3</v>
      </c>
      <c r="I65" s="1928" t="s">
        <v>1573</v>
      </c>
      <c r="J65" s="1929">
        <v>40</v>
      </c>
      <c r="K65" s="1929">
        <v>30</v>
      </c>
      <c r="L65" s="1929">
        <v>50</v>
      </c>
      <c r="M65" s="1931">
        <v>0.02</v>
      </c>
      <c r="O65" s="1884" t="s">
        <v>1036</v>
      </c>
      <c r="P65" s="1885" t="s">
        <v>1522</v>
      </c>
      <c r="Q65" s="1886">
        <f ca="1">C40+J29</f>
        <v>1486</v>
      </c>
      <c r="R65" s="1886" t="s">
        <v>1523</v>
      </c>
    </row>
    <row r="66" spans="1:18" s="1842" customFormat="1" ht="16.2" thickBot="1">
      <c r="A66" s="1201" t="s">
        <v>1498</v>
      </c>
      <c r="B66" s="1169" t="s">
        <v>1433</v>
      </c>
      <c r="C66" s="24">
        <f ca="1">ROUND(C48*F66,1)</f>
        <v>0</v>
      </c>
      <c r="D66" s="1183" t="s">
        <v>1453</v>
      </c>
      <c r="E66" s="1169" t="s">
        <v>1416</v>
      </c>
      <c r="F66" s="357">
        <f t="shared" ca="1" si="0"/>
        <v>0.01</v>
      </c>
      <c r="O66" s="1884" t="s">
        <v>1037</v>
      </c>
      <c r="P66" s="1885" t="s">
        <v>1552</v>
      </c>
      <c r="Q66" s="1886">
        <f ca="1">L60</f>
        <v>0</v>
      </c>
      <c r="R66" s="1886" t="s">
        <v>1575</v>
      </c>
    </row>
    <row r="67" spans="1:18" s="1842" customFormat="1" ht="24.6" thickBot="1">
      <c r="A67" s="1176" t="s">
        <v>1027</v>
      </c>
      <c r="B67" s="1186" t="s">
        <v>1457</v>
      </c>
      <c r="C67" s="361">
        <f ca="1">C48-C58</f>
        <v>-63</v>
      </c>
      <c r="D67" s="1182" t="s">
        <v>1458</v>
      </c>
      <c r="E67" s="1187"/>
      <c r="F67" s="1188"/>
      <c r="O67" s="1894" t="s">
        <v>1038</v>
      </c>
      <c r="P67" s="1885" t="s">
        <v>1556</v>
      </c>
      <c r="Q67" s="1932">
        <f ca="1">L51</f>
        <v>369</v>
      </c>
      <c r="R67" s="1886" t="s">
        <v>1576</v>
      </c>
    </row>
    <row r="68" spans="1:18" s="1842" customFormat="1" ht="16.2" thickBot="1">
      <c r="A68" s="1166" t="s">
        <v>1028</v>
      </c>
      <c r="B68" s="1167" t="s">
        <v>1479</v>
      </c>
      <c r="C68" s="346">
        <f ca="1">ROUND(C67*(1-((1+F70)/(1+F68))^F69)/(F68-F70),0)</f>
        <v>-1015</v>
      </c>
      <c r="D68" s="1184" t="s">
        <v>1463</v>
      </c>
      <c r="E68" s="1169" t="s">
        <v>1464</v>
      </c>
      <c r="F68" s="357">
        <f ca="1">F40</f>
        <v>0.05</v>
      </c>
      <c r="O68" s="1894" t="s">
        <v>1039</v>
      </c>
      <c r="P68" s="1933" t="s">
        <v>1577</v>
      </c>
      <c r="Q68" s="1886">
        <f ca="1">ROUND(Q69-Q70*Q71,0)</f>
        <v>22</v>
      </c>
      <c r="R68" s="1886" t="s">
        <v>1047</v>
      </c>
    </row>
    <row r="69" spans="1:18" s="1842" customFormat="1" ht="13.8" thickBot="1">
      <c r="A69" s="1170"/>
      <c r="B69" s="1171"/>
      <c r="C69" s="351"/>
      <c r="D69" s="1189" t="s">
        <v>1467</v>
      </c>
      <c r="E69" s="1169" t="s">
        <v>1468</v>
      </c>
      <c r="F69" s="379">
        <f ca="1">F41</f>
        <v>33.54</v>
      </c>
      <c r="O69" s="1894" t="s">
        <v>1044</v>
      </c>
      <c r="P69" s="1933" t="s">
        <v>1578</v>
      </c>
      <c r="Q69" s="1886">
        <f ca="1">C39</f>
        <v>67</v>
      </c>
      <c r="R69" s="1886" t="s">
        <v>1523</v>
      </c>
    </row>
    <row r="70" spans="1:18" s="1842" customFormat="1" ht="13.8" thickBot="1">
      <c r="A70" s="1173"/>
      <c r="B70" s="1174"/>
      <c r="C70" s="355"/>
      <c r="D70" s="1185"/>
      <c r="E70" s="1169" t="s">
        <v>1471</v>
      </c>
      <c r="F70" s="1275"/>
      <c r="O70" s="1894" t="s">
        <v>1045</v>
      </c>
      <c r="P70" s="1933" t="s">
        <v>1579</v>
      </c>
      <c r="Q70" s="1886">
        <f ca="1">C13</f>
        <v>525</v>
      </c>
      <c r="R70" s="1886" t="s">
        <v>1523</v>
      </c>
    </row>
    <row r="71" spans="1:18" s="1842" customFormat="1" ht="13.8" thickBot="1">
      <c r="A71" s="1190" t="s">
        <v>1029</v>
      </c>
      <c r="B71" s="1191" t="s">
        <v>1481</v>
      </c>
      <c r="C71" s="382">
        <f ca="1">ROUND(C68*10000/F71,0)</f>
        <v>-5579</v>
      </c>
      <c r="D71" s="1192" t="s">
        <v>1482</v>
      </c>
      <c r="E71" s="1193" t="s">
        <v>1483</v>
      </c>
      <c r="F71" s="385">
        <f ca="1">F43</f>
        <v>1819.3</v>
      </c>
      <c r="O71" s="1894" t="s">
        <v>1046</v>
      </c>
      <c r="P71" s="1933" t="s">
        <v>1580</v>
      </c>
      <c r="Q71" s="1897">
        <f ca="1">C76</f>
        <v>8.5000000000000006E-2</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8" thickBot="1">
      <c r="A75" s="1842"/>
      <c r="B75" s="386" t="s">
        <v>1500</v>
      </c>
      <c r="C75" s="387">
        <f ca="1">ROUND(C13*C76,0)</f>
        <v>45</v>
      </c>
      <c r="D75" s="1842"/>
      <c r="E75" s="1842"/>
      <c r="F75" s="1842"/>
      <c r="K75" s="1868"/>
      <c r="L75" s="1842"/>
      <c r="O75" s="1884" t="s">
        <v>1042</v>
      </c>
      <c r="P75" s="1885" t="s">
        <v>1543</v>
      </c>
      <c r="Q75" s="1886">
        <f ca="1">Q65+Q66</f>
        <v>1486</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0.32799999999999996</v>
      </c>
    </row>
    <row r="80" spans="1:18">
      <c r="B80" s="386" t="s">
        <v>1505</v>
      </c>
      <c r="C80" s="318">
        <f ca="1">ROUND(C75/C39,3)</f>
        <v>0.67200000000000004</v>
      </c>
    </row>
    <row r="81" spans="2:3">
      <c r="B81" s="314" t="s">
        <v>1506</v>
      </c>
      <c r="C81" s="282"/>
    </row>
    <row r="82" spans="2:3">
      <c r="B82" s="317" t="s">
        <v>1507</v>
      </c>
      <c r="C82" s="319">
        <f ca="1">1-C83</f>
        <v>0.64700000000000002</v>
      </c>
    </row>
    <row r="83" spans="2:3">
      <c r="B83" s="317" t="s">
        <v>1508</v>
      </c>
      <c r="C83" s="318">
        <f ca="1">ROUND(C13/C40,3)</f>
        <v>0.35299999999999998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xr:uid="{00000000-0002-0000-1800-000000000000}">
      <formula1>"在建（套用方法）,土地（套用方法）,——"</formula1>
    </dataValidation>
    <dataValidation type="list" allowBlank="1" showInputMessage="1" showErrorMessage="1" sqref="M10 F10 F53" xr:uid="{00000000-0002-0000-1800-000001000000}">
      <formula1>"押一,押二,押三,自定义"</formula1>
    </dataValidation>
    <dataValidation type="list" allowBlank="1" showInputMessage="1" showErrorMessage="1" sqref="L55" xr:uid="{00000000-0002-0000-1800-000002000000}">
      <formula1>"比较法,基准地价,收益还原"</formula1>
    </dataValidation>
    <dataValidation type="list" allowBlank="1" showInputMessage="1" showErrorMessage="1" sqref="J56" xr:uid="{00000000-0002-0000-1800-000003000000}">
      <formula1>判定</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47" xr:uid="{00000000-0002-0000-1800-000005000000}">
      <formula1>"钢,钢混,砖混"</formula1>
    </dataValidation>
    <dataValidation type="list" allowBlank="1" showInputMessage="1" showErrorMessage="1" sqref="C1" xr:uid="{00000000-0002-0000-1800-000006000000}">
      <formula1>项目类型</formula1>
    </dataValidation>
    <dataValidation type="list" allowBlank="1" showInputMessage="1" showErrorMessage="1" sqref="D33 D61" xr:uid="{00000000-0002-0000-1800-000007000000}">
      <formula1>"按租金收入计税,按房产原值计税,按票据"</formula1>
    </dataValidation>
    <dataValidation type="list" allowBlank="1" showInputMessage="1" showErrorMessage="1" sqref="K19" xr:uid="{00000000-0002-0000-1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7" t="s">
        <v>1397</v>
      </c>
      <c r="C6" s="1296">
        <f ca="1">ROUND(F6*F8*F7*(1-F9),0)</f>
        <v>0</v>
      </c>
      <c r="D6" s="164" t="s">
        <v>3020</v>
      </c>
      <c r="E6" s="347" t="s">
        <v>1399</v>
      </c>
      <c r="F6" s="348">
        <f ca="1">INDIRECT("'数据-取费表'!u"&amp;$G$1)</f>
        <v>0</v>
      </c>
      <c r="G6" s="1851"/>
      <c r="H6" s="1291" t="s">
        <v>1031</v>
      </c>
      <c r="I6" s="3187" t="s">
        <v>1397</v>
      </c>
      <c r="J6" s="346">
        <f ca="1">ROUND(M6*M8*M7*(1-M9),0)</f>
        <v>0</v>
      </c>
      <c r="K6" s="1834" t="s">
        <v>3021</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0</v>
      </c>
      <c r="G7" s="1851"/>
      <c r="H7" s="349"/>
      <c r="I7" s="3188"/>
      <c r="J7" s="351"/>
      <c r="K7" s="352"/>
      <c r="L7" s="347" t="s">
        <v>1400</v>
      </c>
      <c r="M7" s="348">
        <f ca="1">F7</f>
        <v>0</v>
      </c>
    </row>
    <row r="8" spans="1:37" ht="18" customHeight="1">
      <c r="A8" s="349"/>
      <c r="B8" s="3188"/>
      <c r="C8" s="351"/>
      <c r="D8" s="352"/>
      <c r="E8" s="347" t="s">
        <v>1401</v>
      </c>
      <c r="F8" s="348">
        <f ca="1">INDIRECT("'数据-取费表'!ai"&amp;$G$1)</f>
        <v>0</v>
      </c>
      <c r="G8" s="1851"/>
      <c r="H8" s="349"/>
      <c r="I8" s="3188"/>
      <c r="J8" s="351"/>
      <c r="K8" s="352"/>
      <c r="L8" s="347" t="s">
        <v>1401</v>
      </c>
      <c r="M8" s="348">
        <f ca="1">INDIRECT("'数据-取费表'!ai"&amp;$G$1)</f>
        <v>0</v>
      </c>
    </row>
    <row r="9" spans="1:37" ht="18" customHeight="1">
      <c r="A9" s="349"/>
      <c r="B9" s="3189"/>
      <c r="C9" s="351"/>
      <c r="D9" s="352"/>
      <c r="E9" s="347" t="s">
        <v>1402</v>
      </c>
      <c r="F9" s="357">
        <f ca="1">INDIRECT("'数据-取费表'!w"&amp;$G$1)</f>
        <v>0</v>
      </c>
      <c r="G9" s="1851"/>
      <c r="H9" s="349"/>
      <c r="I9" s="318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3031</v>
      </c>
      <c r="E10" s="358" t="s">
        <v>1404</v>
      </c>
      <c r="F10" s="1366"/>
      <c r="G10" s="1851"/>
      <c r="H10" s="1291" t="s">
        <v>1035</v>
      </c>
      <c r="I10" s="1823" t="s">
        <v>1403</v>
      </c>
      <c r="J10" s="346">
        <f ca="1">ROUND(IF(M10="押一",J6/12*M11,IF(M10="押二",J6/12*2*M11,IF(M10="押三",J6/12*3*M11,J11*M11))),0)</f>
        <v>0</v>
      </c>
      <c r="K10" s="1835" t="s">
        <v>3033</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8"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8"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8"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8"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8"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3034</v>
      </c>
      <c r="E53" s="358" t="s">
        <v>1404</v>
      </c>
      <c r="F53" s="1366"/>
      <c r="I53" s="1905" t="s">
        <v>1541</v>
      </c>
      <c r="J53" s="2946">
        <f ca="1">IF(M47="住宅",IF(D1="——",MAX(J51,L48),MAX(J51,L48-'数据-取费表'!B24)),IF(D1="——",MIN(J51,L48),MIN(J51,L48-'数据-取费表'!B24)))</f>
        <v>0</v>
      </c>
      <c r="K53" s="3185" t="s">
        <v>1542</v>
      </c>
      <c r="L53" s="3186"/>
      <c r="O53" s="1884" t="s">
        <v>1042</v>
      </c>
      <c r="P53" s="1885" t="s">
        <v>1543</v>
      </c>
      <c r="Q53" s="1886" t="e">
        <f ca="1">Q47+Q48</f>
        <v>#DIV/0!</v>
      </c>
      <c r="R53" s="1886" t="s">
        <v>1043</v>
      </c>
    </row>
    <row r="54" spans="1:18" s="1842" customFormat="1" ht="13.8"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6"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6"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8"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2"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4.6"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2"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8" thickBot="1">
      <c r="A69" s="1170"/>
      <c r="B69" s="1171"/>
      <c r="C69" s="351"/>
      <c r="D69" s="1189" t="s">
        <v>1467</v>
      </c>
      <c r="E69" s="1169" t="s">
        <v>1468</v>
      </c>
      <c r="F69" s="379">
        <f ca="1">F41</f>
        <v>0</v>
      </c>
      <c r="O69" s="1894" t="s">
        <v>1044</v>
      </c>
      <c r="P69" s="1933" t="s">
        <v>1578</v>
      </c>
      <c r="Q69" s="1886">
        <f ca="1">C39</f>
        <v>0</v>
      </c>
      <c r="R69" s="1886" t="s">
        <v>1523</v>
      </c>
    </row>
    <row r="70" spans="1:18" s="1842" customFormat="1" ht="13.8" thickBot="1">
      <c r="A70" s="1173"/>
      <c r="B70" s="1174"/>
      <c r="C70" s="355"/>
      <c r="D70" s="1185"/>
      <c r="E70" s="1169" t="s">
        <v>1471</v>
      </c>
      <c r="F70" s="1275">
        <f ca="1">F42</f>
        <v>0</v>
      </c>
      <c r="O70" s="1894" t="s">
        <v>1045</v>
      </c>
      <c r="P70" s="1933" t="s">
        <v>1579</v>
      </c>
      <c r="Q70" s="1886">
        <f ca="1">C13</f>
        <v>0</v>
      </c>
      <c r="R70" s="1886" t="s">
        <v>1523</v>
      </c>
    </row>
    <row r="71" spans="1:18" s="1842" customFormat="1" ht="13.8"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8"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B6" sqref="B6:D6"/>
    </sheetView>
  </sheetViews>
  <sheetFormatPr defaultRowHeight="14.4"/>
  <cols>
    <col min="1" max="1" width="10.44140625" customWidth="1"/>
    <col min="2" max="2" width="12.88671875" customWidth="1"/>
    <col min="3" max="3" width="8.77734375" customWidth="1"/>
  </cols>
  <sheetData>
    <row r="1" spans="1:9" ht="15.6">
      <c r="A1" s="3206" t="s">
        <v>1072</v>
      </c>
      <c r="B1" s="3207"/>
      <c r="C1" s="3208"/>
      <c r="D1" s="3209">
        <f>SUM(I10,I15,I20,I21,I23)</f>
        <v>0</v>
      </c>
      <c r="E1" s="3209"/>
      <c r="F1" s="3209"/>
      <c r="G1" s="3209"/>
      <c r="H1" s="3209"/>
      <c r="I1" s="3210"/>
    </row>
    <row r="2" spans="1:9">
      <c r="A2" s="3196" t="s">
        <v>1073</v>
      </c>
      <c r="B2" s="3197" t="s">
        <v>1074</v>
      </c>
      <c r="C2" s="3197"/>
      <c r="D2" s="1301" t="s">
        <v>1075</v>
      </c>
      <c r="E2" s="1301" t="s">
        <v>1076</v>
      </c>
      <c r="F2" s="1301" t="s">
        <v>1077</v>
      </c>
      <c r="G2" s="1301" t="s">
        <v>1078</v>
      </c>
      <c r="H2" s="1301" t="s">
        <v>1079</v>
      </c>
      <c r="I2" s="1302" t="s">
        <v>1080</v>
      </c>
    </row>
    <row r="3" spans="1:9">
      <c r="A3" s="3196"/>
      <c r="B3" s="3197" t="s">
        <v>1081</v>
      </c>
      <c r="C3" s="3197"/>
      <c r="D3" s="1303"/>
      <c r="E3" s="1301"/>
      <c r="F3" s="1304"/>
      <c r="G3" s="1304"/>
      <c r="H3" s="1305"/>
      <c r="I3" s="1306">
        <f>ROUND(D3*E3*F3*G3*H3/10000,0)</f>
        <v>0</v>
      </c>
    </row>
    <row r="4" spans="1:9">
      <c r="A4" s="3196"/>
      <c r="B4" s="3197" t="s">
        <v>1082</v>
      </c>
      <c r="C4" s="3197"/>
      <c r="D4" s="1303"/>
      <c r="E4" s="1301"/>
      <c r="F4" s="1304"/>
      <c r="G4" s="1304"/>
      <c r="H4" s="1305"/>
      <c r="I4" s="1306">
        <f t="shared" ref="I4:I9" si="0">ROUND(D4*E4*F4*G4*H4/10000,0)</f>
        <v>0</v>
      </c>
    </row>
    <row r="5" spans="1:9">
      <c r="A5" s="3196"/>
      <c r="B5" s="3197" t="s">
        <v>1083</v>
      </c>
      <c r="C5" s="3197"/>
      <c r="D5" s="1303"/>
      <c r="E5" s="1301"/>
      <c r="F5" s="1304"/>
      <c r="G5" s="1304"/>
      <c r="H5" s="1305"/>
      <c r="I5" s="1306">
        <f t="shared" si="0"/>
        <v>0</v>
      </c>
    </row>
    <row r="6" spans="1:9">
      <c r="A6" s="3196"/>
      <c r="B6" s="3197" t="s">
        <v>1084</v>
      </c>
      <c r="C6" s="3197"/>
      <c r="D6" s="1303"/>
      <c r="E6" s="1301"/>
      <c r="F6" s="1304"/>
      <c r="G6" s="1304"/>
      <c r="H6" s="1305"/>
      <c r="I6" s="1306">
        <f t="shared" si="0"/>
        <v>0</v>
      </c>
    </row>
    <row r="7" spans="1:9">
      <c r="A7" s="3196"/>
      <c r="B7" s="3197" t="s">
        <v>1085</v>
      </c>
      <c r="C7" s="3197"/>
      <c r="D7" s="1303"/>
      <c r="E7" s="1301"/>
      <c r="F7" s="1304"/>
      <c r="G7" s="1304"/>
      <c r="H7" s="1305"/>
      <c r="I7" s="1306">
        <f t="shared" si="0"/>
        <v>0</v>
      </c>
    </row>
    <row r="8" spans="1:9">
      <c r="A8" s="3196"/>
      <c r="B8" s="3197" t="s">
        <v>1086</v>
      </c>
      <c r="C8" s="3197"/>
      <c r="D8" s="1303"/>
      <c r="E8" s="1301"/>
      <c r="F8" s="1304"/>
      <c r="G8" s="1304"/>
      <c r="H8" s="1305"/>
      <c r="I8" s="1306">
        <f t="shared" si="0"/>
        <v>0</v>
      </c>
    </row>
    <row r="9" spans="1:9">
      <c r="A9" s="3196"/>
      <c r="B9" s="3197" t="s">
        <v>1087</v>
      </c>
      <c r="C9" s="3197"/>
      <c r="D9" s="1303"/>
      <c r="E9" s="1301"/>
      <c r="F9" s="1304"/>
      <c r="G9" s="1304"/>
      <c r="H9" s="1305"/>
      <c r="I9" s="1306">
        <f t="shared" si="0"/>
        <v>0</v>
      </c>
    </row>
    <row r="10" spans="1:9">
      <c r="A10" s="3196"/>
      <c r="B10" s="3198" t="s">
        <v>1088</v>
      </c>
      <c r="C10" s="3198"/>
      <c r="D10" s="1307"/>
      <c r="E10" s="1307" t="e">
        <f>ROUND(D1*10000/D10/H9,0)</f>
        <v>#DIV/0!</v>
      </c>
      <c r="F10" s="1308"/>
      <c r="G10" s="1308"/>
      <c r="H10" s="1309"/>
      <c r="I10" s="1310">
        <f>SUM(I3:I9)</f>
        <v>0</v>
      </c>
    </row>
    <row r="11" spans="1:9" ht="15.6">
      <c r="A11" s="3196" t="s">
        <v>1089</v>
      </c>
      <c r="B11" s="3197" t="s">
        <v>1090</v>
      </c>
      <c r="C11" s="3197"/>
      <c r="D11" s="1303" t="s">
        <v>1091</v>
      </c>
      <c r="E11" s="1303" t="s">
        <v>1092</v>
      </c>
      <c r="F11" s="1304" t="s">
        <v>1093</v>
      </c>
      <c r="G11" s="1304" t="s">
        <v>1079</v>
      </c>
      <c r="H11" s="1311" t="s">
        <v>1094</v>
      </c>
      <c r="I11" s="1302" t="s">
        <v>1080</v>
      </c>
    </row>
    <row r="12" spans="1:9">
      <c r="A12" s="3196"/>
      <c r="B12" s="3197" t="s">
        <v>1095</v>
      </c>
      <c r="C12" s="3197"/>
      <c r="D12" s="1303"/>
      <c r="E12" s="1303"/>
      <c r="F12" s="1304"/>
      <c r="G12" s="1305"/>
      <c r="H12" s="1312"/>
      <c r="I12" s="1302">
        <f>ROUND(D12*E12*F12*G12/10000,0)</f>
        <v>0</v>
      </c>
    </row>
    <row r="13" spans="1:9">
      <c r="A13" s="3196"/>
      <c r="B13" s="3197" t="s">
        <v>1096</v>
      </c>
      <c r="C13" s="3197"/>
      <c r="D13" s="1303"/>
      <c r="E13" s="1303"/>
      <c r="F13" s="1304"/>
      <c r="G13" s="1305"/>
      <c r="H13" s="1312"/>
      <c r="I13" s="1302">
        <f>ROUND(D13*E13*F13*G13/10000,0)</f>
        <v>0</v>
      </c>
    </row>
    <row r="14" spans="1:9">
      <c r="A14" s="3196"/>
      <c r="B14" s="3197" t="s">
        <v>1097</v>
      </c>
      <c r="C14" s="3197"/>
      <c r="D14" s="1303"/>
      <c r="E14" s="1303"/>
      <c r="F14" s="1304"/>
      <c r="G14" s="1305"/>
      <c r="H14" s="1312"/>
      <c r="I14" s="1302">
        <f>ROUND(D14*E14*F14*G14/10000,0)</f>
        <v>0</v>
      </c>
    </row>
    <row r="15" spans="1:9">
      <c r="A15" s="3196"/>
      <c r="B15" s="3198" t="s">
        <v>1088</v>
      </c>
      <c r="C15" s="3198"/>
      <c r="D15" s="1307"/>
      <c r="E15" s="1307">
        <f>SUM(E12:E14)</f>
        <v>0</v>
      </c>
      <c r="F15" s="1308"/>
      <c r="G15" s="1305"/>
      <c r="H15" s="1312"/>
      <c r="I15" s="1313">
        <f>SUM(I12:I14)</f>
        <v>0</v>
      </c>
    </row>
    <row r="16" spans="1:9" ht="24">
      <c r="A16" s="3196" t="s">
        <v>1098</v>
      </c>
      <c r="B16" s="3197" t="s">
        <v>1099</v>
      </c>
      <c r="C16" s="3197"/>
      <c r="D16" s="1303" t="s">
        <v>1075</v>
      </c>
      <c r="E16" s="1314" t="s">
        <v>1100</v>
      </c>
      <c r="F16" s="1304" t="s">
        <v>1101</v>
      </c>
      <c r="G16" s="1305" t="s">
        <v>1079</v>
      </c>
      <c r="H16" s="1311" t="s">
        <v>1094</v>
      </c>
      <c r="I16" s="1302" t="s">
        <v>1080</v>
      </c>
    </row>
    <row r="17" spans="1:9" ht="15.6">
      <c r="A17" s="3196"/>
      <c r="B17" s="3197" t="s">
        <v>1102</v>
      </c>
      <c r="C17" s="3197"/>
      <c r="D17" s="1303"/>
      <c r="E17" s="1303"/>
      <c r="F17" s="1304"/>
      <c r="G17" s="1305"/>
      <c r="H17" s="1315"/>
      <c r="I17" s="1316">
        <f>ROUND(D17*E17*F17*G17/10000,0)</f>
        <v>0</v>
      </c>
    </row>
    <row r="18" spans="1:9" ht="15.6">
      <c r="A18" s="3196"/>
      <c r="B18" s="3197" t="s">
        <v>1103</v>
      </c>
      <c r="C18" s="3197"/>
      <c r="D18" s="1303"/>
      <c r="E18" s="1303"/>
      <c r="F18" s="1304"/>
      <c r="G18" s="1305"/>
      <c r="H18" s="1315"/>
      <c r="I18" s="1316">
        <f>ROUND(D18*E18*F18*G18/10000,0)</f>
        <v>0</v>
      </c>
    </row>
    <row r="19" spans="1:9" ht="15.6">
      <c r="A19" s="3196"/>
      <c r="B19" s="3197" t="s">
        <v>1104</v>
      </c>
      <c r="C19" s="3197"/>
      <c r="D19" s="1303"/>
      <c r="E19" s="1303"/>
      <c r="F19" s="1304"/>
      <c r="G19" s="1305"/>
      <c r="H19" s="1315"/>
      <c r="I19" s="1316">
        <f>ROUND(D19*E19*F19*G19/10000,0)</f>
        <v>0</v>
      </c>
    </row>
    <row r="20" spans="1:9">
      <c r="A20" s="3196"/>
      <c r="B20" s="3198" t="s">
        <v>1088</v>
      </c>
      <c r="C20" s="3198"/>
      <c r="D20" s="1307">
        <f>SUM(D17:D19)</f>
        <v>0</v>
      </c>
      <c r="E20" s="1307"/>
      <c r="F20" s="1308"/>
      <c r="G20" s="1305"/>
      <c r="H20" s="1312"/>
      <c r="I20" s="1313">
        <f>SUM(I17:I19)</f>
        <v>0</v>
      </c>
    </row>
    <row r="21" spans="1:9">
      <c r="A21" s="3196" t="s">
        <v>1105</v>
      </c>
      <c r="B21" s="3199"/>
      <c r="C21" s="3199"/>
      <c r="D21" s="3199"/>
      <c r="E21" s="3199"/>
      <c r="F21" s="3199"/>
      <c r="G21" s="3199"/>
      <c r="H21" s="1765">
        <v>0.1</v>
      </c>
      <c r="I21" s="1310">
        <f>ROUND(I10*H21,0)</f>
        <v>0</v>
      </c>
    </row>
    <row r="22" spans="1:9" ht="15.6">
      <c r="A22" s="3200" t="s">
        <v>1106</v>
      </c>
      <c r="B22" s="3201"/>
      <c r="C22" s="3202"/>
      <c r="D22" s="1317" t="s">
        <v>1107</v>
      </c>
      <c r="E22" s="1317" t="s">
        <v>1108</v>
      </c>
      <c r="F22" s="1318" t="s">
        <v>1109</v>
      </c>
      <c r="G22" s="1318" t="s">
        <v>1110</v>
      </c>
      <c r="H22" s="1311" t="s">
        <v>1111</v>
      </c>
      <c r="I22" s="1302" t="s">
        <v>1112</v>
      </c>
    </row>
    <row r="23" spans="1:9" ht="15" thickBot="1">
      <c r="A23" s="3203"/>
      <c r="B23" s="3204"/>
      <c r="C23" s="3205"/>
      <c r="D23" s="1319"/>
      <c r="E23" s="1319"/>
      <c r="F23" s="1319"/>
      <c r="G23" s="1320"/>
      <c r="H23" s="1321"/>
      <c r="I23" s="1322">
        <f>ROUND(E23*D23*F23*(1-G23)/10000,0)</f>
        <v>0</v>
      </c>
    </row>
    <row r="26" spans="1:9">
      <c r="A26" s="1323" t="s">
        <v>1113</v>
      </c>
      <c r="B26" s="1323"/>
      <c r="C26" s="1323"/>
      <c r="D26" s="1323"/>
      <c r="E26" s="3193">
        <f>C27-C30-C31-C32</f>
        <v>0</v>
      </c>
      <c r="F26" s="3193"/>
      <c r="G26" s="3193"/>
      <c r="H26" s="1737" t="s">
        <v>1335</v>
      </c>
    </row>
    <row r="27" spans="1:9">
      <c r="A27" s="1324">
        <v>1</v>
      </c>
      <c r="B27" s="1325" t="s">
        <v>1114</v>
      </c>
      <c r="C27" s="1325">
        <f>C28+C29</f>
        <v>0</v>
      </c>
      <c r="D27" s="1325"/>
      <c r="E27" s="3194"/>
      <c r="F27" s="3194"/>
      <c r="G27" s="3194"/>
    </row>
    <row r="28" spans="1:9">
      <c r="A28" s="1326" t="s">
        <v>1115</v>
      </c>
      <c r="B28" s="1325" t="s">
        <v>1116</v>
      </c>
      <c r="C28" s="1325"/>
      <c r="D28" s="1325"/>
      <c r="E28" s="3194"/>
      <c r="F28" s="3194"/>
      <c r="G28" s="319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5"/>
      <c r="F32" s="3195"/>
      <c r="G32" s="3195"/>
    </row>
    <row r="33" spans="1:7" hidden="1">
      <c r="A33" s="3190" t="s">
        <v>1125</v>
      </c>
      <c r="B33" s="3191"/>
      <c r="C33" s="3191"/>
      <c r="D33" s="3192"/>
      <c r="E33" s="3193"/>
      <c r="F33" s="3193"/>
      <c r="G33" s="3193"/>
    </row>
    <row r="34" spans="1:7" hidden="1">
      <c r="A34" s="1328">
        <v>1</v>
      </c>
      <c r="B34" s="1325" t="s">
        <v>1126</v>
      </c>
      <c r="C34" s="1325"/>
      <c r="D34" s="1325"/>
      <c r="E34" s="3194"/>
      <c r="F34" s="3194"/>
      <c r="G34" s="3194"/>
    </row>
    <row r="35" spans="1:7" hidden="1">
      <c r="A35" s="1328">
        <v>2</v>
      </c>
      <c r="B35" s="1325" t="s">
        <v>1127</v>
      </c>
      <c r="C35" s="1325"/>
      <c r="D35" s="1325"/>
      <c r="E35" s="3194"/>
      <c r="F35" s="3194"/>
      <c r="G35" s="3194"/>
    </row>
    <row r="36" spans="1:7" hidden="1">
      <c r="A36" s="1328">
        <v>3</v>
      </c>
      <c r="B36" s="1325" t="s">
        <v>1128</v>
      </c>
      <c r="C36" s="1325"/>
      <c r="D36" s="1325"/>
      <c r="E36" s="3194"/>
      <c r="F36" s="3194"/>
      <c r="G36" s="3194"/>
    </row>
    <row r="37" spans="1:7" hidden="1">
      <c r="A37" s="1328">
        <v>4</v>
      </c>
      <c r="B37" s="1325" t="s">
        <v>1129</v>
      </c>
      <c r="C37" s="1325"/>
      <c r="D37" s="1325"/>
      <c r="E37" s="3194"/>
      <c r="F37" s="3194"/>
      <c r="G37" s="3194"/>
    </row>
    <row r="38" spans="1:7" hidden="1">
      <c r="A38" s="3190" t="s">
        <v>1130</v>
      </c>
      <c r="B38" s="3191"/>
      <c r="C38" s="3191"/>
      <c r="D38" s="3192"/>
      <c r="E38" s="3193"/>
      <c r="F38" s="3193"/>
      <c r="G38" s="31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zoomScale="90" zoomScaleNormal="90" workbookViewId="0">
      <selection activeCell="B6" sqref="B6:D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2520</v>
      </c>
      <c r="B1" s="2578" t="s">
        <v>2521</v>
      </c>
      <c r="C1" s="1634" t="s">
        <v>2522</v>
      </c>
      <c r="D1" s="1621"/>
      <c r="E1" s="2579"/>
      <c r="F1" s="2580" t="s">
        <v>2523</v>
      </c>
      <c r="G1" s="1631" t="s">
        <v>2524</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2"/>
      <c r="D2" s="1365" t="e">
        <f ca="1">SUMIF(INDIRECT("'"&amp;F2&amp;"'"&amp;"!A:A"),"承租人权益价值",INDIRECT("'"&amp;F2&amp;"'"&amp;"!c:c"))</f>
        <v>#REF!</v>
      </c>
      <c r="E2" s="2583" t="s">
        <v>2525</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1389</v>
      </c>
      <c r="B3" s="399" t="e">
        <f ca="1">IF(C2="——",C49,ROUND(B2*10000/D3,0))</f>
        <v>#DIV/0!</v>
      </c>
      <c r="C3" s="400" t="s">
        <v>2526</v>
      </c>
      <c r="D3" s="399">
        <f>IF(D1="",'数据-汇总表'!E3,SUMIF('数据-汇总表'!$C19:$C33,D1,'数据-汇总表'!$E19:$E33))</f>
        <v>15950.36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4.4">
      <c r="A4" s="401" t="s">
        <v>2527</v>
      </c>
      <c r="B4" s="402"/>
      <c r="C4" s="3229" t="s">
        <v>2528</v>
      </c>
      <c r="D4" s="3230"/>
      <c r="E4" s="3231" t="s">
        <v>2529</v>
      </c>
      <c r="F4" s="3232"/>
      <c r="G4" s="3229" t="s">
        <v>2530</v>
      </c>
      <c r="H4" s="3230"/>
      <c r="I4" s="3229" t="s">
        <v>2531</v>
      </c>
      <c r="J4" s="3230"/>
      <c r="K4" s="2592" t="s">
        <v>2532</v>
      </c>
      <c r="L4" s="1130"/>
      <c r="M4" s="1131"/>
      <c r="N4" s="1131"/>
      <c r="O4" s="1131"/>
      <c r="P4" s="3233" t="s">
        <v>2533</v>
      </c>
      <c r="Q4" s="3234"/>
      <c r="R4" s="3239" t="s">
        <v>2529</v>
      </c>
      <c r="S4" s="3240"/>
      <c r="T4" s="3239" t="s">
        <v>2530</v>
      </c>
      <c r="U4" s="3240"/>
      <c r="V4" s="3245" t="s">
        <v>2531</v>
      </c>
      <c r="W4" s="3245"/>
      <c r="X4" s="1813"/>
      <c r="Y4" s="3239" t="s">
        <v>2533</v>
      </c>
      <c r="Z4" s="3240"/>
      <c r="AA4" s="3226" t="s">
        <v>2529</v>
      </c>
      <c r="AB4" s="3226" t="s">
        <v>2530</v>
      </c>
      <c r="AC4" s="3226" t="s">
        <v>2531</v>
      </c>
    </row>
    <row r="5" spans="1:29">
      <c r="A5" s="404"/>
      <c r="B5" s="405"/>
      <c r="C5" s="3248" t="s">
        <v>2534</v>
      </c>
      <c r="D5" s="3249"/>
      <c r="E5" s="3255" t="s">
        <v>2535</v>
      </c>
      <c r="F5" s="3256"/>
      <c r="G5" s="3248" t="s">
        <v>2536</v>
      </c>
      <c r="H5" s="3249"/>
      <c r="I5" s="3248" t="s">
        <v>2537</v>
      </c>
      <c r="J5" s="3249"/>
      <c r="K5" s="2593"/>
      <c r="L5" s="1130"/>
      <c r="M5" s="1131"/>
      <c r="N5" s="1131"/>
      <c r="O5" s="1131"/>
      <c r="P5" s="3235"/>
      <c r="Q5" s="3236"/>
      <c r="R5" s="3241"/>
      <c r="S5" s="3242"/>
      <c r="T5" s="3241"/>
      <c r="U5" s="3242"/>
      <c r="V5" s="3245"/>
      <c r="W5" s="3245"/>
      <c r="X5" s="1813"/>
      <c r="Y5" s="3241"/>
      <c r="Z5" s="3242"/>
      <c r="AA5" s="3227"/>
      <c r="AB5" s="3227"/>
      <c r="AC5" s="3227"/>
    </row>
    <row r="6" spans="1:29" ht="15" thickBot="1">
      <c r="A6" s="406"/>
      <c r="B6" s="407"/>
      <c r="C6" s="3246" t="s">
        <v>2538</v>
      </c>
      <c r="D6" s="3247"/>
      <c r="E6" s="3253" t="s">
        <v>2538</v>
      </c>
      <c r="F6" s="3254"/>
      <c r="G6" s="3246" t="s">
        <v>2538</v>
      </c>
      <c r="H6" s="3247"/>
      <c r="I6" s="3246" t="s">
        <v>2538</v>
      </c>
      <c r="J6" s="3247"/>
      <c r="K6" s="2593" t="s">
        <v>2539</v>
      </c>
      <c r="L6" s="1130"/>
      <c r="M6" s="1131"/>
      <c r="N6" s="1131"/>
      <c r="O6" s="1131"/>
      <c r="P6" s="3237"/>
      <c r="Q6" s="3238"/>
      <c r="R6" s="3241"/>
      <c r="S6" s="3242"/>
      <c r="T6" s="3243"/>
      <c r="U6" s="3244"/>
      <c r="V6" s="3245"/>
      <c r="W6" s="3245"/>
      <c r="X6" s="1813"/>
      <c r="Y6" s="3243"/>
      <c r="Z6" s="3244"/>
      <c r="AA6" s="3228"/>
      <c r="AB6" s="3228"/>
      <c r="AC6" s="3228"/>
    </row>
    <row r="7" spans="1:29" s="117" customFormat="1" ht="15" thickBot="1">
      <c r="A7" s="408" t="s">
        <v>2540</v>
      </c>
      <c r="B7" s="409"/>
      <c r="C7" s="410">
        <f>'数据-取费表'!B2</f>
        <v>43921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50" t="s">
        <v>2541</v>
      </c>
      <c r="Q7" s="3252"/>
      <c r="R7" s="770" t="s">
        <v>23</v>
      </c>
      <c r="S7" s="771">
        <f t="shared" ref="S7:S15" si="0">F7</f>
        <v>0</v>
      </c>
      <c r="T7" s="770" t="s">
        <v>23</v>
      </c>
      <c r="U7" s="771">
        <f t="shared" ref="U7:U15" si="1">H7</f>
        <v>0</v>
      </c>
      <c r="V7" s="770" t="s">
        <v>23</v>
      </c>
      <c r="W7" s="771">
        <f t="shared" ref="W7:W15" si="2">J7</f>
        <v>0</v>
      </c>
      <c r="X7" s="772"/>
      <c r="Y7" s="3250" t="s">
        <v>2541</v>
      </c>
      <c r="Z7" s="3251"/>
      <c r="AA7" s="773" t="e">
        <f>D7/F7</f>
        <v>#DIV/0!</v>
      </c>
      <c r="AB7" s="773" t="e">
        <f>D7/H7</f>
        <v>#DIV/0!</v>
      </c>
      <c r="AC7" s="773" t="e">
        <f>D7/J7</f>
        <v>#DIV/0!</v>
      </c>
    </row>
    <row r="8" spans="1:29" s="117" customFormat="1" ht="15" thickBot="1">
      <c r="A8" s="408" t="s">
        <v>2542</v>
      </c>
      <c r="B8" s="409"/>
      <c r="C8" s="414" t="s">
        <v>2543</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50" t="s">
        <v>2544</v>
      </c>
      <c r="Q8" s="3251"/>
      <c r="R8" s="770" t="s">
        <v>23</v>
      </c>
      <c r="S8" s="771">
        <f t="shared" si="0"/>
        <v>0</v>
      </c>
      <c r="T8" s="770" t="s">
        <v>23</v>
      </c>
      <c r="U8" s="771">
        <f t="shared" si="1"/>
        <v>0</v>
      </c>
      <c r="V8" s="770" t="s">
        <v>23</v>
      </c>
      <c r="W8" s="771">
        <f t="shared" si="2"/>
        <v>0</v>
      </c>
      <c r="X8" s="772"/>
      <c r="Y8" s="3250" t="s">
        <v>2544</v>
      </c>
      <c r="Z8" s="3251"/>
      <c r="AA8" s="773" t="e">
        <f t="shared" ref="AA8:AA19" si="3">D8/F8</f>
        <v>#DIV/0!</v>
      </c>
      <c r="AB8" s="773" t="e">
        <f t="shared" ref="AB8:AB19" si="4">D8/H8</f>
        <v>#DIV/0!</v>
      </c>
      <c r="AC8" s="773" t="e">
        <f t="shared" ref="AC8:AC19" si="5">D8/J8</f>
        <v>#DIV/0!</v>
      </c>
    </row>
    <row r="9" spans="1:29" s="117" customFormat="1" ht="14.4">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25" t="s">
        <v>2547</v>
      </c>
      <c r="Q9" s="1795"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5"/>
      <c r="Q11" s="1795"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25"/>
      <c r="Q12" s="1795">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25"/>
      <c r="Q13" s="1795">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25"/>
      <c r="Q14" s="1795">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6.6">
      <c r="A15" s="440" t="s">
        <v>2551</v>
      </c>
      <c r="B15" s="69" t="s">
        <v>2079</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2552</v>
      </c>
      <c r="Q15" s="1810" t="str">
        <f t="shared" si="6"/>
        <v>居住社区成熟度</v>
      </c>
      <c r="R15" s="774" t="s">
        <v>21</v>
      </c>
      <c r="S15" s="775">
        <f t="shared" si="0"/>
        <v>100</v>
      </c>
      <c r="T15" s="774" t="s">
        <v>21</v>
      </c>
      <c r="U15" s="775">
        <f t="shared" si="1"/>
        <v>100</v>
      </c>
      <c r="V15" s="774" t="s">
        <v>21</v>
      </c>
      <c r="W15" s="775">
        <f t="shared" si="2"/>
        <v>100</v>
      </c>
      <c r="X15" s="1813"/>
      <c r="Y15" s="3216" t="s">
        <v>2552</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24"/>
      <c r="Q16" s="1810"/>
      <c r="R16" s="774"/>
      <c r="S16" s="775"/>
      <c r="T16" s="774"/>
      <c r="U16" s="775"/>
      <c r="V16" s="774"/>
      <c r="W16" s="775"/>
      <c r="X16" s="1813"/>
      <c r="Y16" s="3217"/>
      <c r="Z16" s="1814"/>
      <c r="AA16" s="1811">
        <v>1</v>
      </c>
      <c r="AB16" s="1811">
        <v>1</v>
      </c>
      <c r="AC16" s="1811">
        <v>1</v>
      </c>
    </row>
    <row r="17" spans="1:29" ht="82.8">
      <c r="A17" s="428"/>
      <c r="B17" s="451" t="s">
        <v>2090</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10" t="str">
        <f>B17</f>
        <v>交通便捷度</v>
      </c>
      <c r="R17" s="774" t="s">
        <v>21</v>
      </c>
      <c r="S17" s="775">
        <f>F17</f>
        <v>100</v>
      </c>
      <c r="T17" s="774" t="s">
        <v>21</v>
      </c>
      <c r="U17" s="775">
        <f>H17</f>
        <v>100</v>
      </c>
      <c r="V17" s="774" t="s">
        <v>21</v>
      </c>
      <c r="W17" s="775">
        <f>J17</f>
        <v>100</v>
      </c>
      <c r="X17" s="1813"/>
      <c r="Y17" s="3217"/>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24"/>
      <c r="Q18" s="1810"/>
      <c r="R18" s="774"/>
      <c r="S18" s="775"/>
      <c r="T18" s="774"/>
      <c r="U18" s="775"/>
      <c r="V18" s="774"/>
      <c r="W18" s="775"/>
      <c r="X18" s="1813"/>
      <c r="Y18" s="3217"/>
      <c r="Z18" s="1814"/>
      <c r="AA18" s="1811">
        <v>1</v>
      </c>
      <c r="AB18" s="1811">
        <v>1</v>
      </c>
      <c r="AC18" s="1811">
        <v>1</v>
      </c>
    </row>
    <row r="19" spans="1:29" ht="41.4">
      <c r="A19" s="428"/>
      <c r="B19" s="451" t="s">
        <v>2088</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10" t="str">
        <f>B19</f>
        <v>公共配套设施</v>
      </c>
      <c r="R19" s="774" t="s">
        <v>21</v>
      </c>
      <c r="S19" s="775">
        <f>F19</f>
        <v>100</v>
      </c>
      <c r="T19" s="774" t="s">
        <v>21</v>
      </c>
      <c r="U19" s="775">
        <f>H19</f>
        <v>100</v>
      </c>
      <c r="V19" s="774" t="s">
        <v>21</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24"/>
      <c r="Q20" s="1810"/>
      <c r="R20" s="774"/>
      <c r="S20" s="775"/>
      <c r="T20" s="774"/>
      <c r="U20" s="775"/>
      <c r="V20" s="774"/>
      <c r="W20" s="775"/>
      <c r="X20" s="1813"/>
      <c r="Y20" s="3217"/>
      <c r="Z20" s="1814"/>
      <c r="AA20" s="1811">
        <v>1</v>
      </c>
      <c r="AB20" s="1811">
        <v>1</v>
      </c>
      <c r="AC20" s="1811">
        <v>1</v>
      </c>
    </row>
    <row r="21" spans="1:29" ht="27.6">
      <c r="A21" s="428"/>
      <c r="B21" s="1384" t="s">
        <v>2091</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24"/>
      <c r="Q22" s="1810"/>
      <c r="R22" s="774"/>
      <c r="S22" s="775"/>
      <c r="T22" s="774"/>
      <c r="U22" s="775"/>
      <c r="V22" s="774"/>
      <c r="W22" s="775"/>
      <c r="X22" s="1813"/>
      <c r="Y22" s="3217"/>
      <c r="Z22" s="1814"/>
      <c r="AA22" s="1811">
        <v>1</v>
      </c>
      <c r="AB22" s="1811">
        <v>1</v>
      </c>
      <c r="AC22" s="1811">
        <v>1</v>
      </c>
    </row>
    <row r="23" spans="1:29" ht="55.2">
      <c r="A23" s="428"/>
      <c r="B23" s="451" t="s">
        <v>2094</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10" t="str">
        <f>B23</f>
        <v>自然及人文环境</v>
      </c>
      <c r="R23" s="774" t="s">
        <v>21</v>
      </c>
      <c r="S23" s="775">
        <f>F23</f>
        <v>100</v>
      </c>
      <c r="T23" s="774" t="s">
        <v>21</v>
      </c>
      <c r="U23" s="775">
        <f>H23</f>
        <v>100</v>
      </c>
      <c r="V23" s="774" t="s">
        <v>21</v>
      </c>
      <c r="W23" s="775">
        <f>J23</f>
        <v>100</v>
      </c>
      <c r="X23" s="1813"/>
      <c r="Y23" s="3217"/>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24"/>
      <c r="Q24" s="1810"/>
      <c r="R24" s="774"/>
      <c r="S24" s="775"/>
      <c r="T24" s="774"/>
      <c r="U24" s="775"/>
      <c r="V24" s="774"/>
      <c r="W24" s="775"/>
      <c r="X24" s="1813"/>
      <c r="Y24" s="3217"/>
      <c r="Z24" s="1814"/>
      <c r="AA24" s="1811">
        <v>1</v>
      </c>
      <c r="AB24" s="1811">
        <v>1</v>
      </c>
      <c r="AC24" s="1811">
        <v>1</v>
      </c>
    </row>
    <row r="25" spans="1:29" ht="15">
      <c r="A25" s="428"/>
      <c r="B25" s="422" t="s">
        <v>2553</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2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7"/>
      <c r="Z25" s="1814" t="str">
        <f>Q25</f>
        <v>楼层-1</v>
      </c>
      <c r="AA25" s="1811">
        <f t="shared" ref="AA25:AA46" si="15">D25/F25</f>
        <v>1</v>
      </c>
      <c r="AB25" s="1811">
        <f t="shared" ref="AB25:AB46" si="16">D25/H25</f>
        <v>1</v>
      </c>
      <c r="AC25" s="1811">
        <f t="shared" ref="AC25:AC46" si="17">D25/J25</f>
        <v>1</v>
      </c>
    </row>
    <row r="26" spans="1:29" ht="15">
      <c r="A26" s="428"/>
      <c r="B26" s="422" t="s">
        <v>2554</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24"/>
      <c r="Q26" s="1810" t="str">
        <f t="shared" si="11"/>
        <v>朝向</v>
      </c>
      <c r="R26" s="774" t="s">
        <v>21</v>
      </c>
      <c r="S26" s="775">
        <f t="shared" si="12"/>
        <v>100</v>
      </c>
      <c r="T26" s="774" t="s">
        <v>21</v>
      </c>
      <c r="U26" s="775">
        <f t="shared" si="13"/>
        <v>100</v>
      </c>
      <c r="V26" s="774" t="s">
        <v>21</v>
      </c>
      <c r="W26" s="775">
        <f t="shared" si="14"/>
        <v>100</v>
      </c>
      <c r="X26" s="1813"/>
      <c r="Y26" s="321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24"/>
      <c r="Q27" s="1795">
        <f t="shared" si="11"/>
        <v>111</v>
      </c>
      <c r="R27" s="770" t="s">
        <v>21</v>
      </c>
      <c r="S27" s="771">
        <f t="shared" si="12"/>
        <v>100</v>
      </c>
      <c r="T27" s="770" t="s">
        <v>21</v>
      </c>
      <c r="U27" s="771">
        <f t="shared" si="13"/>
        <v>100</v>
      </c>
      <c r="V27" s="770" t="s">
        <v>21</v>
      </c>
      <c r="W27" s="771">
        <f t="shared" si="14"/>
        <v>100</v>
      </c>
      <c r="X27" s="772"/>
      <c r="Y27" s="321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24"/>
      <c r="Q28" s="1810">
        <f t="shared" si="11"/>
        <v>111</v>
      </c>
      <c r="R28" s="774" t="s">
        <v>21</v>
      </c>
      <c r="S28" s="775">
        <f t="shared" si="12"/>
        <v>100</v>
      </c>
      <c r="T28" s="774" t="s">
        <v>21</v>
      </c>
      <c r="U28" s="775">
        <f t="shared" si="13"/>
        <v>100</v>
      </c>
      <c r="V28" s="774" t="s">
        <v>21</v>
      </c>
      <c r="W28" s="775">
        <f t="shared" si="14"/>
        <v>100</v>
      </c>
      <c r="X28" s="1813"/>
      <c r="Y28" s="321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24"/>
      <c r="Q29" s="1810">
        <f t="shared" si="11"/>
        <v>111</v>
      </c>
      <c r="R29" s="774" t="s">
        <v>21</v>
      </c>
      <c r="S29" s="775">
        <f t="shared" si="12"/>
        <v>100</v>
      </c>
      <c r="T29" s="774" t="s">
        <v>21</v>
      </c>
      <c r="U29" s="775">
        <f t="shared" si="13"/>
        <v>100</v>
      </c>
      <c r="V29" s="774" t="s">
        <v>21</v>
      </c>
      <c r="W29" s="775">
        <f t="shared" si="14"/>
        <v>100</v>
      </c>
      <c r="X29" s="1813"/>
      <c r="Y29" s="321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24"/>
      <c r="Q30" s="1810">
        <f t="shared" si="11"/>
        <v>111</v>
      </c>
      <c r="R30" s="774" t="s">
        <v>21</v>
      </c>
      <c r="S30" s="775">
        <f t="shared" si="12"/>
        <v>100</v>
      </c>
      <c r="T30" s="774" t="s">
        <v>21</v>
      </c>
      <c r="U30" s="775">
        <f t="shared" si="13"/>
        <v>100</v>
      </c>
      <c r="V30" s="774" t="s">
        <v>21</v>
      </c>
      <c r="W30" s="775">
        <f t="shared" si="14"/>
        <v>100</v>
      </c>
      <c r="X30" s="1813"/>
      <c r="Y30" s="3217"/>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24"/>
      <c r="Q31" s="1810">
        <f t="shared" si="11"/>
        <v>111</v>
      </c>
      <c r="R31" s="774" t="s">
        <v>21</v>
      </c>
      <c r="S31" s="775">
        <f t="shared" si="12"/>
        <v>100</v>
      </c>
      <c r="T31" s="774" t="s">
        <v>21</v>
      </c>
      <c r="U31" s="775">
        <f t="shared" si="13"/>
        <v>100</v>
      </c>
      <c r="V31" s="774" t="s">
        <v>21</v>
      </c>
      <c r="W31" s="775">
        <f t="shared" si="14"/>
        <v>100</v>
      </c>
      <c r="X31" s="1813"/>
      <c r="Y31" s="3217"/>
      <c r="Z31" s="1814">
        <f t="shared" si="18"/>
        <v>111</v>
      </c>
      <c r="AA31" s="1811">
        <f t="shared" si="15"/>
        <v>1</v>
      </c>
      <c r="AB31" s="1811">
        <f t="shared" si="16"/>
        <v>1</v>
      </c>
      <c r="AC31" s="1811">
        <f t="shared" si="17"/>
        <v>1</v>
      </c>
    </row>
    <row r="32" spans="1:29" ht="15">
      <c r="A32" s="440" t="s">
        <v>2555</v>
      </c>
      <c r="B32" s="71" t="s">
        <v>2556</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18" t="s">
        <v>2557</v>
      </c>
      <c r="Q32" s="1810" t="str">
        <f t="shared" si="11"/>
        <v>建筑类型</v>
      </c>
      <c r="R32" s="774" t="s">
        <v>21</v>
      </c>
      <c r="S32" s="775">
        <f t="shared" si="12"/>
        <v>100</v>
      </c>
      <c r="T32" s="774" t="s">
        <v>21</v>
      </c>
      <c r="U32" s="775">
        <f t="shared" si="13"/>
        <v>100</v>
      </c>
      <c r="V32" s="774" t="s">
        <v>21</v>
      </c>
      <c r="W32" s="775">
        <f t="shared" si="14"/>
        <v>100</v>
      </c>
      <c r="X32" s="1813"/>
      <c r="Y32" s="3221" t="s">
        <v>2557</v>
      </c>
      <c r="Z32" s="1814" t="str">
        <f t="shared" si="18"/>
        <v>建筑类型</v>
      </c>
      <c r="AA32" s="1811">
        <f t="shared" si="15"/>
        <v>1</v>
      </c>
      <c r="AB32" s="1811">
        <f t="shared" si="16"/>
        <v>1</v>
      </c>
      <c r="AC32" s="1811">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1" t="e">
        <f t="shared" si="15"/>
        <v>#N/A</v>
      </c>
      <c r="AB33" s="1811" t="e">
        <f t="shared" si="16"/>
        <v>#N/A</v>
      </c>
      <c r="AC33" s="1811" t="e">
        <f t="shared" si="17"/>
        <v>#N/A</v>
      </c>
    </row>
    <row r="34" spans="1:29" ht="15">
      <c r="A34" s="472"/>
      <c r="B34" s="422" t="s">
        <v>2559</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19"/>
      <c r="Q34" s="1810" t="str">
        <f t="shared" si="11"/>
        <v>建筑结构</v>
      </c>
      <c r="R34" s="774" t="s">
        <v>21</v>
      </c>
      <c r="S34" s="775">
        <f t="shared" si="12"/>
        <v>100</v>
      </c>
      <c r="T34" s="774" t="s">
        <v>21</v>
      </c>
      <c r="U34" s="775">
        <f t="shared" si="13"/>
        <v>100</v>
      </c>
      <c r="V34" s="774" t="s">
        <v>21</v>
      </c>
      <c r="W34" s="775">
        <f t="shared" si="14"/>
        <v>100</v>
      </c>
      <c r="X34" s="1813"/>
      <c r="Y34" s="3221"/>
      <c r="Z34" s="1814" t="str">
        <f t="shared" si="18"/>
        <v>建筑结构</v>
      </c>
      <c r="AA34" s="1811">
        <f t="shared" si="15"/>
        <v>1</v>
      </c>
      <c r="AB34" s="1811">
        <f t="shared" si="16"/>
        <v>1</v>
      </c>
      <c r="AC34" s="1811">
        <f t="shared" si="17"/>
        <v>1</v>
      </c>
    </row>
    <row r="35" spans="1:29" ht="15">
      <c r="A35" s="472"/>
      <c r="B35" s="422" t="s">
        <v>2560</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19"/>
      <c r="Q35" s="1810" t="str">
        <f t="shared" si="11"/>
        <v>建筑品质</v>
      </c>
      <c r="R35" s="774" t="s">
        <v>21</v>
      </c>
      <c r="S35" s="775">
        <f t="shared" si="12"/>
        <v>100</v>
      </c>
      <c r="T35" s="774" t="s">
        <v>21</v>
      </c>
      <c r="U35" s="775">
        <f t="shared" si="13"/>
        <v>100</v>
      </c>
      <c r="V35" s="774" t="s">
        <v>21</v>
      </c>
      <c r="W35" s="775">
        <f t="shared" si="14"/>
        <v>100</v>
      </c>
      <c r="X35" s="1813"/>
      <c r="Y35" s="3221"/>
      <c r="Z35" s="1814" t="str">
        <f t="shared" si="18"/>
        <v>建筑品质</v>
      </c>
      <c r="AA35" s="1811">
        <f t="shared" si="15"/>
        <v>1</v>
      </c>
      <c r="AB35" s="1811">
        <f t="shared" si="16"/>
        <v>1</v>
      </c>
      <c r="AC35" s="1811">
        <f t="shared" si="17"/>
        <v>1</v>
      </c>
    </row>
    <row r="36" spans="1:29" ht="15">
      <c r="A36" s="472"/>
      <c r="B36" s="422" t="s">
        <v>2561</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19"/>
      <c r="Q36" s="1810" t="str">
        <f t="shared" si="11"/>
        <v>公共部分装修</v>
      </c>
      <c r="R36" s="774" t="s">
        <v>21</v>
      </c>
      <c r="S36" s="775">
        <f t="shared" si="12"/>
        <v>100</v>
      </c>
      <c r="T36" s="774" t="s">
        <v>21</v>
      </c>
      <c r="U36" s="775">
        <f t="shared" si="13"/>
        <v>100</v>
      </c>
      <c r="V36" s="774" t="s">
        <v>21</v>
      </c>
      <c r="W36" s="775">
        <f t="shared" si="14"/>
        <v>100</v>
      </c>
      <c r="X36" s="1813"/>
      <c r="Y36" s="3221"/>
      <c r="Z36" s="1814" t="str">
        <f t="shared" si="18"/>
        <v>公共部分装修</v>
      </c>
      <c r="AA36" s="1811">
        <f t="shared" si="15"/>
        <v>1</v>
      </c>
      <c r="AB36" s="1811">
        <f t="shared" si="16"/>
        <v>1</v>
      </c>
      <c r="AC36" s="1811">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95"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2563</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19" t="s">
        <v>2557</v>
      </c>
      <c r="Q38" s="1810" t="str">
        <f t="shared" si="11"/>
        <v>物业管理</v>
      </c>
      <c r="R38" s="774" t="s">
        <v>21</v>
      </c>
      <c r="S38" s="775">
        <f t="shared" si="12"/>
        <v>100</v>
      </c>
      <c r="T38" s="774" t="s">
        <v>21</v>
      </c>
      <c r="U38" s="775">
        <f t="shared" si="13"/>
        <v>100</v>
      </c>
      <c r="V38" s="774" t="s">
        <v>21</v>
      </c>
      <c r="W38" s="775">
        <f t="shared" si="14"/>
        <v>100</v>
      </c>
      <c r="X38" s="1813"/>
      <c r="Y38" s="3221" t="s">
        <v>2557</v>
      </c>
      <c r="Z38" s="1814" t="str">
        <f t="shared" si="18"/>
        <v>物业管理</v>
      </c>
      <c r="AA38" s="1811">
        <f t="shared" si="15"/>
        <v>1</v>
      </c>
      <c r="AB38" s="1811">
        <f t="shared" si="16"/>
        <v>1</v>
      </c>
      <c r="AC38" s="1811">
        <f t="shared" si="17"/>
        <v>1</v>
      </c>
    </row>
    <row r="39" spans="1:29" ht="15">
      <c r="A39" s="472"/>
      <c r="B39" s="422" t="s">
        <v>2564</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19"/>
      <c r="Q39" s="1810" t="str">
        <f t="shared" si="11"/>
        <v>市政基础设施</v>
      </c>
      <c r="R39" s="774" t="s">
        <v>21</v>
      </c>
      <c r="S39" s="775">
        <f t="shared" si="12"/>
        <v>100</v>
      </c>
      <c r="T39" s="774" t="s">
        <v>21</v>
      </c>
      <c r="U39" s="775">
        <f t="shared" si="13"/>
        <v>100</v>
      </c>
      <c r="V39" s="774" t="s">
        <v>21</v>
      </c>
      <c r="W39" s="775">
        <f t="shared" si="14"/>
        <v>100</v>
      </c>
      <c r="X39" s="1813"/>
      <c r="Y39" s="3221"/>
      <c r="Z39" s="1814" t="str">
        <f t="shared" si="18"/>
        <v>市政基础设施</v>
      </c>
      <c r="AA39" s="1811">
        <f t="shared" si="15"/>
        <v>1</v>
      </c>
      <c r="AB39" s="1811">
        <f t="shared" si="16"/>
        <v>1</v>
      </c>
      <c r="AC39" s="1811">
        <f t="shared" si="17"/>
        <v>1</v>
      </c>
    </row>
    <row r="40" spans="1:29" ht="15">
      <c r="A40" s="472"/>
      <c r="B40" s="422" t="s">
        <v>2565</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19"/>
      <c r="Q40" s="1810" t="str">
        <f t="shared" si="11"/>
        <v>房型</v>
      </c>
      <c r="R40" s="774" t="s">
        <v>21</v>
      </c>
      <c r="S40" s="775">
        <f t="shared" si="12"/>
        <v>100</v>
      </c>
      <c r="T40" s="774" t="s">
        <v>21</v>
      </c>
      <c r="U40" s="775">
        <f t="shared" si="13"/>
        <v>100</v>
      </c>
      <c r="V40" s="774" t="s">
        <v>21</v>
      </c>
      <c r="W40" s="775">
        <f t="shared" si="14"/>
        <v>100</v>
      </c>
      <c r="X40" s="1813"/>
      <c r="Y40" s="3221"/>
      <c r="Z40" s="1814" t="str">
        <f t="shared" si="18"/>
        <v>房型</v>
      </c>
      <c r="AA40" s="1811">
        <f t="shared" si="15"/>
        <v>1</v>
      </c>
      <c r="AB40" s="1811">
        <f t="shared" si="16"/>
        <v>1</v>
      </c>
      <c r="AC40" s="1811">
        <f t="shared" si="17"/>
        <v>1</v>
      </c>
    </row>
    <row r="41" spans="1:29" s="471" customFormat="1" ht="28.8">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1">
        <f t="shared" si="15"/>
        <v>1</v>
      </c>
      <c r="AB41" s="1811">
        <f t="shared" si="16"/>
        <v>1</v>
      </c>
      <c r="AC41" s="1811">
        <f t="shared" si="17"/>
        <v>1</v>
      </c>
    </row>
    <row r="42" spans="1:29" ht="15">
      <c r="A42" s="472"/>
      <c r="B42" s="422" t="s">
        <v>2567</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19"/>
      <c r="Q42" s="1810" t="str">
        <f t="shared" si="11"/>
        <v>内部装修</v>
      </c>
      <c r="R42" s="774" t="s">
        <v>21</v>
      </c>
      <c r="S42" s="775">
        <f t="shared" si="12"/>
        <v>100</v>
      </c>
      <c r="T42" s="774" t="s">
        <v>21</v>
      </c>
      <c r="U42" s="775">
        <f t="shared" si="13"/>
        <v>100</v>
      </c>
      <c r="V42" s="774" t="s">
        <v>21</v>
      </c>
      <c r="W42" s="775">
        <f t="shared" si="14"/>
        <v>100</v>
      </c>
      <c r="X42" s="1813"/>
      <c r="Y42" s="3221"/>
      <c r="Z42" s="1814" t="str">
        <f t="shared" si="18"/>
        <v>内部装修</v>
      </c>
      <c r="AA42" s="1811">
        <f t="shared" si="15"/>
        <v>1</v>
      </c>
      <c r="AB42" s="1811">
        <f t="shared" si="16"/>
        <v>1</v>
      </c>
      <c r="AC42" s="1811">
        <f t="shared" si="17"/>
        <v>1</v>
      </c>
    </row>
    <row r="43" spans="1:29" ht="28.8">
      <c r="A43" s="472"/>
      <c r="B43" s="422" t="s">
        <v>2568</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19"/>
      <c r="Q43" s="1810" t="str">
        <f t="shared" si="11"/>
        <v>内部装修维护情况</v>
      </c>
      <c r="R43" s="774" t="s">
        <v>21</v>
      </c>
      <c r="S43" s="775">
        <f t="shared" si="12"/>
        <v>100</v>
      </c>
      <c r="T43" s="774" t="s">
        <v>21</v>
      </c>
      <c r="U43" s="775">
        <f t="shared" si="13"/>
        <v>100</v>
      </c>
      <c r="V43" s="774" t="s">
        <v>21</v>
      </c>
      <c r="W43" s="775">
        <f t="shared" si="14"/>
        <v>100</v>
      </c>
      <c r="X43" s="1813"/>
      <c r="Y43" s="322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19"/>
      <c r="Q44" s="1795">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19"/>
      <c r="Q45" s="1810">
        <f t="shared" si="11"/>
        <v>111</v>
      </c>
      <c r="R45" s="774" t="s">
        <v>21</v>
      </c>
      <c r="S45" s="775">
        <f t="shared" si="12"/>
        <v>100</v>
      </c>
      <c r="T45" s="774" t="s">
        <v>21</v>
      </c>
      <c r="U45" s="775">
        <f t="shared" si="13"/>
        <v>100</v>
      </c>
      <c r="V45" s="774" t="s">
        <v>21</v>
      </c>
      <c r="W45" s="775">
        <f t="shared" si="14"/>
        <v>100</v>
      </c>
      <c r="X45" s="1813"/>
      <c r="Y45" s="3221"/>
      <c r="Z45" s="1814">
        <f t="shared" si="18"/>
        <v>111</v>
      </c>
      <c r="AA45" s="1811">
        <f t="shared" si="15"/>
        <v>1</v>
      </c>
      <c r="AB45" s="1811">
        <f t="shared" si="16"/>
        <v>1</v>
      </c>
      <c r="AC45" s="1811">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20"/>
      <c r="Q46" s="1810">
        <f t="shared" si="11"/>
        <v>111</v>
      </c>
      <c r="R46" s="774" t="s">
        <v>20</v>
      </c>
      <c r="S46" s="775">
        <f t="shared" si="12"/>
        <v>100</v>
      </c>
      <c r="T46" s="774" t="s">
        <v>20</v>
      </c>
      <c r="U46" s="775">
        <f t="shared" si="13"/>
        <v>100</v>
      </c>
      <c r="V46" s="774" t="s">
        <v>20</v>
      </c>
      <c r="W46" s="775">
        <f t="shared" si="14"/>
        <v>100</v>
      </c>
      <c r="X46" s="1813"/>
      <c r="Y46" s="3222"/>
      <c r="Z46" s="1814">
        <f t="shared" si="18"/>
        <v>111</v>
      </c>
      <c r="AA46" s="1811">
        <f t="shared" si="15"/>
        <v>1</v>
      </c>
      <c r="AB46" s="1811">
        <f t="shared" si="16"/>
        <v>1</v>
      </c>
      <c r="AC46" s="1811">
        <f t="shared" si="17"/>
        <v>1</v>
      </c>
    </row>
    <row r="47" spans="1:29" ht="14.4">
      <c r="A47" s="479" t="s">
        <v>2569</v>
      </c>
      <c r="B47" s="480"/>
      <c r="C47" s="1407" t="s">
        <v>19</v>
      </c>
      <c r="D47" s="1408"/>
      <c r="E47" s="1409"/>
      <c r="F47" s="1410"/>
      <c r="G47" s="1411"/>
      <c r="H47" s="1412"/>
      <c r="I47" s="1409"/>
      <c r="J47" s="1412"/>
      <c r="K47" s="2617"/>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 thickBot="1">
      <c r="A48" s="486" t="s">
        <v>2570</v>
      </c>
      <c r="B48" s="487"/>
      <c r="C48" s="1413" t="e">
        <f>R49</f>
        <v>#DIV/0!</v>
      </c>
      <c r="D48" s="1414"/>
      <c r="E48" s="1415" t="e">
        <f>R48</f>
        <v>#DIV/0!</v>
      </c>
      <c r="F48" s="1415"/>
      <c r="G48" s="1413" t="e">
        <f>T48</f>
        <v>#DIV/0!</v>
      </c>
      <c r="H48" s="1414"/>
      <c r="I48" s="1415" t="e">
        <f>V48</f>
        <v>#DIV/0!</v>
      </c>
      <c r="J48" s="1414"/>
      <c r="K48" s="2618"/>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 thickBot="1">
      <c r="A49" s="492" t="s">
        <v>2571</v>
      </c>
      <c r="B49" s="493"/>
      <c r="C49" s="1416" t="e">
        <f>R49</f>
        <v>#DIV/0!</v>
      </c>
      <c r="D49" s="1417"/>
      <c r="E49" s="1417"/>
      <c r="F49" s="1417"/>
      <c r="G49" s="1417"/>
      <c r="H49" s="1417"/>
      <c r="I49" s="1417"/>
      <c r="J49" s="1417"/>
      <c r="K49" s="2619"/>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2.2" thickBot="1">
      <c r="A57" s="763" t="s">
        <v>2575</v>
      </c>
      <c r="B57" s="759"/>
      <c r="C57" s="764"/>
      <c r="D57" s="764"/>
      <c r="E57" s="764"/>
      <c r="F57" s="765"/>
      <c r="G57" s="765"/>
      <c r="H57" s="764"/>
      <c r="I57" s="764"/>
      <c r="J57" s="764"/>
      <c r="K57" s="1160"/>
      <c r="L57" s="1161"/>
      <c r="M57" s="1159"/>
      <c r="N57" s="1159"/>
      <c r="O57" s="1159"/>
      <c r="P57" s="2622"/>
      <c r="Q57" s="504"/>
    </row>
    <row r="58" spans="1:29" s="508" customFormat="1" ht="14.4">
      <c r="A58" s="505" t="s">
        <v>2576</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c r="A59" s="509"/>
      <c r="B59" s="2623"/>
      <c r="C59" s="1573">
        <v>100</v>
      </c>
      <c r="D59" s="511"/>
      <c r="E59" s="512"/>
      <c r="F59" s="512"/>
      <c r="G59" s="512"/>
      <c r="H59" s="512"/>
      <c r="I59" s="512"/>
      <c r="J59" s="512"/>
      <c r="K59" s="512"/>
      <c r="L59" s="512"/>
      <c r="M59" s="513"/>
      <c r="N59" s="512"/>
      <c r="O59" s="513"/>
      <c r="P59" s="2624"/>
    </row>
    <row r="60" spans="1:29" s="117" customFormat="1" ht="15" thickBot="1">
      <c r="A60" s="515" t="s">
        <v>2577</v>
      </c>
      <c r="B60" s="516"/>
      <c r="C60" s="517"/>
      <c r="D60" s="518"/>
      <c r="E60" s="518"/>
      <c r="F60" s="518"/>
      <c r="G60" s="518"/>
      <c r="H60" s="518"/>
      <c r="I60" s="518"/>
      <c r="J60" s="518"/>
      <c r="K60" s="518"/>
      <c r="L60" s="518"/>
      <c r="M60" s="519"/>
      <c r="N60" s="518"/>
      <c r="O60" s="519"/>
      <c r="P60" s="2624"/>
      <c r="Q60" s="504"/>
    </row>
    <row r="61" spans="1:29" s="117" customFormat="1" ht="14.4">
      <c r="A61" s="521" t="s">
        <v>2578</v>
      </c>
      <c r="B61" s="510"/>
      <c r="C61" s="522" t="s">
        <v>2579</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2580</v>
      </c>
      <c r="B63" s="528" t="s">
        <v>2546</v>
      </c>
      <c r="C63" s="529">
        <f>C9</f>
        <v>0</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c r="A68" s="534"/>
      <c r="B68" s="548"/>
      <c r="C68" s="549"/>
      <c r="D68" s="549"/>
      <c r="E68" s="549"/>
      <c r="F68" s="549"/>
      <c r="G68" s="549"/>
      <c r="H68" s="549"/>
      <c r="I68" s="549"/>
      <c r="J68" s="549"/>
      <c r="K68" s="550"/>
      <c r="L68" s="551"/>
      <c r="M68" s="552"/>
      <c r="N68" s="1152"/>
      <c r="O68" s="1152"/>
      <c r="P68" s="262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60"/>
      <c r="E73" s="560"/>
      <c r="F73" s="560"/>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2551</v>
      </c>
      <c r="B76" s="528" t="s">
        <v>2588</v>
      </c>
      <c r="C76" s="573" t="s">
        <v>2589</v>
      </c>
      <c r="D76" s="573" t="s">
        <v>2590</v>
      </c>
      <c r="E76" s="573" t="s">
        <v>2591</v>
      </c>
      <c r="F76" s="573" t="s">
        <v>2592</v>
      </c>
      <c r="G76" s="573" t="s">
        <v>2593</v>
      </c>
      <c r="H76" s="529"/>
      <c r="I76" s="529"/>
      <c r="J76" s="529"/>
      <c r="K76" s="574"/>
      <c r="L76" s="575"/>
      <c r="M76" s="576"/>
      <c r="N76" s="1152"/>
      <c r="O76" s="1152"/>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52"/>
      <c r="O78" s="1152"/>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52"/>
      <c r="O80" s="1152"/>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 thickTop="1">
      <c r="A82" s="534"/>
      <c r="B82" s="546" t="s">
        <v>2091</v>
      </c>
      <c r="C82" s="539" t="s">
        <v>2596</v>
      </c>
      <c r="D82" s="539" t="s">
        <v>2597</v>
      </c>
      <c r="E82" s="539" t="s">
        <v>2598</v>
      </c>
      <c r="F82" s="539" t="s">
        <v>2599</v>
      </c>
      <c r="G82" s="539" t="s">
        <v>2600</v>
      </c>
      <c r="H82" s="539"/>
      <c r="I82" s="539"/>
      <c r="J82" s="539"/>
      <c r="K82" s="539"/>
      <c r="L82" s="539"/>
      <c r="M82" s="1382"/>
      <c r="N82" s="1153"/>
      <c r="O82" s="1153"/>
      <c r="P82" s="262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52"/>
      <c r="O84" s="1152"/>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 thickTop="1">
      <c r="A86" s="579"/>
      <c r="B86" s="538" t="s">
        <v>2602</v>
      </c>
      <c r="C86" s="554"/>
      <c r="D86" s="554"/>
      <c r="E86" s="554"/>
      <c r="F86" s="554"/>
      <c r="G86" s="554"/>
      <c r="H86" s="554"/>
      <c r="I86" s="554"/>
      <c r="J86" s="554"/>
      <c r="K86" s="554"/>
      <c r="L86" s="580"/>
      <c r="M86" s="581"/>
      <c r="N86" s="1151"/>
      <c r="O86" s="1151"/>
      <c r="P86" s="262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 thickTop="1">
      <c r="A88" s="579"/>
      <c r="B88" s="538" t="s">
        <v>2603</v>
      </c>
      <c r="C88" s="554"/>
      <c r="D88" s="554"/>
      <c r="E88" s="554"/>
      <c r="F88" s="2631"/>
      <c r="G88" s="554"/>
      <c r="H88" s="554"/>
      <c r="I88" s="554"/>
      <c r="J88" s="554"/>
      <c r="K88" s="554"/>
      <c r="L88" s="554"/>
      <c r="M88" s="581"/>
      <c r="N88" s="1151"/>
      <c r="O88" s="1151"/>
      <c r="P88" s="262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4.4" thickTop="1">
      <c r="A90" s="553"/>
      <c r="B90" s="538">
        <f>B27</f>
        <v>111</v>
      </c>
      <c r="C90" s="554"/>
      <c r="D90" s="554"/>
      <c r="E90" s="554"/>
      <c r="F90" s="554"/>
      <c r="G90" s="554"/>
      <c r="H90" s="555"/>
      <c r="I90" s="555"/>
      <c r="J90" s="555"/>
      <c r="K90" s="555"/>
      <c r="L90" s="556"/>
      <c r="M90" s="557"/>
      <c r="N90" s="1154"/>
      <c r="O90" s="1154"/>
      <c r="P90" s="2627"/>
      <c r="Q90" s="559"/>
    </row>
    <row r="91" spans="1:17" s="471" customFormat="1" ht="14.4" thickBot="1">
      <c r="A91" s="553"/>
      <c r="B91" s="543"/>
      <c r="C91" s="560"/>
      <c r="D91" s="560"/>
      <c r="E91" s="560"/>
      <c r="F91" s="560"/>
      <c r="G91" s="560"/>
      <c r="H91" s="562"/>
      <c r="I91" s="562"/>
      <c r="J91" s="562"/>
      <c r="K91" s="562"/>
      <c r="L91" s="562"/>
      <c r="M91" s="563"/>
      <c r="N91" s="1154"/>
      <c r="O91" s="1154"/>
      <c r="P91" s="2627"/>
      <c r="Q91" s="559"/>
    </row>
    <row r="92" spans="1:17" ht="14.4" thickTop="1">
      <c r="A92" s="534"/>
      <c r="B92" s="538">
        <f>B28</f>
        <v>111</v>
      </c>
      <c r="C92" s="554"/>
      <c r="D92" s="554"/>
      <c r="E92" s="554"/>
      <c r="F92" s="554"/>
      <c r="G92" s="583"/>
      <c r="H92" s="583"/>
      <c r="I92" s="583"/>
      <c r="J92" s="583"/>
      <c r="K92" s="584"/>
      <c r="L92" s="585"/>
      <c r="M92" s="586"/>
      <c r="N92" s="1152"/>
      <c r="O92" s="1152"/>
      <c r="P92" s="2626"/>
      <c r="Q92" s="504"/>
    </row>
    <row r="93" spans="1:17" ht="14.4" thickBot="1">
      <c r="A93" s="534"/>
      <c r="B93" s="543"/>
      <c r="C93" s="560"/>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60"/>
      <c r="E95" s="560"/>
      <c r="F95" s="560"/>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70"/>
      <c r="D97" s="570"/>
      <c r="E97" s="570"/>
      <c r="F97" s="570"/>
      <c r="G97" s="536"/>
      <c r="H97" s="536"/>
      <c r="I97" s="536"/>
      <c r="J97" s="536"/>
      <c r="K97" s="536"/>
      <c r="L97" s="536"/>
      <c r="M97" s="537"/>
      <c r="N97" s="1153"/>
      <c r="O97" s="1153"/>
      <c r="P97" s="2626"/>
      <c r="Q97" s="504"/>
    </row>
    <row r="98" spans="1:17" ht="14.4" thickTop="1">
      <c r="A98" s="534"/>
      <c r="B98" s="546">
        <f>B31</f>
        <v>111</v>
      </c>
      <c r="C98" s="587"/>
      <c r="D98" s="587"/>
      <c r="E98" s="587"/>
      <c r="F98" s="587"/>
      <c r="G98" s="587"/>
      <c r="H98" s="587"/>
      <c r="I98" s="587"/>
      <c r="J98" s="587"/>
      <c r="K98" s="588"/>
      <c r="L98" s="589"/>
      <c r="M98" s="590"/>
      <c r="N98" s="1152"/>
      <c r="O98" s="1152"/>
      <c r="P98" s="2626"/>
      <c r="Q98" s="504"/>
    </row>
    <row r="99" spans="1:17" ht="14.4" thickBot="1">
      <c r="A99" s="2632"/>
      <c r="B99" s="569"/>
      <c r="C99" s="591"/>
      <c r="D99" s="591"/>
      <c r="E99" s="591"/>
      <c r="F99" s="591"/>
      <c r="G99" s="591"/>
      <c r="H99" s="591"/>
      <c r="I99" s="591"/>
      <c r="J99" s="591"/>
      <c r="K99" s="591"/>
      <c r="L99" s="591"/>
      <c r="M99" s="592"/>
      <c r="N99" s="1153"/>
      <c r="O99" s="1153"/>
      <c r="P99" s="2626"/>
      <c r="Q99" s="504"/>
    </row>
    <row r="100" spans="1:17" ht="14.4">
      <c r="A100" s="527" t="s">
        <v>2555</v>
      </c>
      <c r="B100" s="528" t="s">
        <v>2604</v>
      </c>
      <c r="C100" s="530"/>
      <c r="D100" s="530"/>
      <c r="E100" s="530"/>
      <c r="F100" s="530"/>
      <c r="G100" s="530"/>
      <c r="H100" s="530"/>
      <c r="I100" s="530"/>
      <c r="J100" s="530"/>
      <c r="K100" s="531"/>
      <c r="L100" s="532"/>
      <c r="M100" s="533"/>
      <c r="N100" s="1152"/>
      <c r="O100" s="1152"/>
      <c r="P100" s="262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2606</v>
      </c>
      <c r="C105" s="554"/>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2607</v>
      </c>
      <c r="C107" s="583"/>
      <c r="D107" s="583"/>
      <c r="E107" s="583"/>
      <c r="F107" s="583"/>
      <c r="G107" s="583"/>
      <c r="H107" s="583"/>
      <c r="I107" s="583"/>
      <c r="J107" s="583"/>
      <c r="K107" s="584"/>
      <c r="L107" s="585"/>
      <c r="M107" s="586"/>
      <c r="N107" s="1152"/>
      <c r="O107" s="1152"/>
      <c r="P107" s="262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2608</v>
      </c>
      <c r="C109" s="554"/>
      <c r="D109" s="554"/>
      <c r="E109" s="554"/>
      <c r="F109" s="583"/>
      <c r="G109" s="583"/>
      <c r="H109" s="583"/>
      <c r="I109" s="583"/>
      <c r="J109" s="583"/>
      <c r="K109" s="584"/>
      <c r="L109" s="585"/>
      <c r="M109" s="586"/>
      <c r="N109" s="1152"/>
      <c r="O109" s="1152"/>
      <c r="P109" s="262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2609</v>
      </c>
      <c r="C114" s="554"/>
      <c r="D114" s="554"/>
      <c r="E114" s="583"/>
      <c r="F114" s="583"/>
      <c r="G114" s="583"/>
      <c r="H114" s="583"/>
      <c r="I114" s="583"/>
      <c r="J114" s="583"/>
      <c r="K114" s="584"/>
      <c r="L114" s="585"/>
      <c r="M114" s="586"/>
      <c r="N114" s="1152"/>
      <c r="O114" s="1152"/>
      <c r="P114" s="262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2610</v>
      </c>
      <c r="C116" s="554"/>
      <c r="D116" s="554"/>
      <c r="E116" s="554"/>
      <c r="F116" s="554"/>
      <c r="G116" s="554"/>
      <c r="H116" s="583"/>
      <c r="I116" s="583"/>
      <c r="J116" s="583"/>
      <c r="K116" s="584"/>
      <c r="L116" s="585"/>
      <c r="M116" s="586"/>
      <c r="N116" s="1152"/>
      <c r="O116" s="1152"/>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2611</v>
      </c>
      <c r="C118" s="583"/>
      <c r="D118" s="583"/>
      <c r="E118" s="583"/>
      <c r="F118" s="583"/>
      <c r="G118" s="583"/>
      <c r="H118" s="583"/>
      <c r="I118" s="583"/>
      <c r="J118" s="583"/>
      <c r="K118" s="584"/>
      <c r="L118" s="585"/>
      <c r="M118" s="586"/>
      <c r="N118" s="1152"/>
      <c r="O118" s="1152"/>
      <c r="P118" s="262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9.4" thickTop="1">
      <c r="A120" s="593"/>
      <c r="B120" s="538" t="s">
        <v>2566</v>
      </c>
      <c r="C120" s="554"/>
      <c r="D120" s="554"/>
      <c r="E120" s="554"/>
      <c r="F120" s="554"/>
      <c r="G120" s="554"/>
      <c r="H120" s="554"/>
      <c r="I120" s="554"/>
      <c r="J120" s="554"/>
      <c r="K120" s="554"/>
      <c r="L120" s="580"/>
      <c r="M120" s="581"/>
      <c r="N120" s="1154"/>
      <c r="O120" s="1154"/>
      <c r="P120" s="2627"/>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2612</v>
      </c>
      <c r="C122" s="554"/>
      <c r="D122" s="554"/>
      <c r="E122" s="554"/>
      <c r="F122" s="583"/>
      <c r="G122" s="583"/>
      <c r="H122" s="583"/>
      <c r="I122" s="583"/>
      <c r="J122" s="583"/>
      <c r="K122" s="584"/>
      <c r="L122" s="585"/>
      <c r="M122" s="586"/>
      <c r="N122" s="1152"/>
      <c r="O122" s="1152"/>
      <c r="P122" s="262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60"/>
      <c r="E129" s="560"/>
      <c r="F129" s="560"/>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2614</v>
      </c>
    </row>
    <row r="137" spans="1:17" ht="15">
      <c r="B137" s="2634" t="s">
        <v>2615</v>
      </c>
      <c r="C137" s="2635"/>
      <c r="D137" s="2635"/>
      <c r="E137" s="2635"/>
      <c r="F137" s="2635"/>
      <c r="G137" s="2636"/>
      <c r="H137" s="2637"/>
      <c r="I137" s="2638" t="s">
        <v>2616</v>
      </c>
      <c r="J137" s="2635"/>
      <c r="K137" s="2639"/>
    </row>
    <row r="138" spans="1:17" ht="15">
      <c r="B138" s="2640"/>
      <c r="C138" s="146" t="s">
        <v>2617</v>
      </c>
      <c r="D138" s="146" t="s">
        <v>2618</v>
      </c>
      <c r="E138" s="2641" t="s">
        <v>2619</v>
      </c>
      <c r="F138" s="2642" t="s">
        <v>2620</v>
      </c>
      <c r="G138" s="146" t="s">
        <v>2618</v>
      </c>
      <c r="H138" s="147" t="s">
        <v>2619</v>
      </c>
      <c r="I138" s="2643"/>
      <c r="J138" s="146" t="s">
        <v>2621</v>
      </c>
      <c r="K138" s="147" t="s">
        <v>2622</v>
      </c>
    </row>
    <row r="139" spans="1:17" ht="15">
      <c r="B139" s="1084">
        <v>6</v>
      </c>
      <c r="C139" s="1085">
        <v>96</v>
      </c>
      <c r="D139" s="2644" t="s">
        <v>2623</v>
      </c>
      <c r="E139" s="1086">
        <v>100</v>
      </c>
      <c r="F139" s="1087">
        <v>102.5</v>
      </c>
      <c r="G139" s="2644" t="s">
        <v>2623</v>
      </c>
      <c r="H139" s="1088">
        <v>105</v>
      </c>
      <c r="I139" s="2645" t="s">
        <v>2624</v>
      </c>
      <c r="J139" s="1085">
        <v>20</v>
      </c>
      <c r="K139" s="1089">
        <f>C145/(J139-2)</f>
        <v>4.0555555555555553E-3</v>
      </c>
    </row>
    <row r="140" spans="1:17" ht="15">
      <c r="B140" s="1090">
        <v>5</v>
      </c>
      <c r="C140" s="1091">
        <v>100</v>
      </c>
      <c r="D140" s="1091"/>
      <c r="E140" s="1092"/>
      <c r="F140" s="1093">
        <v>102</v>
      </c>
      <c r="G140" s="1091"/>
      <c r="H140" s="1094"/>
      <c r="I140" s="2646" t="s">
        <v>2625</v>
      </c>
      <c r="J140" s="315">
        <f>ROUNDUP((J139-1)/2,0)</f>
        <v>10</v>
      </c>
      <c r="K140" s="1095">
        <v>100</v>
      </c>
    </row>
    <row r="141" spans="1:17" ht="15">
      <c r="B141" s="1090">
        <v>4</v>
      </c>
      <c r="C141" s="1091">
        <v>102</v>
      </c>
      <c r="D141" s="1091"/>
      <c r="E141" s="1092"/>
      <c r="F141" s="1093">
        <v>101.5</v>
      </c>
      <c r="G141" s="1091"/>
      <c r="H141" s="1094"/>
      <c r="I141" s="2646" t="s">
        <v>2626</v>
      </c>
      <c r="J141" s="315">
        <v>1</v>
      </c>
      <c r="K141" s="1096">
        <f>ROUND(100+(J141-J140)*K139*100,1)</f>
        <v>96.4</v>
      </c>
    </row>
    <row r="142" spans="1:17" ht="15">
      <c r="B142" s="1090">
        <v>3</v>
      </c>
      <c r="C142" s="1091">
        <v>103</v>
      </c>
      <c r="D142" s="1091"/>
      <c r="E142" s="1092"/>
      <c r="F142" s="1093">
        <v>101</v>
      </c>
      <c r="G142" s="1091"/>
      <c r="H142" s="1094"/>
      <c r="I142" s="2646" t="s">
        <v>2627</v>
      </c>
      <c r="J142" s="315">
        <f>J139</f>
        <v>20</v>
      </c>
      <c r="K142" s="1097">
        <v>95</v>
      </c>
    </row>
    <row r="143" spans="1:17" ht="15">
      <c r="B143" s="1090">
        <v>2</v>
      </c>
      <c r="C143" s="1091">
        <v>100</v>
      </c>
      <c r="D143" s="1091"/>
      <c r="E143" s="1092"/>
      <c r="F143" s="1093">
        <v>100.5</v>
      </c>
      <c r="G143" s="1091"/>
      <c r="H143" s="1094"/>
      <c r="I143" s="2646" t="s">
        <v>2628</v>
      </c>
      <c r="J143" s="1091">
        <v>15</v>
      </c>
      <c r="K143" s="1096">
        <f>ROUND(100+(J143-J140)*K139*100,1)</f>
        <v>102</v>
      </c>
    </row>
    <row r="144" spans="1:17" ht="15">
      <c r="B144" s="1090">
        <v>1</v>
      </c>
      <c r="C144" s="1091">
        <v>98</v>
      </c>
      <c r="D144" s="2647" t="s">
        <v>2629</v>
      </c>
      <c r="E144" s="1092">
        <v>102</v>
      </c>
      <c r="F144" s="1098">
        <v>100</v>
      </c>
      <c r="G144" s="2647" t="s">
        <v>2629</v>
      </c>
      <c r="H144" s="1094">
        <v>105</v>
      </c>
      <c r="I144" s="2646" t="s">
        <v>2628</v>
      </c>
      <c r="J144" s="1091">
        <v>18</v>
      </c>
      <c r="K144" s="1096">
        <f>ROUND(100+(J144-J140)*K139*100,1)</f>
        <v>103.2</v>
      </c>
    </row>
    <row r="145" spans="2:11" ht="16.2" thickBot="1">
      <c r="B145" s="2648" t="s">
        <v>2630</v>
      </c>
      <c r="C145" s="1099">
        <f>ROUND(MAX(C139:C144)/MIN(C139:C144)-1,3)</f>
        <v>7.2999999999999995E-2</v>
      </c>
      <c r="D145" s="1100"/>
      <c r="E145" s="1100"/>
      <c r="F145" s="2649" t="s">
        <v>2631</v>
      </c>
      <c r="G145" s="2650"/>
      <c r="H145" s="2651"/>
      <c r="I145" s="2652" t="s">
        <v>2628</v>
      </c>
      <c r="J145" s="1101">
        <v>8</v>
      </c>
      <c r="K145" s="1102">
        <f>ROUND(100+(J145-J140)*K139*100,1)</f>
        <v>99.2</v>
      </c>
    </row>
    <row r="147" spans="2:11" ht="14.4">
      <c r="B147" s="2633" t="s">
        <v>2632</v>
      </c>
    </row>
    <row r="148" spans="2:11" ht="14.4">
      <c r="B148" s="2633"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B6" sqref="B6:D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2520</v>
      </c>
      <c r="B1" s="2578" t="s">
        <v>2634</v>
      </c>
      <c r="C1" s="1634" t="s">
        <v>2522</v>
      </c>
      <c r="D1" s="1621"/>
      <c r="E1" s="2653"/>
      <c r="F1" s="2580"/>
      <c r="G1" s="1631" t="s">
        <v>2635</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2319</v>
      </c>
      <c r="B2" s="1418" t="e">
        <f ca="1">IF(C2="——",ROUND(C49*D3/10000,0),ROUND(C49*D3/10000,0)-D2)</f>
        <v>#DIV/0!</v>
      </c>
      <c r="C2" s="2582"/>
      <c r="D2" s="1365" t="e">
        <f ca="1">SUMIF(INDIRECT("'"&amp;F2&amp;"'"&amp;"!A:A"),"承租人权益价值",INDIRECT("'"&amp;F2&amp;"'"&amp;"!c:c"))</f>
        <v>#REF!</v>
      </c>
      <c r="E2" s="2583" t="s">
        <v>2320</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2321</v>
      </c>
      <c r="B3" s="609" t="e">
        <f ca="1">IF(C2="——",C49,ROUND(B2*10000/D3,0))</f>
        <v>#DIV/0!</v>
      </c>
      <c r="C3" s="400" t="s">
        <v>2636</v>
      </c>
      <c r="D3" s="399">
        <f>IF(D1="",'数据-汇总表'!E3,SUMIF('数据-汇总表'!$C19:$C33,D1,'数据-汇总表'!$E19:$E33))</f>
        <v>15950.36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4.4">
      <c r="A4" s="401" t="s">
        <v>2637</v>
      </c>
      <c r="B4" s="402"/>
      <c r="C4" s="3229" t="s">
        <v>2638</v>
      </c>
      <c r="D4" s="3230"/>
      <c r="E4" s="3231" t="s">
        <v>2639</v>
      </c>
      <c r="F4" s="3232"/>
      <c r="G4" s="3229" t="s">
        <v>2640</v>
      </c>
      <c r="H4" s="3230"/>
      <c r="I4" s="3229" t="s">
        <v>2641</v>
      </c>
      <c r="J4" s="3230"/>
      <c r="K4" s="610" t="s">
        <v>2642</v>
      </c>
      <c r="L4" s="1130"/>
      <c r="M4" s="1131"/>
      <c r="N4" s="1131"/>
      <c r="O4" s="1131"/>
      <c r="P4" s="3233" t="s">
        <v>2643</v>
      </c>
      <c r="Q4" s="3234"/>
      <c r="R4" s="3239" t="s">
        <v>2639</v>
      </c>
      <c r="S4" s="3240"/>
      <c r="T4" s="3239" t="s">
        <v>2640</v>
      </c>
      <c r="U4" s="3240"/>
      <c r="V4" s="3245" t="s">
        <v>2641</v>
      </c>
      <c r="W4" s="3245"/>
      <c r="X4" s="1813"/>
      <c r="Y4" s="3239" t="s">
        <v>2643</v>
      </c>
      <c r="Z4" s="3240"/>
      <c r="AA4" s="3226" t="s">
        <v>2639</v>
      </c>
      <c r="AB4" s="3245" t="s">
        <v>2640</v>
      </c>
      <c r="AC4" s="3226" t="s">
        <v>2641</v>
      </c>
    </row>
    <row r="5" spans="1:29">
      <c r="A5" s="404"/>
      <c r="B5" s="405"/>
      <c r="C5" s="3248" t="s">
        <v>2534</v>
      </c>
      <c r="D5" s="3249"/>
      <c r="E5" s="3255" t="s">
        <v>2535</v>
      </c>
      <c r="F5" s="3256"/>
      <c r="G5" s="3248" t="s">
        <v>2536</v>
      </c>
      <c r="H5" s="3249"/>
      <c r="I5" s="3248" t="s">
        <v>2537</v>
      </c>
      <c r="J5" s="3249"/>
      <c r="K5" s="610"/>
      <c r="L5" s="1130"/>
      <c r="M5" s="1131"/>
      <c r="N5" s="1131"/>
      <c r="O5" s="1131"/>
      <c r="P5" s="3235"/>
      <c r="Q5" s="3236"/>
      <c r="R5" s="3241"/>
      <c r="S5" s="3242"/>
      <c r="T5" s="3241"/>
      <c r="U5" s="3242"/>
      <c r="V5" s="3245"/>
      <c r="W5" s="3245"/>
      <c r="X5" s="1813"/>
      <c r="Y5" s="3241"/>
      <c r="Z5" s="3242"/>
      <c r="AA5" s="3227"/>
      <c r="AB5" s="3245"/>
      <c r="AC5" s="3227"/>
    </row>
    <row r="6" spans="1:29" ht="15" thickBot="1">
      <c r="A6" s="406"/>
      <c r="B6" s="407"/>
      <c r="C6" s="3246" t="s">
        <v>2538</v>
      </c>
      <c r="D6" s="3247"/>
      <c r="E6" s="3253" t="s">
        <v>2538</v>
      </c>
      <c r="F6" s="3254"/>
      <c r="G6" s="3246" t="s">
        <v>2538</v>
      </c>
      <c r="H6" s="3247"/>
      <c r="I6" s="3246" t="s">
        <v>2538</v>
      </c>
      <c r="J6" s="3247"/>
      <c r="K6" s="610" t="s">
        <v>2539</v>
      </c>
      <c r="L6" s="1130"/>
      <c r="M6" s="1131"/>
      <c r="N6" s="1131"/>
      <c r="O6" s="1131"/>
      <c r="P6" s="3237"/>
      <c r="Q6" s="3238"/>
      <c r="R6" s="3241"/>
      <c r="S6" s="3242"/>
      <c r="T6" s="3243"/>
      <c r="U6" s="3244"/>
      <c r="V6" s="3245"/>
      <c r="W6" s="3245"/>
      <c r="X6" s="1813"/>
      <c r="Y6" s="3243"/>
      <c r="Z6" s="3244"/>
      <c r="AA6" s="3228"/>
      <c r="AB6" s="3245"/>
      <c r="AC6" s="3228"/>
    </row>
    <row r="7" spans="1:29" s="117" customFormat="1" ht="15" thickBot="1">
      <c r="A7" s="408" t="s">
        <v>2540</v>
      </c>
      <c r="B7" s="409"/>
      <c r="C7" s="410">
        <f>'数据-取费表'!B2</f>
        <v>43921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0" t="s">
        <v>2541</v>
      </c>
      <c r="Q7" s="3252"/>
      <c r="R7" s="770" t="s">
        <v>17</v>
      </c>
      <c r="S7" s="771">
        <f t="shared" ref="S7:S15" si="0">F7</f>
        <v>0</v>
      </c>
      <c r="T7" s="770" t="s">
        <v>17</v>
      </c>
      <c r="U7" s="771">
        <f t="shared" ref="U7:U15" si="1">H7</f>
        <v>0</v>
      </c>
      <c r="V7" s="770" t="s">
        <v>17</v>
      </c>
      <c r="W7" s="771">
        <f t="shared" ref="W7:W15" si="2">J7</f>
        <v>0</v>
      </c>
      <c r="X7" s="772"/>
      <c r="Y7" s="3250" t="s">
        <v>2541</v>
      </c>
      <c r="Z7" s="3251"/>
      <c r="AA7" s="773" t="e">
        <f>D7/F7</f>
        <v>#DIV/0!</v>
      </c>
      <c r="AB7" s="773" t="e">
        <f>D7/H7</f>
        <v>#DIV/0!</v>
      </c>
      <c r="AC7" s="773" t="e">
        <f>D7/J7</f>
        <v>#DIV/0!</v>
      </c>
    </row>
    <row r="8" spans="1:29" s="117" customFormat="1" ht="1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0" t="s">
        <v>2544</v>
      </c>
      <c r="Q8" s="3251"/>
      <c r="R8" s="770" t="s">
        <v>17</v>
      </c>
      <c r="S8" s="771">
        <f t="shared" si="0"/>
        <v>0</v>
      </c>
      <c r="T8" s="770" t="s">
        <v>17</v>
      </c>
      <c r="U8" s="771">
        <f t="shared" si="1"/>
        <v>0</v>
      </c>
      <c r="V8" s="770" t="s">
        <v>17</v>
      </c>
      <c r="W8" s="771">
        <f t="shared" si="2"/>
        <v>0</v>
      </c>
      <c r="X8" s="772"/>
      <c r="Y8" s="3250" t="s">
        <v>2544</v>
      </c>
      <c r="Z8" s="3251"/>
      <c r="AA8" s="773" t="e">
        <f t="shared" ref="AA8:AA46" si="3">D8/F8</f>
        <v>#DIV/0!</v>
      </c>
      <c r="AB8" s="773" t="e">
        <f t="shared" ref="AB8:AB46" si="4">D8/H8</f>
        <v>#DIV/0!</v>
      </c>
      <c r="AC8" s="773" t="e">
        <f t="shared" ref="AC8:AC46" si="5">D8/J8</f>
        <v>#DIV/0!</v>
      </c>
    </row>
    <row r="9" spans="1:29" s="117" customFormat="1" ht="14.4">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5" t="s">
        <v>2547</v>
      </c>
      <c r="Q9" s="1795"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5"/>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5"/>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5"/>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5"/>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69">
      <c r="A15" s="440" t="s">
        <v>2551</v>
      </c>
      <c r="B15" s="69" t="s">
        <v>2645</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2552</v>
      </c>
      <c r="Q15" s="1810" t="str">
        <f t="shared" si="6"/>
        <v>商业繁华度</v>
      </c>
      <c r="R15" s="774" t="s">
        <v>17</v>
      </c>
      <c r="S15" s="775">
        <f t="shared" si="0"/>
        <v>100</v>
      </c>
      <c r="T15" s="774" t="s">
        <v>17</v>
      </c>
      <c r="U15" s="775">
        <f t="shared" si="1"/>
        <v>100</v>
      </c>
      <c r="V15" s="774" t="s">
        <v>17</v>
      </c>
      <c r="W15" s="775">
        <f t="shared" si="2"/>
        <v>100</v>
      </c>
      <c r="X15" s="1813"/>
      <c r="Y15" s="3216"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1811">
        <v>1</v>
      </c>
    </row>
    <row r="17" spans="1:29" ht="82.8">
      <c r="A17" s="428"/>
      <c r="B17" s="451" t="s">
        <v>2090</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24"/>
      <c r="Q18" s="1810"/>
      <c r="R18" s="774"/>
      <c r="S18" s="775"/>
      <c r="T18" s="774"/>
      <c r="U18" s="775"/>
      <c r="V18" s="774"/>
      <c r="W18" s="775"/>
      <c r="X18" s="1813"/>
      <c r="Y18" s="3217"/>
      <c r="Z18" s="1814"/>
      <c r="AA18" s="1811">
        <v>1</v>
      </c>
      <c r="AB18" s="1811">
        <v>1</v>
      </c>
      <c r="AC18" s="1811">
        <v>1</v>
      </c>
    </row>
    <row r="19" spans="1:29" ht="41.4">
      <c r="A19" s="428"/>
      <c r="B19" s="451" t="s">
        <v>2646</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24"/>
      <c r="Q20" s="1810"/>
      <c r="R20" s="774"/>
      <c r="S20" s="775"/>
      <c r="T20" s="774"/>
      <c r="U20" s="775"/>
      <c r="V20" s="774"/>
      <c r="W20" s="775"/>
      <c r="X20" s="1813"/>
      <c r="Y20" s="3217"/>
      <c r="Z20" s="1814"/>
      <c r="AA20" s="1811">
        <v>1</v>
      </c>
      <c r="AB20" s="1811">
        <v>1</v>
      </c>
      <c r="AC20" s="1811">
        <v>1</v>
      </c>
    </row>
    <row r="21" spans="1:29" ht="27.6">
      <c r="A21" s="428"/>
      <c r="B21" s="1384" t="s">
        <v>2647</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24"/>
      <c r="Q22" s="1810"/>
      <c r="R22" s="774"/>
      <c r="S22" s="775"/>
      <c r="T22" s="774"/>
      <c r="U22" s="775"/>
      <c r="V22" s="774"/>
      <c r="W22" s="775"/>
      <c r="X22" s="1813"/>
      <c r="Y22" s="3217"/>
      <c r="Z22" s="1814"/>
      <c r="AA22" s="1811">
        <v>1</v>
      </c>
      <c r="AB22" s="1811">
        <v>1</v>
      </c>
      <c r="AC22" s="1811">
        <v>1</v>
      </c>
    </row>
    <row r="23" spans="1:29" ht="55.2">
      <c r="A23" s="428"/>
      <c r="B23" s="451" t="s">
        <v>2094</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10" t="str">
        <f>B23</f>
        <v>自然及人文环境</v>
      </c>
      <c r="R23" s="774" t="s">
        <v>17</v>
      </c>
      <c r="S23" s="775">
        <f>F23</f>
        <v>100</v>
      </c>
      <c r="T23" s="774" t="s">
        <v>17</v>
      </c>
      <c r="U23" s="775">
        <f>H23</f>
        <v>100</v>
      </c>
      <c r="V23" s="774" t="s">
        <v>17</v>
      </c>
      <c r="W23" s="775">
        <f>J23</f>
        <v>100</v>
      </c>
      <c r="X23" s="1813"/>
      <c r="Y23" s="3217"/>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24"/>
      <c r="Q24" s="1810"/>
      <c r="R24" s="774"/>
      <c r="S24" s="775"/>
      <c r="T24" s="774"/>
      <c r="U24" s="775"/>
      <c r="V24" s="774"/>
      <c r="W24" s="775"/>
      <c r="X24" s="1813"/>
      <c r="Y24" s="3217"/>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10" t="str">
        <f t="shared" ref="Q25:Q46" si="11">B25</f>
        <v>临街状况</v>
      </c>
      <c r="R25" s="774" t="s">
        <v>17</v>
      </c>
      <c r="S25" s="775">
        <f>F25</f>
        <v>100</v>
      </c>
      <c r="T25" s="774" t="s">
        <v>17</v>
      </c>
      <c r="U25" s="775">
        <f>H25</f>
        <v>100</v>
      </c>
      <c r="V25" s="774" t="s">
        <v>17</v>
      </c>
      <c r="W25" s="775">
        <f>J25</f>
        <v>100</v>
      </c>
      <c r="X25" s="1813"/>
      <c r="Y25" s="3217"/>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10" t="str">
        <f t="shared" si="11"/>
        <v>平面位置/可视性</v>
      </c>
      <c r="R26" s="774" t="s">
        <v>17</v>
      </c>
      <c r="S26" s="775">
        <f>F26</f>
        <v>100</v>
      </c>
      <c r="T26" s="774" t="s">
        <v>17</v>
      </c>
      <c r="U26" s="775">
        <f>H26</f>
        <v>100</v>
      </c>
      <c r="V26" s="774" t="s">
        <v>17</v>
      </c>
      <c r="W26" s="775">
        <f>J26</f>
        <v>100</v>
      </c>
      <c r="X26" s="1813"/>
      <c r="Y26" s="3217"/>
      <c r="Z26" s="1814" t="str">
        <f>Q26</f>
        <v>平面位置/可视性</v>
      </c>
      <c r="AA26" s="1811">
        <f t="shared" si="3"/>
        <v>1</v>
      </c>
      <c r="AB26" s="1811">
        <f t="shared" si="4"/>
        <v>1</v>
      </c>
      <c r="AC26" s="1811">
        <f t="shared" si="5"/>
        <v>1</v>
      </c>
    </row>
    <row r="27" spans="1:29" s="117" customFormat="1" ht="15">
      <c r="A27" s="431"/>
      <c r="B27" s="451" t="s">
        <v>2650</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24"/>
      <c r="Q27" s="1795" t="str">
        <f t="shared" si="11"/>
        <v>人流量</v>
      </c>
      <c r="R27" s="770" t="s">
        <v>17</v>
      </c>
      <c r="S27" s="771">
        <f>F27</f>
        <v>100</v>
      </c>
      <c r="T27" s="770" t="s">
        <v>17</v>
      </c>
      <c r="U27" s="771">
        <f>H27</f>
        <v>100</v>
      </c>
      <c r="V27" s="770" t="s">
        <v>17</v>
      </c>
      <c r="W27" s="771">
        <f>J27</f>
        <v>100</v>
      </c>
      <c r="X27" s="772"/>
      <c r="Y27" s="3217"/>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10">
        <f t="shared" si="11"/>
        <v>111</v>
      </c>
      <c r="R29" s="774" t="s">
        <v>17</v>
      </c>
      <c r="S29" s="775">
        <f t="shared" si="12"/>
        <v>100</v>
      </c>
      <c r="T29" s="774" t="s">
        <v>17</v>
      </c>
      <c r="U29" s="775">
        <f t="shared" si="13"/>
        <v>100</v>
      </c>
      <c r="V29" s="774" t="s">
        <v>17</v>
      </c>
      <c r="W29" s="775">
        <f t="shared" si="14"/>
        <v>100</v>
      </c>
      <c r="X29" s="1813"/>
      <c r="Y29" s="321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1811">
        <f t="shared" si="5"/>
        <v>1</v>
      </c>
    </row>
    <row r="32" spans="1:29" ht="15">
      <c r="A32" s="440" t="s">
        <v>2555</v>
      </c>
      <c r="B32" s="71" t="s">
        <v>2652</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18" t="s">
        <v>2557</v>
      </c>
      <c r="Q32" s="1810" t="str">
        <f t="shared" si="11"/>
        <v>商业类型</v>
      </c>
      <c r="R32" s="774" t="s">
        <v>17</v>
      </c>
      <c r="S32" s="775">
        <f t="shared" si="12"/>
        <v>100</v>
      </c>
      <c r="T32" s="774" t="s">
        <v>17</v>
      </c>
      <c r="U32" s="775">
        <f t="shared" si="13"/>
        <v>100</v>
      </c>
      <c r="V32" s="774" t="s">
        <v>17</v>
      </c>
      <c r="W32" s="775">
        <f t="shared" si="14"/>
        <v>100</v>
      </c>
      <c r="X32" s="1813"/>
      <c r="Y32" s="3221" t="s">
        <v>2557</v>
      </c>
      <c r="Z32" s="1814" t="str">
        <f t="shared" si="15"/>
        <v>商业类型</v>
      </c>
      <c r="AA32" s="1811">
        <f t="shared" si="3"/>
        <v>1</v>
      </c>
      <c r="AB32" s="1811">
        <f t="shared" si="4"/>
        <v>1</v>
      </c>
      <c r="AC32" s="1811">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1" t="e">
        <f t="shared" si="3"/>
        <v>#N/A</v>
      </c>
      <c r="AB33" s="1811" t="e">
        <f t="shared" si="4"/>
        <v>#N/A</v>
      </c>
      <c r="AC33" s="1811" t="e">
        <f t="shared" si="5"/>
        <v>#N/A</v>
      </c>
    </row>
    <row r="34" spans="1:29" ht="15">
      <c r="A34" s="472"/>
      <c r="B34" s="422" t="s">
        <v>2559</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19"/>
      <c r="Q34" s="1810" t="str">
        <f t="shared" si="11"/>
        <v>建筑结构</v>
      </c>
      <c r="R34" s="774" t="s">
        <v>17</v>
      </c>
      <c r="S34" s="775">
        <f t="shared" si="12"/>
        <v>100</v>
      </c>
      <c r="T34" s="774" t="s">
        <v>17</v>
      </c>
      <c r="U34" s="775">
        <f t="shared" si="13"/>
        <v>100</v>
      </c>
      <c r="V34" s="774" t="s">
        <v>17</v>
      </c>
      <c r="W34" s="775">
        <f t="shared" si="14"/>
        <v>100</v>
      </c>
      <c r="X34" s="1813"/>
      <c r="Y34" s="3221"/>
      <c r="Z34" s="1814" t="str">
        <f t="shared" si="15"/>
        <v>建筑结构</v>
      </c>
      <c r="AA34" s="1811">
        <f t="shared" si="3"/>
        <v>1</v>
      </c>
      <c r="AB34" s="1811">
        <f t="shared" si="4"/>
        <v>1</v>
      </c>
      <c r="AC34" s="1811">
        <f t="shared" si="5"/>
        <v>1</v>
      </c>
    </row>
    <row r="35" spans="1:29" ht="15">
      <c r="A35" s="472"/>
      <c r="B35" s="422" t="s">
        <v>2653</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19"/>
      <c r="Q35" s="1810" t="str">
        <f t="shared" si="11"/>
        <v>公共部分装修</v>
      </c>
      <c r="R35" s="774" t="s">
        <v>17</v>
      </c>
      <c r="S35" s="775">
        <f t="shared" si="12"/>
        <v>100</v>
      </c>
      <c r="T35" s="774" t="s">
        <v>17</v>
      </c>
      <c r="U35" s="775">
        <f t="shared" si="13"/>
        <v>100</v>
      </c>
      <c r="V35" s="774" t="s">
        <v>17</v>
      </c>
      <c r="W35" s="775">
        <f t="shared" si="14"/>
        <v>100</v>
      </c>
      <c r="X35" s="1813"/>
      <c r="Y35" s="3221"/>
      <c r="Z35" s="1814" t="str">
        <f t="shared" si="15"/>
        <v>公共部分装修</v>
      </c>
      <c r="AA35" s="1811">
        <f t="shared" si="3"/>
        <v>1</v>
      </c>
      <c r="AB35" s="1811">
        <f t="shared" si="4"/>
        <v>1</v>
      </c>
      <c r="AC35" s="1811">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10" t="str">
        <f t="shared" si="11"/>
        <v>成新度</v>
      </c>
      <c r="R36" s="774" t="s">
        <v>17</v>
      </c>
      <c r="S36" s="775" t="e">
        <f t="shared" si="12"/>
        <v>#N/A</v>
      </c>
      <c r="T36" s="774" t="s">
        <v>17</v>
      </c>
      <c r="U36" s="775" t="e">
        <f t="shared" si="13"/>
        <v>#N/A</v>
      </c>
      <c r="V36" s="774" t="s">
        <v>17</v>
      </c>
      <c r="W36" s="775" t="e">
        <f t="shared" si="14"/>
        <v>#N/A</v>
      </c>
      <c r="X36" s="1813"/>
      <c r="Y36" s="3221"/>
      <c r="Z36" s="1814" t="str">
        <f t="shared" si="15"/>
        <v>成新度</v>
      </c>
      <c r="AA36" s="1811" t="e">
        <f t="shared" si="3"/>
        <v>#N/A</v>
      </c>
      <c r="AB36" s="1811" t="e">
        <f t="shared" si="4"/>
        <v>#N/A</v>
      </c>
      <c r="AC36" s="1811" t="e">
        <f t="shared" si="5"/>
        <v>#N/A</v>
      </c>
    </row>
    <row r="37" spans="1:29" s="117" customFormat="1" ht="15">
      <c r="A37" s="473"/>
      <c r="B37" s="422" t="s">
        <v>2655</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19"/>
      <c r="Q37" s="1795"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2656</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19" t="s">
        <v>2557</v>
      </c>
      <c r="Q38" s="1810" t="str">
        <f t="shared" si="11"/>
        <v>业态</v>
      </c>
      <c r="R38" s="774" t="s">
        <v>17</v>
      </c>
      <c r="S38" s="775">
        <f t="shared" si="12"/>
        <v>100</v>
      </c>
      <c r="T38" s="774" t="s">
        <v>17</v>
      </c>
      <c r="U38" s="775">
        <f t="shared" si="13"/>
        <v>100</v>
      </c>
      <c r="V38" s="774" t="s">
        <v>17</v>
      </c>
      <c r="W38" s="775">
        <f t="shared" si="14"/>
        <v>100</v>
      </c>
      <c r="X38" s="1813"/>
      <c r="Y38" s="3221" t="s">
        <v>2557</v>
      </c>
      <c r="Z38" s="1814" t="str">
        <f t="shared" si="15"/>
        <v>业态</v>
      </c>
      <c r="AA38" s="1811">
        <f t="shared" si="3"/>
        <v>1</v>
      </c>
      <c r="AB38" s="1811">
        <f t="shared" si="4"/>
        <v>1</v>
      </c>
      <c r="AC38" s="1811">
        <f t="shared" si="5"/>
        <v>1</v>
      </c>
    </row>
    <row r="39" spans="1:29" ht="15">
      <c r="A39" s="472"/>
      <c r="B39" s="422" t="s">
        <v>2657</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19"/>
      <c r="Q39" s="1810" t="str">
        <f t="shared" si="11"/>
        <v>层高</v>
      </c>
      <c r="R39" s="774" t="s">
        <v>17</v>
      </c>
      <c r="S39" s="775">
        <f t="shared" si="12"/>
        <v>100</v>
      </c>
      <c r="T39" s="774" t="s">
        <v>17</v>
      </c>
      <c r="U39" s="775">
        <f t="shared" si="13"/>
        <v>100</v>
      </c>
      <c r="V39" s="774" t="s">
        <v>17</v>
      </c>
      <c r="W39" s="775">
        <f t="shared" si="14"/>
        <v>100</v>
      </c>
      <c r="X39" s="1813"/>
      <c r="Y39" s="3221"/>
      <c r="Z39" s="1814" t="str">
        <f t="shared" si="15"/>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10" t="str">
        <f t="shared" si="11"/>
        <v>单套建筑面积</v>
      </c>
      <c r="R40" s="774" t="s">
        <v>17</v>
      </c>
      <c r="S40" s="775">
        <f t="shared" si="12"/>
        <v>100</v>
      </c>
      <c r="T40" s="774" t="s">
        <v>17</v>
      </c>
      <c r="U40" s="775">
        <f t="shared" si="13"/>
        <v>100</v>
      </c>
      <c r="V40" s="774" t="s">
        <v>17</v>
      </c>
      <c r="W40" s="775">
        <f t="shared" si="14"/>
        <v>100</v>
      </c>
      <c r="X40" s="1813"/>
      <c r="Y40" s="3221"/>
      <c r="Z40" s="1814" t="str">
        <f t="shared" si="15"/>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1">
        <f t="shared" si="3"/>
        <v>1</v>
      </c>
      <c r="AB41" s="1811">
        <f t="shared" si="4"/>
        <v>1</v>
      </c>
      <c r="AC41" s="1811">
        <f t="shared" si="5"/>
        <v>1</v>
      </c>
    </row>
    <row r="42" spans="1:29" ht="15">
      <c r="A42" s="472"/>
      <c r="B42" s="422" t="s">
        <v>2660</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19"/>
      <c r="Q42" s="1810" t="str">
        <f t="shared" si="11"/>
        <v>内部装修</v>
      </c>
      <c r="R42" s="774" t="s">
        <v>17</v>
      </c>
      <c r="S42" s="775">
        <f t="shared" si="12"/>
        <v>100</v>
      </c>
      <c r="T42" s="774" t="s">
        <v>17</v>
      </c>
      <c r="U42" s="775">
        <f t="shared" si="13"/>
        <v>100</v>
      </c>
      <c r="V42" s="774" t="s">
        <v>17</v>
      </c>
      <c r="W42" s="775">
        <f t="shared" si="14"/>
        <v>100</v>
      </c>
      <c r="X42" s="1813"/>
      <c r="Y42" s="3221"/>
      <c r="Z42" s="1814" t="str">
        <f t="shared" si="15"/>
        <v>内部装修</v>
      </c>
      <c r="AA42" s="1811">
        <f t="shared" si="3"/>
        <v>1</v>
      </c>
      <c r="AB42" s="1811">
        <f t="shared" si="4"/>
        <v>1</v>
      </c>
      <c r="AC42" s="1811">
        <f t="shared" si="5"/>
        <v>1</v>
      </c>
    </row>
    <row r="43" spans="1:29" ht="28.8">
      <c r="A43" s="472"/>
      <c r="B43" s="422" t="s">
        <v>2568</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19"/>
      <c r="Q43" s="1810" t="str">
        <f t="shared" si="11"/>
        <v>内部装修维护情况</v>
      </c>
      <c r="R43" s="774" t="s">
        <v>17</v>
      </c>
      <c r="S43" s="775">
        <f t="shared" si="12"/>
        <v>100</v>
      </c>
      <c r="T43" s="774" t="s">
        <v>17</v>
      </c>
      <c r="U43" s="775">
        <f t="shared" si="13"/>
        <v>100</v>
      </c>
      <c r="V43" s="774" t="s">
        <v>17</v>
      </c>
      <c r="W43" s="775">
        <f t="shared" si="14"/>
        <v>100</v>
      </c>
      <c r="X43" s="1813"/>
      <c r="Y43" s="322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5">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10">
        <f t="shared" si="11"/>
        <v>111</v>
      </c>
      <c r="R45" s="774" t="s">
        <v>17</v>
      </c>
      <c r="S45" s="775">
        <f t="shared" si="12"/>
        <v>100</v>
      </c>
      <c r="T45" s="774" t="s">
        <v>17</v>
      </c>
      <c r="U45" s="775">
        <f t="shared" si="13"/>
        <v>100</v>
      </c>
      <c r="V45" s="774" t="s">
        <v>17</v>
      </c>
      <c r="W45" s="775">
        <f t="shared" si="14"/>
        <v>100</v>
      </c>
      <c r="X45" s="1813"/>
      <c r="Y45" s="3221"/>
      <c r="Z45" s="1814">
        <f t="shared" si="15"/>
        <v>111</v>
      </c>
      <c r="AA45" s="1811">
        <f t="shared" si="3"/>
        <v>1</v>
      </c>
      <c r="AB45" s="1811">
        <f t="shared" si="4"/>
        <v>1</v>
      </c>
      <c r="AC45" s="1811">
        <f t="shared" si="5"/>
        <v>1</v>
      </c>
    </row>
    <row r="46" spans="1:29" ht="15.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10">
        <f t="shared" si="11"/>
        <v>111</v>
      </c>
      <c r="R46" s="774" t="s">
        <v>17</v>
      </c>
      <c r="S46" s="775">
        <f t="shared" si="12"/>
        <v>100</v>
      </c>
      <c r="T46" s="774" t="s">
        <v>17</v>
      </c>
      <c r="U46" s="775">
        <f t="shared" si="13"/>
        <v>100</v>
      </c>
      <c r="V46" s="774" t="s">
        <v>17</v>
      </c>
      <c r="W46" s="775">
        <f t="shared" si="14"/>
        <v>100</v>
      </c>
      <c r="X46" s="1813"/>
      <c r="Y46" s="3222"/>
      <c r="Z46" s="1814">
        <f t="shared" si="15"/>
        <v>111</v>
      </c>
      <c r="AA46" s="1811">
        <f t="shared" si="3"/>
        <v>1</v>
      </c>
      <c r="AB46" s="1811">
        <f t="shared" si="4"/>
        <v>1</v>
      </c>
      <c r="AC46" s="1811">
        <f t="shared" si="5"/>
        <v>1</v>
      </c>
    </row>
    <row r="47" spans="1:29" ht="14.4">
      <c r="A47" s="479" t="s">
        <v>2569</v>
      </c>
      <c r="B47" s="480"/>
      <c r="C47" s="1407" t="s">
        <v>1</v>
      </c>
      <c r="D47" s="1408"/>
      <c r="E47" s="1409"/>
      <c r="F47" s="1410"/>
      <c r="G47" s="1411"/>
      <c r="H47" s="1412"/>
      <c r="I47" s="1409"/>
      <c r="J47" s="1412"/>
      <c r="K47" s="783"/>
      <c r="L47" s="1143"/>
      <c r="M47" s="1144"/>
      <c r="N47" s="1131"/>
      <c r="O47" s="1144"/>
      <c r="P47" s="3214" t="str">
        <f>A47</f>
        <v>成交单价（元/平方米）</v>
      </c>
      <c r="Q47" s="3214"/>
      <c r="R47" s="3245">
        <f>E47</f>
        <v>0</v>
      </c>
      <c r="S47" s="3245"/>
      <c r="T47" s="3245">
        <f>G47</f>
        <v>0</v>
      </c>
      <c r="U47" s="3245"/>
      <c r="V47" s="3245">
        <f>I47</f>
        <v>0</v>
      </c>
      <c r="W47" s="3245"/>
      <c r="X47" s="759"/>
      <c r="Y47" s="781"/>
      <c r="Z47" s="759"/>
      <c r="AA47" s="759"/>
      <c r="AB47" s="759"/>
      <c r="AC47" s="759"/>
    </row>
    <row r="48" spans="1:29" ht="1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 thickBot="1">
      <c r="A49" s="492" t="s">
        <v>2662</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2666</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4.4">
      <c r="A58" s="505" t="s">
        <v>2540</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c r="A59" s="509"/>
      <c r="B59" s="510"/>
      <c r="C59" s="1573">
        <v>100</v>
      </c>
      <c r="D59" s="512"/>
      <c r="E59" s="512"/>
      <c r="F59" s="512"/>
      <c r="G59" s="512"/>
      <c r="H59" s="512"/>
      <c r="I59" s="512"/>
      <c r="J59" s="512"/>
      <c r="K59" s="512"/>
      <c r="L59" s="512"/>
      <c r="M59" s="513"/>
      <c r="N59" s="512"/>
      <c r="O59" s="513"/>
      <c r="P59" s="2624"/>
    </row>
    <row r="60" spans="1:29" s="117" customFormat="1" ht="15" thickBot="1">
      <c r="A60" s="515" t="s">
        <v>2577</v>
      </c>
      <c r="B60" s="516"/>
      <c r="C60" s="517"/>
      <c r="D60" s="518"/>
      <c r="E60" s="518"/>
      <c r="F60" s="518"/>
      <c r="G60" s="518"/>
      <c r="H60" s="518"/>
      <c r="I60" s="518"/>
      <c r="J60" s="518"/>
      <c r="K60" s="518"/>
      <c r="L60" s="518"/>
      <c r="M60" s="519"/>
      <c r="N60" s="518"/>
      <c r="O60" s="519"/>
      <c r="P60" s="2624"/>
      <c r="Q60" s="504"/>
    </row>
    <row r="61" spans="1:29" s="117" customFormat="1" ht="14.4">
      <c r="A61" s="521" t="s">
        <v>2542</v>
      </c>
      <c r="B61" s="510"/>
      <c r="C61" s="522" t="s">
        <v>2644</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2580</v>
      </c>
      <c r="B63" s="528" t="s">
        <v>2546</v>
      </c>
      <c r="C63" s="529">
        <f>C9</f>
        <v>0</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c r="A68" s="534"/>
      <c r="B68" s="548"/>
      <c r="C68" s="549"/>
      <c r="D68" s="549"/>
      <c r="E68" s="549"/>
      <c r="F68" s="549"/>
      <c r="G68" s="549"/>
      <c r="H68" s="549"/>
      <c r="I68" s="549"/>
      <c r="J68" s="549"/>
      <c r="K68" s="550"/>
      <c r="L68" s="551"/>
      <c r="M68" s="552"/>
      <c r="N68" s="1152"/>
      <c r="O68" s="1152"/>
      <c r="P68" s="262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36"/>
      <c r="E73" s="536"/>
      <c r="F73" s="536"/>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2551</v>
      </c>
      <c r="B76" s="528" t="s">
        <v>2588</v>
      </c>
      <c r="C76" s="573" t="s">
        <v>2589</v>
      </c>
      <c r="D76" s="573" t="s">
        <v>2590</v>
      </c>
      <c r="E76" s="573" t="s">
        <v>2591</v>
      </c>
      <c r="F76" s="573" t="s">
        <v>2592</v>
      </c>
      <c r="G76" s="573" t="s">
        <v>2593</v>
      </c>
      <c r="H76" s="529"/>
      <c r="I76" s="529"/>
      <c r="J76" s="529"/>
      <c r="K76" s="574"/>
      <c r="L76" s="575"/>
      <c r="M76" s="576"/>
      <c r="N76" s="1152"/>
      <c r="O76" s="1152"/>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52"/>
      <c r="O78" s="1152"/>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52"/>
      <c r="O80" s="1152"/>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 thickTop="1">
      <c r="A82" s="534"/>
      <c r="B82" s="546" t="s">
        <v>2647</v>
      </c>
      <c r="C82" s="660" t="s">
        <v>2667</v>
      </c>
      <c r="D82" s="660" t="s">
        <v>2668</v>
      </c>
      <c r="E82" s="660" t="s">
        <v>2669</v>
      </c>
      <c r="F82" s="660" t="s">
        <v>2670</v>
      </c>
      <c r="G82" s="660" t="s">
        <v>2671</v>
      </c>
      <c r="H82" s="539"/>
      <c r="I82" s="539"/>
      <c r="J82" s="539"/>
      <c r="K82" s="539"/>
      <c r="L82" s="539"/>
      <c r="M82" s="1382"/>
      <c r="N82" s="1153"/>
      <c r="O82" s="1153"/>
      <c r="P82" s="2626"/>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52"/>
      <c r="O84" s="1152"/>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 thickTop="1">
      <c r="A86" s="579"/>
      <c r="B86" s="538" t="s">
        <v>2672</v>
      </c>
      <c r="C86" s="554"/>
      <c r="D86" s="554"/>
      <c r="E86" s="554"/>
      <c r="F86" s="554"/>
      <c r="G86" s="554"/>
      <c r="H86" s="554"/>
      <c r="I86" s="554"/>
      <c r="J86" s="554"/>
      <c r="K86" s="554"/>
      <c r="L86" s="580"/>
      <c r="M86" s="581"/>
      <c r="N86" s="1151"/>
      <c r="O86" s="1151"/>
      <c r="P86" s="2626"/>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4.4"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4.4" thickBot="1">
      <c r="A89" s="579"/>
      <c r="B89" s="543"/>
      <c r="C89" s="560"/>
      <c r="D89" s="536"/>
      <c r="E89" s="536"/>
      <c r="F89" s="536"/>
      <c r="G89" s="536"/>
      <c r="H89" s="536"/>
      <c r="I89" s="536"/>
      <c r="J89" s="536"/>
      <c r="K89" s="536"/>
      <c r="L89" s="536"/>
      <c r="M89" s="536"/>
      <c r="N89" s="1153"/>
      <c r="O89" s="1153"/>
      <c r="P89" s="2626"/>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4.4" thickTop="1">
      <c r="A92" s="534"/>
      <c r="B92" s="538" t="str">
        <f>B28</f>
        <v>楼层</v>
      </c>
      <c r="C92" s="554"/>
      <c r="D92" s="554"/>
      <c r="E92" s="554"/>
      <c r="F92" s="554"/>
      <c r="G92" s="554"/>
      <c r="H92" s="554"/>
      <c r="I92" s="554"/>
      <c r="J92" s="554"/>
      <c r="K92" s="554"/>
      <c r="L92" s="580"/>
      <c r="M92" s="581"/>
      <c r="N92" s="1152"/>
      <c r="O92" s="1152"/>
      <c r="P92" s="2626"/>
      <c r="Q92" s="504"/>
    </row>
    <row r="93" spans="1:17" ht="14.4" thickBot="1">
      <c r="A93" s="534"/>
      <c r="B93" s="543"/>
      <c r="C93" s="536"/>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36"/>
      <c r="E95" s="536"/>
      <c r="F95" s="536"/>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60"/>
      <c r="D97" s="536"/>
      <c r="E97" s="536"/>
      <c r="F97" s="536"/>
      <c r="G97" s="536"/>
      <c r="H97" s="536"/>
      <c r="I97" s="536"/>
      <c r="J97" s="536"/>
      <c r="K97" s="536"/>
      <c r="L97" s="536"/>
      <c r="M97" s="537"/>
      <c r="N97" s="1153"/>
      <c r="O97" s="1153"/>
      <c r="P97" s="2626"/>
      <c r="Q97" s="504"/>
    </row>
    <row r="98" spans="1:17" ht="14.4" thickTop="1">
      <c r="A98" s="534"/>
      <c r="B98" s="546">
        <f>B31</f>
        <v>111</v>
      </c>
      <c r="C98" s="554"/>
      <c r="D98" s="554"/>
      <c r="E98" s="554"/>
      <c r="F98" s="554"/>
      <c r="G98" s="587"/>
      <c r="H98" s="587"/>
      <c r="I98" s="587"/>
      <c r="J98" s="587"/>
      <c r="K98" s="588"/>
      <c r="L98" s="589"/>
      <c r="M98" s="590"/>
      <c r="N98" s="1152"/>
      <c r="O98" s="1152"/>
      <c r="P98" s="2626"/>
      <c r="Q98" s="504"/>
    </row>
    <row r="99" spans="1:17" ht="14.4" thickBot="1">
      <c r="A99" s="2632"/>
      <c r="B99" s="569"/>
      <c r="C99" s="570"/>
      <c r="D99" s="570"/>
      <c r="E99" s="570"/>
      <c r="F99" s="570"/>
      <c r="G99" s="591"/>
      <c r="H99" s="591"/>
      <c r="I99" s="591"/>
      <c r="J99" s="591"/>
      <c r="K99" s="591"/>
      <c r="L99" s="591"/>
      <c r="M99" s="592"/>
      <c r="N99" s="1153"/>
      <c r="O99" s="1153"/>
      <c r="P99" s="2626"/>
      <c r="Q99" s="504"/>
    </row>
    <row r="100" spans="1:17" ht="14.4">
      <c r="A100" s="527" t="s">
        <v>2555</v>
      </c>
      <c r="B100" s="528" t="s">
        <v>2673</v>
      </c>
      <c r="C100" s="530"/>
      <c r="D100" s="530"/>
      <c r="E100" s="530"/>
      <c r="F100" s="530"/>
      <c r="G100" s="530"/>
      <c r="H100" s="530"/>
      <c r="I100" s="530"/>
      <c r="J100" s="530"/>
      <c r="K100" s="531"/>
      <c r="L100" s="532"/>
      <c r="M100" s="533"/>
      <c r="N100" s="1152"/>
      <c r="O100" s="1152"/>
      <c r="P100" s="2626"/>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2606</v>
      </c>
      <c r="C105" s="554"/>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2608</v>
      </c>
      <c r="C107" s="554"/>
      <c r="D107" s="554"/>
      <c r="E107" s="554"/>
      <c r="F107" s="583"/>
      <c r="G107" s="583"/>
      <c r="H107" s="583"/>
      <c r="I107" s="583"/>
      <c r="J107" s="583"/>
      <c r="K107" s="584"/>
      <c r="L107" s="585"/>
      <c r="M107" s="586"/>
      <c r="N107" s="1152"/>
      <c r="O107" s="1152"/>
      <c r="P107" s="2626"/>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27"/>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2674</v>
      </c>
      <c r="C114" s="554"/>
      <c r="D114" s="554"/>
      <c r="E114" s="583"/>
      <c r="F114" s="583"/>
      <c r="G114" s="583"/>
      <c r="H114" s="583"/>
      <c r="I114" s="583"/>
      <c r="J114" s="583"/>
      <c r="K114" s="584"/>
      <c r="L114" s="585"/>
      <c r="M114" s="586"/>
      <c r="N114" s="1152"/>
      <c r="O114" s="1152"/>
      <c r="P114" s="2626"/>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2675</v>
      </c>
      <c r="C116" s="554"/>
      <c r="D116" s="554"/>
      <c r="E116" s="554"/>
      <c r="F116" s="554"/>
      <c r="G116" s="554"/>
      <c r="H116" s="583"/>
      <c r="I116" s="583"/>
      <c r="J116" s="583"/>
      <c r="K116" s="584"/>
      <c r="L116" s="585"/>
      <c r="M116" s="586"/>
      <c r="N116" s="1152"/>
      <c r="O116" s="1152"/>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2676</v>
      </c>
      <c r="C118" s="627"/>
      <c r="D118" s="627"/>
      <c r="E118" s="627"/>
      <c r="F118" s="627"/>
      <c r="G118" s="627"/>
      <c r="H118" s="555"/>
      <c r="I118" s="555"/>
      <c r="J118" s="555"/>
      <c r="K118" s="555"/>
      <c r="L118" s="556"/>
      <c r="M118" s="557"/>
      <c r="N118" s="1152"/>
      <c r="O118" s="1152"/>
      <c r="P118" s="2626"/>
      <c r="Q118" s="504"/>
    </row>
    <row r="119" spans="1:17" ht="14.4"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27"/>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2612</v>
      </c>
      <c r="C122" s="554"/>
      <c r="D122" s="554"/>
      <c r="E122" s="554"/>
      <c r="F122" s="583"/>
      <c r="G122" s="583"/>
      <c r="H122" s="583"/>
      <c r="I122" s="583"/>
      <c r="J122" s="583"/>
      <c r="K122" s="584"/>
      <c r="L122" s="585"/>
      <c r="M122" s="586"/>
      <c r="N122" s="1152"/>
      <c r="O122" s="1152"/>
      <c r="P122" s="2626"/>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36"/>
      <c r="E129" s="536"/>
      <c r="F129" s="536"/>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1605</v>
      </c>
    </row>
    <row r="2" spans="1:1">
      <c r="A2" s="1945"/>
    </row>
    <row r="3" spans="1:1" ht="17.399999999999999">
      <c r="A3" s="1946" t="str">
        <f>项目基本情况!B5&amp;"："</f>
        <v>北京科华国际幕墙工程有限公司：</v>
      </c>
    </row>
    <row r="4" spans="1:1" ht="34.799999999999997">
      <c r="A4" s="1947" t="str">
        <f>"受贵公司委托，我公司对"&amp;项目基本情况!S1&amp;"进行了预评估。"</f>
        <v>受贵公司委托，我公司对北京市怀柔区雁栖经济开发区雁栖路2号1幢等3幢房地产抵押价值进行了预评估。</v>
      </c>
    </row>
    <row r="5" spans="1:1" ht="17.399999999999999">
      <c r="A5" s="1948" t="s">
        <v>1606</v>
      </c>
    </row>
    <row r="6" spans="1:1" ht="17.399999999999999">
      <c r="A6" s="1949" t="s">
        <v>1607</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1" ht="54.6">
      <c r="A8" s="1950" t="s">
        <v>1608</v>
      </c>
    </row>
    <row r="9" spans="1:1" ht="17.399999999999999">
      <c r="A9" s="1949" t="s">
        <v>1609</v>
      </c>
    </row>
    <row r="10" spans="1:1" ht="87">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2">
      <c r="A11" s="1950" t="s">
        <v>1610</v>
      </c>
    </row>
    <row r="12" spans="1:1" ht="17.399999999999999">
      <c r="A12" s="1948" t="s">
        <v>1611</v>
      </c>
    </row>
    <row r="13" spans="1:1" ht="38.25" customHeight="1">
      <c r="A13" s="1951"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7.399999999999999">
      <c r="A14" s="1952" t="s">
        <v>1612</v>
      </c>
    </row>
    <row r="15" spans="1:1" ht="17.399999999999999">
      <c r="A15" s="1953" t="str">
        <f>TEXT(项目基本情况!D3,"yyyy年m月d日;;")&amp;IF(项目基本情况!D3=项目基本情况!B3,"（评估专业人员实地查勘之日）","")</f>
        <v>2020年3月31日</v>
      </c>
    </row>
    <row r="16" spans="1:1" ht="17.399999999999999">
      <c r="A16" s="1952" t="s">
        <v>1613</v>
      </c>
    </row>
    <row r="17" spans="1:1" ht="69.599999999999994">
      <c r="A17" s="1947" t="s">
        <v>1614</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31日，估价对象规划用途为工业，土地取得方式为出让，出让国有建设用地使用权剩余土地使用年限为工业33.53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工业33.53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1603</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B6" sqref="B6:D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2520</v>
      </c>
      <c r="B1" s="2665" t="s">
        <v>2678</v>
      </c>
      <c r="C1" s="1620" t="s">
        <v>2522</v>
      </c>
      <c r="D1" s="1621"/>
      <c r="E1" s="1630"/>
      <c r="F1" s="2580"/>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2"/>
      <c r="D2" s="1365" t="e">
        <f ca="1">SUMIF(INDIRECT("'"&amp;F2&amp;"'"&amp;"!A:A"),"承租人权益价值",INDIRECT("'"&amp;F2&amp;"'"&amp;"!c:c"))</f>
        <v>#REF!</v>
      </c>
      <c r="E2" s="2583" t="s">
        <v>2320</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15950.36</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2637</v>
      </c>
      <c r="B4" s="402"/>
      <c r="C4" s="3229" t="s">
        <v>2638</v>
      </c>
      <c r="D4" s="3230"/>
      <c r="E4" s="3231" t="s">
        <v>2639</v>
      </c>
      <c r="F4" s="3232"/>
      <c r="G4" s="3229" t="s">
        <v>2640</v>
      </c>
      <c r="H4" s="3230"/>
      <c r="I4" s="3229" t="s">
        <v>2641</v>
      </c>
      <c r="J4" s="3230"/>
      <c r="K4" s="610" t="s">
        <v>2642</v>
      </c>
      <c r="L4" s="1130"/>
      <c r="M4" s="1131"/>
      <c r="N4" s="1131"/>
      <c r="O4" s="1131"/>
      <c r="P4" s="3263" t="s">
        <v>2643</v>
      </c>
      <c r="Q4" s="3264"/>
      <c r="R4" s="3267" t="s">
        <v>2639</v>
      </c>
      <c r="S4" s="3268"/>
      <c r="T4" s="3267" t="s">
        <v>2640</v>
      </c>
      <c r="U4" s="3268"/>
      <c r="V4" s="3269" t="s">
        <v>2641</v>
      </c>
      <c r="W4" s="3269"/>
      <c r="X4" s="2666"/>
      <c r="Y4" s="3267" t="s">
        <v>2643</v>
      </c>
      <c r="Z4" s="3268"/>
      <c r="AA4" s="3271" t="s">
        <v>2639</v>
      </c>
      <c r="AB4" s="3271" t="s">
        <v>2640</v>
      </c>
      <c r="AC4" s="3260" t="s">
        <v>2641</v>
      </c>
    </row>
    <row r="5" spans="1:29">
      <c r="A5" s="404"/>
      <c r="B5" s="405"/>
      <c r="C5" s="3248" t="s">
        <v>2534</v>
      </c>
      <c r="D5" s="3249"/>
      <c r="E5" s="3255" t="s">
        <v>2535</v>
      </c>
      <c r="F5" s="3256"/>
      <c r="G5" s="3248" t="s">
        <v>2536</v>
      </c>
      <c r="H5" s="3249"/>
      <c r="I5" s="3248" t="s">
        <v>2537</v>
      </c>
      <c r="J5" s="3249"/>
      <c r="K5" s="610"/>
      <c r="L5" s="1130"/>
      <c r="M5" s="1131"/>
      <c r="N5" s="1131"/>
      <c r="O5" s="1131"/>
      <c r="P5" s="3265"/>
      <c r="Q5" s="3236"/>
      <c r="R5" s="3241"/>
      <c r="S5" s="3242"/>
      <c r="T5" s="3241"/>
      <c r="U5" s="3242"/>
      <c r="V5" s="3245"/>
      <c r="W5" s="3245"/>
      <c r="X5" s="1813"/>
      <c r="Y5" s="3241"/>
      <c r="Z5" s="3242"/>
      <c r="AA5" s="3227"/>
      <c r="AB5" s="3227"/>
      <c r="AC5" s="3261"/>
    </row>
    <row r="6" spans="1:29" ht="15" thickBot="1">
      <c r="A6" s="406"/>
      <c r="B6" s="407"/>
      <c r="C6" s="3246" t="s">
        <v>2538</v>
      </c>
      <c r="D6" s="3247"/>
      <c r="E6" s="3253" t="s">
        <v>2538</v>
      </c>
      <c r="F6" s="3254"/>
      <c r="G6" s="3246" t="s">
        <v>2538</v>
      </c>
      <c r="H6" s="3247"/>
      <c r="I6" s="3246" t="s">
        <v>2538</v>
      </c>
      <c r="J6" s="3247"/>
      <c r="K6" s="610" t="s">
        <v>2539</v>
      </c>
      <c r="L6" s="1130"/>
      <c r="M6" s="1131"/>
      <c r="N6" s="1131"/>
      <c r="O6" s="1131"/>
      <c r="P6" s="3266"/>
      <c r="Q6" s="3238"/>
      <c r="R6" s="3241"/>
      <c r="S6" s="3242"/>
      <c r="T6" s="3243"/>
      <c r="U6" s="3244"/>
      <c r="V6" s="3245"/>
      <c r="W6" s="3245"/>
      <c r="X6" s="1813"/>
      <c r="Y6" s="3243"/>
      <c r="Z6" s="3244"/>
      <c r="AA6" s="3228"/>
      <c r="AB6" s="3228"/>
      <c r="AC6" s="3262"/>
    </row>
    <row r="7" spans="1:29" s="117" customFormat="1" ht="15" thickBot="1">
      <c r="A7" s="408" t="s">
        <v>2540</v>
      </c>
      <c r="B7" s="409"/>
      <c r="C7" s="410">
        <f>'数据-取费表'!B2</f>
        <v>43921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0" t="s">
        <v>2541</v>
      </c>
      <c r="Q7" s="3252"/>
      <c r="R7" s="770" t="s">
        <v>17</v>
      </c>
      <c r="S7" s="771">
        <f t="shared" ref="S7:S15" si="0">F7</f>
        <v>0</v>
      </c>
      <c r="T7" s="770" t="s">
        <v>17</v>
      </c>
      <c r="U7" s="771">
        <f t="shared" ref="U7:U15" si="1">H7</f>
        <v>0</v>
      </c>
      <c r="V7" s="770" t="s">
        <v>17</v>
      </c>
      <c r="W7" s="771">
        <f t="shared" ref="W7:W15" si="2">J7</f>
        <v>0</v>
      </c>
      <c r="X7" s="772"/>
      <c r="Y7" s="3250" t="s">
        <v>2541</v>
      </c>
      <c r="Z7" s="3251"/>
      <c r="AA7" s="773" t="e">
        <f>D7/F7</f>
        <v>#DIV/0!</v>
      </c>
      <c r="AB7" s="773" t="e">
        <f>D7/H7</f>
        <v>#DIV/0!</v>
      </c>
      <c r="AC7" s="2667" t="e">
        <f>D7/J7</f>
        <v>#DIV/0!</v>
      </c>
    </row>
    <row r="8" spans="1:29" s="117" customFormat="1" ht="1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0" t="s">
        <v>2544</v>
      </c>
      <c r="Q8" s="3251"/>
      <c r="R8" s="770" t="s">
        <v>17</v>
      </c>
      <c r="S8" s="771">
        <f t="shared" si="0"/>
        <v>0</v>
      </c>
      <c r="T8" s="770" t="s">
        <v>17</v>
      </c>
      <c r="U8" s="771">
        <f t="shared" si="1"/>
        <v>0</v>
      </c>
      <c r="V8" s="770" t="s">
        <v>17</v>
      </c>
      <c r="W8" s="771">
        <f t="shared" si="2"/>
        <v>0</v>
      </c>
      <c r="X8" s="772"/>
      <c r="Y8" s="3250" t="s">
        <v>2544</v>
      </c>
      <c r="Z8" s="3251"/>
      <c r="AA8" s="773" t="e">
        <f t="shared" ref="AA8:AA47" si="3">D8/F8</f>
        <v>#DIV/0!</v>
      </c>
      <c r="AB8" s="773" t="e">
        <f t="shared" ref="AB8:AB47" si="4">D8/H8</f>
        <v>#DIV/0!</v>
      </c>
      <c r="AC8" s="2667" t="e">
        <f t="shared" ref="AC8:AC47" si="5">D8/J8</f>
        <v>#DIV/0!</v>
      </c>
    </row>
    <row r="9" spans="1:29" s="117" customFormat="1" ht="14.4">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5" t="s">
        <v>2547</v>
      </c>
      <c r="Q9" s="1795"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2667">
        <f t="shared" si="5"/>
        <v>1</v>
      </c>
    </row>
    <row r="10" spans="1:29" s="427" customFormat="1" ht="28.8">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6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5"/>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25"/>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25"/>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67">
        <f t="shared" si="5"/>
        <v>1</v>
      </c>
    </row>
    <row r="14" spans="1:29" ht="15.6"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25"/>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67">
        <f t="shared" si="5"/>
        <v>1</v>
      </c>
    </row>
    <row r="15" spans="1:29" ht="69">
      <c r="A15" s="440" t="s">
        <v>2551</v>
      </c>
      <c r="B15" s="629" t="s">
        <v>2679</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2552</v>
      </c>
      <c r="Q15" s="1810" t="str">
        <f t="shared" si="6"/>
        <v>办公集聚程度</v>
      </c>
      <c r="R15" s="774" t="s">
        <v>17</v>
      </c>
      <c r="S15" s="775">
        <f t="shared" si="0"/>
        <v>100</v>
      </c>
      <c r="T15" s="774" t="s">
        <v>17</v>
      </c>
      <c r="U15" s="775">
        <f t="shared" si="1"/>
        <v>100</v>
      </c>
      <c r="V15" s="774" t="s">
        <v>17</v>
      </c>
      <c r="W15" s="775">
        <f t="shared" si="2"/>
        <v>100</v>
      </c>
      <c r="X15" s="1813"/>
      <c r="Y15" s="3216" t="s">
        <v>2552</v>
      </c>
      <c r="Z15" s="1814" t="str">
        <f t="shared" si="7"/>
        <v>办公集聚程度</v>
      </c>
      <c r="AA15" s="1811">
        <f t="shared" si="3"/>
        <v>1</v>
      </c>
      <c r="AB15" s="1811">
        <f t="shared" si="4"/>
        <v>1</v>
      </c>
      <c r="AC15" s="2670">
        <f t="shared" si="5"/>
        <v>1</v>
      </c>
    </row>
    <row r="16" spans="1:29" ht="15">
      <c r="A16" s="428"/>
      <c r="B16" s="630"/>
      <c r="C16" s="2607"/>
      <c r="D16" s="448"/>
      <c r="E16" s="447"/>
      <c r="F16" s="448"/>
      <c r="G16" s="2607"/>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2670">
        <v>1</v>
      </c>
    </row>
    <row r="17" spans="1:29" ht="82.8">
      <c r="A17" s="428"/>
      <c r="B17" s="631" t="s">
        <v>2090</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2670">
        <f t="shared" si="5"/>
        <v>1</v>
      </c>
    </row>
    <row r="18" spans="1:29" ht="15">
      <c r="A18" s="428"/>
      <c r="B18" s="632"/>
      <c r="C18" s="2672"/>
      <c r="D18" s="450"/>
      <c r="E18" s="2605"/>
      <c r="F18" s="450"/>
      <c r="G18" s="2606"/>
      <c r="H18" s="448"/>
      <c r="I18" s="2606"/>
      <c r="J18" s="448"/>
      <c r="K18" s="615"/>
      <c r="L18" s="1140"/>
      <c r="M18" s="1131"/>
      <c r="N18" s="1131"/>
      <c r="O18" s="1131"/>
      <c r="P18" s="3224"/>
      <c r="Q18" s="1810"/>
      <c r="R18" s="774"/>
      <c r="S18" s="775"/>
      <c r="T18" s="774"/>
      <c r="U18" s="775"/>
      <c r="V18" s="774"/>
      <c r="W18" s="775"/>
      <c r="X18" s="1813"/>
      <c r="Y18" s="3217"/>
      <c r="Z18" s="1814"/>
      <c r="AA18" s="1811">
        <v>1</v>
      </c>
      <c r="AB18" s="1811">
        <v>1</v>
      </c>
      <c r="AC18" s="2670">
        <v>1</v>
      </c>
    </row>
    <row r="19" spans="1:29" ht="41.4">
      <c r="A19" s="428"/>
      <c r="B19" s="631" t="s">
        <v>2680</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2670">
        <f t="shared" si="5"/>
        <v>1</v>
      </c>
    </row>
    <row r="20" spans="1:29" ht="15">
      <c r="A20" s="428"/>
      <c r="B20" s="632"/>
      <c r="C20" s="2607"/>
      <c r="D20" s="448"/>
      <c r="E20" s="2600"/>
      <c r="F20" s="448"/>
      <c r="G20" s="2601"/>
      <c r="H20" s="448"/>
      <c r="I20" s="2601"/>
      <c r="J20" s="448"/>
      <c r="K20" s="615"/>
      <c r="L20" s="1140"/>
      <c r="M20" s="1131"/>
      <c r="N20" s="1131"/>
      <c r="O20" s="1131"/>
      <c r="P20" s="3224"/>
      <c r="Q20" s="1810"/>
      <c r="R20" s="774"/>
      <c r="S20" s="775"/>
      <c r="T20" s="774"/>
      <c r="U20" s="775"/>
      <c r="V20" s="774"/>
      <c r="W20" s="775"/>
      <c r="X20" s="1813"/>
      <c r="Y20" s="3217"/>
      <c r="Z20" s="1814"/>
      <c r="AA20" s="1811">
        <v>1</v>
      </c>
      <c r="AB20" s="1811">
        <v>1</v>
      </c>
      <c r="AC20" s="2670">
        <v>1</v>
      </c>
    </row>
    <row r="21" spans="1:29" ht="27.6">
      <c r="A21" s="428"/>
      <c r="B21" s="633" t="s">
        <v>2681</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24"/>
      <c r="Q22" s="1810"/>
      <c r="R22" s="774"/>
      <c r="S22" s="775"/>
      <c r="T22" s="774"/>
      <c r="U22" s="775"/>
      <c r="V22" s="774"/>
      <c r="W22" s="775"/>
      <c r="X22" s="1813"/>
      <c r="Y22" s="3217"/>
      <c r="Z22" s="1814"/>
      <c r="AA22" s="1811">
        <v>1</v>
      </c>
      <c r="AB22" s="1811">
        <v>1</v>
      </c>
      <c r="AC22" s="2670">
        <v>1</v>
      </c>
    </row>
    <row r="23" spans="1:29" ht="55.2">
      <c r="A23" s="428"/>
      <c r="B23" s="631" t="s">
        <v>2682</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2670">
        <f t="shared" si="5"/>
        <v>1</v>
      </c>
    </row>
    <row r="24" spans="1:29" ht="15">
      <c r="A24" s="428"/>
      <c r="B24" s="633"/>
      <c r="C24" s="2607"/>
      <c r="D24" s="448"/>
      <c r="E24" s="2600"/>
      <c r="F24" s="448"/>
      <c r="G24" s="2601"/>
      <c r="H24" s="448"/>
      <c r="I24" s="2601"/>
      <c r="J24" s="448"/>
      <c r="K24" s="615"/>
      <c r="L24" s="1140"/>
      <c r="M24" s="1131"/>
      <c r="N24" s="1131"/>
      <c r="O24" s="1131"/>
      <c r="P24" s="3224"/>
      <c r="Q24" s="1810"/>
      <c r="R24" s="774"/>
      <c r="S24" s="775"/>
      <c r="T24" s="774"/>
      <c r="U24" s="775"/>
      <c r="V24" s="774"/>
      <c r="W24" s="775"/>
      <c r="X24" s="1813"/>
      <c r="Y24" s="3217"/>
      <c r="Z24" s="1814"/>
      <c r="AA24" s="1811">
        <v>1</v>
      </c>
      <c r="AB24" s="1811">
        <v>1</v>
      </c>
      <c r="AC24" s="2670">
        <v>1</v>
      </c>
    </row>
    <row r="25" spans="1:29" ht="28.8">
      <c r="A25" s="404"/>
      <c r="B25" s="631" t="s">
        <v>2683</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24"/>
      <c r="Q25" s="1810" t="str">
        <f>B25</f>
        <v>毗邻道路的类型与等级</v>
      </c>
      <c r="R25" s="774" t="s">
        <v>17</v>
      </c>
      <c r="S25" s="775">
        <f>F25</f>
        <v>100</v>
      </c>
      <c r="T25" s="774" t="s">
        <v>17</v>
      </c>
      <c r="U25" s="775">
        <f>H25</f>
        <v>100</v>
      </c>
      <c r="V25" s="774" t="s">
        <v>17</v>
      </c>
      <c r="W25" s="775">
        <f>J25</f>
        <v>100</v>
      </c>
      <c r="X25" s="1813"/>
      <c r="Y25" s="3217"/>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224"/>
      <c r="Q26" s="1810"/>
      <c r="R26" s="774"/>
      <c r="S26" s="775"/>
      <c r="T26" s="774"/>
      <c r="U26" s="775"/>
      <c r="V26" s="774"/>
      <c r="W26" s="775"/>
      <c r="X26" s="1813"/>
      <c r="Y26" s="3217"/>
      <c r="Z26" s="1814"/>
      <c r="AA26" s="1811">
        <v>1</v>
      </c>
      <c r="AB26" s="1811">
        <v>1</v>
      </c>
      <c r="AC26" s="267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10" t="str">
        <f t="shared" ref="Q27:Q47" si="11">B27</f>
        <v>楼层</v>
      </c>
      <c r="R27" s="774" t="s">
        <v>17</v>
      </c>
      <c r="S27" s="775">
        <f>F27</f>
        <v>100</v>
      </c>
      <c r="T27" s="774" t="s">
        <v>17</v>
      </c>
      <c r="U27" s="775">
        <f>H27</f>
        <v>100</v>
      </c>
      <c r="V27" s="774" t="s">
        <v>17</v>
      </c>
      <c r="W27" s="775">
        <f>J27</f>
        <v>100</v>
      </c>
      <c r="X27" s="1813"/>
      <c r="Y27" s="3217"/>
      <c r="Z27" s="1814" t="str">
        <f>Q27</f>
        <v>楼层</v>
      </c>
      <c r="AA27" s="1811">
        <f t="shared" si="3"/>
        <v>1</v>
      </c>
      <c r="AB27" s="1811">
        <f t="shared" si="4"/>
        <v>1</v>
      </c>
      <c r="AC27" s="2670">
        <f t="shared" si="5"/>
        <v>1</v>
      </c>
    </row>
    <row r="28" spans="1:29" s="117" customFormat="1" ht="15">
      <c r="A28" s="431"/>
      <c r="B28" s="631" t="s">
        <v>2684</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24"/>
      <c r="Q28" s="1795" t="str">
        <f t="shared" si="11"/>
        <v>朝向</v>
      </c>
      <c r="R28" s="770" t="s">
        <v>17</v>
      </c>
      <c r="S28" s="771">
        <f>F28</f>
        <v>100</v>
      </c>
      <c r="T28" s="770" t="s">
        <v>17</v>
      </c>
      <c r="U28" s="771">
        <f>H28</f>
        <v>100</v>
      </c>
      <c r="V28" s="770" t="s">
        <v>17</v>
      </c>
      <c r="W28" s="771">
        <f>J28</f>
        <v>100</v>
      </c>
      <c r="X28" s="772"/>
      <c r="Y28" s="3217"/>
      <c r="Z28" s="55" t="str">
        <f>Q28</f>
        <v>朝向</v>
      </c>
      <c r="AA28" s="1811">
        <f>D28/F28</f>
        <v>1</v>
      </c>
      <c r="AB28" s="181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24"/>
      <c r="Q29" s="1810">
        <f t="shared" si="11"/>
        <v>111</v>
      </c>
      <c r="R29" s="774" t="s">
        <v>17</v>
      </c>
      <c r="S29" s="775">
        <f t="shared" ref="S29:S47" si="12">F29</f>
        <v>100</v>
      </c>
      <c r="T29" s="774" t="s">
        <v>17</v>
      </c>
      <c r="U29" s="775">
        <f t="shared" ref="U29:U47" si="13">H29</f>
        <v>100</v>
      </c>
      <c r="V29" s="774" t="s">
        <v>17</v>
      </c>
      <c r="W29" s="775">
        <f t="shared" ref="W29:W47" si="14">J29</f>
        <v>100</v>
      </c>
      <c r="X29" s="1813"/>
      <c r="Y29" s="3217"/>
      <c r="Z29" s="1814">
        <f t="shared" ref="Z29:Z47" si="15">Q29</f>
        <v>111</v>
      </c>
      <c r="AA29" s="1811">
        <f t="shared" si="3"/>
        <v>1</v>
      </c>
      <c r="AB29" s="181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2670">
        <f t="shared" si="5"/>
        <v>1</v>
      </c>
    </row>
    <row r="32" spans="1:29" ht="15.6"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24"/>
      <c r="Q32" s="1810">
        <f t="shared" si="11"/>
        <v>111</v>
      </c>
      <c r="R32" s="774" t="s">
        <v>17</v>
      </c>
      <c r="S32" s="775">
        <f t="shared" si="12"/>
        <v>100</v>
      </c>
      <c r="T32" s="774" t="s">
        <v>17</v>
      </c>
      <c r="U32" s="775">
        <f t="shared" si="13"/>
        <v>100</v>
      </c>
      <c r="V32" s="774" t="s">
        <v>17</v>
      </c>
      <c r="W32" s="775">
        <f t="shared" si="14"/>
        <v>100</v>
      </c>
      <c r="X32" s="1813"/>
      <c r="Y32" s="3217"/>
      <c r="Z32" s="1814">
        <f t="shared" si="15"/>
        <v>111</v>
      </c>
      <c r="AA32" s="1811">
        <f t="shared" si="3"/>
        <v>1</v>
      </c>
      <c r="AB32" s="1811">
        <f t="shared" si="4"/>
        <v>1</v>
      </c>
      <c r="AC32" s="2670">
        <f t="shared" si="5"/>
        <v>1</v>
      </c>
    </row>
    <row r="33" spans="1:29" ht="15">
      <c r="A33" s="440" t="s">
        <v>2555</v>
      </c>
      <c r="B33" s="71" t="s">
        <v>2685</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18" t="s">
        <v>2557</v>
      </c>
      <c r="Q33" s="1810" t="str">
        <f t="shared" si="11"/>
        <v>建筑类型</v>
      </c>
      <c r="R33" s="774" t="s">
        <v>17</v>
      </c>
      <c r="S33" s="775">
        <f t="shared" si="12"/>
        <v>100</v>
      </c>
      <c r="T33" s="774" t="s">
        <v>17</v>
      </c>
      <c r="U33" s="775">
        <f t="shared" si="13"/>
        <v>100</v>
      </c>
      <c r="V33" s="774" t="s">
        <v>17</v>
      </c>
      <c r="W33" s="775">
        <f t="shared" si="14"/>
        <v>100</v>
      </c>
      <c r="X33" s="1813"/>
      <c r="Y33" s="3221" t="s">
        <v>2557</v>
      </c>
      <c r="Z33" s="1814" t="str">
        <f t="shared" si="15"/>
        <v>建筑类型</v>
      </c>
      <c r="AA33" s="1811">
        <f t="shared" si="3"/>
        <v>1</v>
      </c>
      <c r="AB33" s="1811">
        <f t="shared" si="4"/>
        <v>1</v>
      </c>
      <c r="AC33" s="267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11" t="e">
        <f t="shared" si="3"/>
        <v>#N/A</v>
      </c>
      <c r="AB34" s="1811" t="e">
        <f t="shared" si="4"/>
        <v>#N/A</v>
      </c>
      <c r="AC34" s="267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10" t="str">
        <f t="shared" si="11"/>
        <v>建筑结构</v>
      </c>
      <c r="R35" s="774" t="s">
        <v>17</v>
      </c>
      <c r="S35" s="775">
        <f t="shared" si="12"/>
        <v>100</v>
      </c>
      <c r="T35" s="774" t="s">
        <v>17</v>
      </c>
      <c r="U35" s="775">
        <f t="shared" si="13"/>
        <v>100</v>
      </c>
      <c r="V35" s="774" t="s">
        <v>17</v>
      </c>
      <c r="W35" s="775">
        <f t="shared" si="14"/>
        <v>100</v>
      </c>
      <c r="X35" s="1813"/>
      <c r="Y35" s="3221"/>
      <c r="Z35" s="1814" t="str">
        <f t="shared" si="15"/>
        <v>建筑结构</v>
      </c>
      <c r="AA35" s="1811">
        <f t="shared" si="3"/>
        <v>1</v>
      </c>
      <c r="AB35" s="1811">
        <f t="shared" si="4"/>
        <v>1</v>
      </c>
      <c r="AC35" s="267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10" t="str">
        <f t="shared" si="11"/>
        <v>公共部分装修</v>
      </c>
      <c r="R36" s="774" t="s">
        <v>17</v>
      </c>
      <c r="S36" s="775">
        <f t="shared" si="12"/>
        <v>100</v>
      </c>
      <c r="T36" s="774" t="s">
        <v>17</v>
      </c>
      <c r="U36" s="775">
        <f t="shared" si="13"/>
        <v>100</v>
      </c>
      <c r="V36" s="774" t="s">
        <v>17</v>
      </c>
      <c r="W36" s="775">
        <f t="shared" si="14"/>
        <v>100</v>
      </c>
      <c r="X36" s="1813"/>
      <c r="Y36" s="3221"/>
      <c r="Z36" s="1814" t="str">
        <f t="shared" si="15"/>
        <v>公共部分装修</v>
      </c>
      <c r="AA36" s="1811">
        <f t="shared" si="3"/>
        <v>1</v>
      </c>
      <c r="AB36" s="1811">
        <f t="shared" si="4"/>
        <v>1</v>
      </c>
      <c r="AC36" s="267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10" t="str">
        <f t="shared" si="11"/>
        <v>成新度</v>
      </c>
      <c r="R37" s="774" t="s">
        <v>17</v>
      </c>
      <c r="S37" s="775" t="e">
        <f t="shared" si="12"/>
        <v>#N/A</v>
      </c>
      <c r="T37" s="774" t="s">
        <v>17</v>
      </c>
      <c r="U37" s="775" t="e">
        <f t="shared" si="13"/>
        <v>#N/A</v>
      </c>
      <c r="V37" s="774" t="s">
        <v>17</v>
      </c>
      <c r="W37" s="775" t="e">
        <f t="shared" si="14"/>
        <v>#N/A</v>
      </c>
      <c r="X37" s="1813"/>
      <c r="Y37" s="3221"/>
      <c r="Z37" s="1814" t="str">
        <f t="shared" si="15"/>
        <v>成新度</v>
      </c>
      <c r="AA37" s="1811" t="e">
        <f t="shared" si="3"/>
        <v>#N/A</v>
      </c>
      <c r="AB37" s="1811" t="e">
        <f t="shared" si="4"/>
        <v>#N/A</v>
      </c>
      <c r="AC37" s="267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5"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6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2557</v>
      </c>
      <c r="Q39" s="1810" t="str">
        <f t="shared" si="11"/>
        <v>物业管理</v>
      </c>
      <c r="R39" s="774" t="s">
        <v>17</v>
      </c>
      <c r="S39" s="775">
        <f t="shared" si="12"/>
        <v>100</v>
      </c>
      <c r="T39" s="774" t="s">
        <v>17</v>
      </c>
      <c r="U39" s="775">
        <f t="shared" si="13"/>
        <v>100</v>
      </c>
      <c r="V39" s="774" t="s">
        <v>17</v>
      </c>
      <c r="W39" s="775">
        <f t="shared" si="14"/>
        <v>100</v>
      </c>
      <c r="X39" s="1813"/>
      <c r="Y39" s="3221" t="s">
        <v>2557</v>
      </c>
      <c r="Z39" s="1814" t="str">
        <f t="shared" si="15"/>
        <v>物业管理</v>
      </c>
      <c r="AA39" s="1811">
        <f t="shared" si="3"/>
        <v>1</v>
      </c>
      <c r="AB39" s="1811">
        <f t="shared" si="4"/>
        <v>1</v>
      </c>
      <c r="AC39" s="267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10" t="str">
        <f t="shared" si="11"/>
        <v>市政基础设施</v>
      </c>
      <c r="R40" s="774" t="s">
        <v>17</v>
      </c>
      <c r="S40" s="775">
        <f t="shared" si="12"/>
        <v>100</v>
      </c>
      <c r="T40" s="774" t="s">
        <v>17</v>
      </c>
      <c r="U40" s="775">
        <f t="shared" si="13"/>
        <v>100</v>
      </c>
      <c r="V40" s="774" t="s">
        <v>17</v>
      </c>
      <c r="W40" s="775">
        <f t="shared" si="14"/>
        <v>100</v>
      </c>
      <c r="X40" s="1813"/>
      <c r="Y40" s="3221"/>
      <c r="Z40" s="1814" t="str">
        <f t="shared" si="15"/>
        <v>市政基础设施</v>
      </c>
      <c r="AA40" s="1811">
        <f t="shared" si="3"/>
        <v>1</v>
      </c>
      <c r="AB40" s="1811">
        <f t="shared" si="4"/>
        <v>1</v>
      </c>
      <c r="AC40" s="267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10" t="str">
        <f t="shared" si="11"/>
        <v>层高</v>
      </c>
      <c r="R41" s="774" t="s">
        <v>17</v>
      </c>
      <c r="S41" s="775">
        <f t="shared" si="12"/>
        <v>100</v>
      </c>
      <c r="T41" s="774" t="s">
        <v>17</v>
      </c>
      <c r="U41" s="775">
        <f t="shared" si="13"/>
        <v>100</v>
      </c>
      <c r="V41" s="774" t="s">
        <v>17</v>
      </c>
      <c r="W41" s="775">
        <f t="shared" si="14"/>
        <v>100</v>
      </c>
      <c r="X41" s="1813"/>
      <c r="Y41" s="3221"/>
      <c r="Z41" s="1814" t="str">
        <f t="shared" si="15"/>
        <v>层高</v>
      </c>
      <c r="AA41" s="1811">
        <f t="shared" si="3"/>
        <v>1</v>
      </c>
      <c r="AB41" s="1811">
        <f t="shared" si="4"/>
        <v>1</v>
      </c>
      <c r="AC41" s="2670">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1">
        <f t="shared" si="3"/>
        <v>1</v>
      </c>
      <c r="AB42" s="1811">
        <f t="shared" si="4"/>
        <v>1</v>
      </c>
      <c r="AC42" s="267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10" t="str">
        <f t="shared" si="11"/>
        <v>内部装修</v>
      </c>
      <c r="R43" s="774" t="s">
        <v>17</v>
      </c>
      <c r="S43" s="775">
        <f t="shared" si="12"/>
        <v>100</v>
      </c>
      <c r="T43" s="774" t="s">
        <v>17</v>
      </c>
      <c r="U43" s="775">
        <f t="shared" si="13"/>
        <v>100</v>
      </c>
      <c r="V43" s="774" t="s">
        <v>17</v>
      </c>
      <c r="W43" s="775">
        <f t="shared" si="14"/>
        <v>100</v>
      </c>
      <c r="X43" s="1813"/>
      <c r="Y43" s="3221"/>
      <c r="Z43" s="1814" t="str">
        <f t="shared" si="15"/>
        <v>内部装修</v>
      </c>
      <c r="AA43" s="1811">
        <f t="shared" si="3"/>
        <v>1</v>
      </c>
      <c r="AB43" s="1811">
        <f t="shared" si="4"/>
        <v>1</v>
      </c>
      <c r="AC43" s="2670">
        <f t="shared" si="5"/>
        <v>1</v>
      </c>
    </row>
    <row r="44" spans="1:29" ht="28.8">
      <c r="A44" s="472"/>
      <c r="B44" s="422" t="s">
        <v>2568</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19"/>
      <c r="Q44" s="1810" t="str">
        <f t="shared" si="11"/>
        <v>内部装修维护情况</v>
      </c>
      <c r="R44" s="774" t="s">
        <v>17</v>
      </c>
      <c r="S44" s="775">
        <f t="shared" si="12"/>
        <v>100</v>
      </c>
      <c r="T44" s="774" t="s">
        <v>17</v>
      </c>
      <c r="U44" s="775">
        <f t="shared" si="13"/>
        <v>100</v>
      </c>
      <c r="V44" s="774" t="s">
        <v>17</v>
      </c>
      <c r="W44" s="775">
        <f t="shared" si="14"/>
        <v>100</v>
      </c>
      <c r="X44" s="1813"/>
      <c r="Y44" s="3221"/>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5">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2670">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10">
        <f t="shared" si="11"/>
        <v>111</v>
      </c>
      <c r="R47" s="774" t="s">
        <v>17</v>
      </c>
      <c r="S47" s="775">
        <f t="shared" si="12"/>
        <v>100</v>
      </c>
      <c r="T47" s="774" t="s">
        <v>17</v>
      </c>
      <c r="U47" s="775">
        <f t="shared" si="13"/>
        <v>100</v>
      </c>
      <c r="V47" s="774" t="s">
        <v>17</v>
      </c>
      <c r="W47" s="775">
        <f t="shared" si="14"/>
        <v>100</v>
      </c>
      <c r="X47" s="1813"/>
      <c r="Y47" s="3222"/>
      <c r="Z47" s="1814">
        <f t="shared" si="15"/>
        <v>111</v>
      </c>
      <c r="AA47" s="1811">
        <f t="shared" si="3"/>
        <v>1</v>
      </c>
      <c r="AB47" s="1811">
        <f t="shared" si="4"/>
        <v>1</v>
      </c>
      <c r="AC47" s="2670">
        <f t="shared" si="5"/>
        <v>1</v>
      </c>
    </row>
    <row r="48" spans="1:29" ht="14.4">
      <c r="A48" s="479" t="s">
        <v>2569</v>
      </c>
      <c r="B48" s="480"/>
      <c r="C48" s="1407" t="s">
        <v>1</v>
      </c>
      <c r="D48" s="1408"/>
      <c r="E48" s="1409"/>
      <c r="F48" s="1410"/>
      <c r="G48" s="1411"/>
      <c r="H48" s="1412"/>
      <c r="I48" s="1409"/>
      <c r="J48" s="485"/>
      <c r="K48" s="783"/>
      <c r="L48" s="1143"/>
      <c r="M48" s="1131"/>
      <c r="N48" s="1131"/>
      <c r="O48" s="1131"/>
      <c r="P48" s="3225" t="str">
        <f>A48</f>
        <v>成交单价（元/平方米）</v>
      </c>
      <c r="Q48" s="3214"/>
      <c r="R48" s="3215">
        <f>E48</f>
        <v>0</v>
      </c>
      <c r="S48" s="3215"/>
      <c r="T48" s="3215">
        <f>G48</f>
        <v>0</v>
      </c>
      <c r="U48" s="3215"/>
      <c r="V48" s="3215">
        <f>I48</f>
        <v>0</v>
      </c>
      <c r="W48" s="3215"/>
      <c r="X48" s="446"/>
      <c r="Y48" s="781"/>
      <c r="Z48" s="446"/>
      <c r="AA48" s="446"/>
      <c r="AB48" s="446"/>
      <c r="AC48" s="630"/>
    </row>
    <row r="49" spans="1:29" ht="1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225"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 thickBot="1">
      <c r="A50" s="492" t="s">
        <v>2662</v>
      </c>
      <c r="B50" s="493"/>
      <c r="C50" s="1417" t="e">
        <f>R50</f>
        <v>#DIV/0!</v>
      </c>
      <c r="D50" s="1417"/>
      <c r="E50" s="1417"/>
      <c r="F50" s="1417"/>
      <c r="G50" s="1417"/>
      <c r="H50" s="1417"/>
      <c r="I50" s="1417"/>
      <c r="J50" s="494"/>
      <c r="K50" s="785"/>
      <c r="L50" s="1143"/>
      <c r="M50" s="1131"/>
      <c r="N50" s="1131"/>
      <c r="O50" s="1131"/>
      <c r="P50" s="3257" t="str">
        <f>A50</f>
        <v>估价对象XX用房的比较价值（楼面单价，元/平方米）</v>
      </c>
      <c r="Q50" s="3258"/>
      <c r="R50" s="3259" t="e">
        <f>IF(F1="售价",ROUND(AVERAGE(R49:V49),0),ROUND(AVERAGE(R49:V49),1))</f>
        <v>#DIV/0!</v>
      </c>
      <c r="S50" s="3259"/>
      <c r="T50" s="3259"/>
      <c r="U50" s="3259"/>
      <c r="V50" s="3259"/>
      <c r="W50" s="3259"/>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2.2" thickBot="1">
      <c r="A58" s="763" t="s">
        <v>2666</v>
      </c>
      <c r="B58" s="759"/>
      <c r="C58" s="764"/>
      <c r="D58" s="764"/>
      <c r="E58" s="764"/>
      <c r="F58" s="765"/>
      <c r="G58" s="765"/>
      <c r="H58" s="764"/>
      <c r="I58" s="764"/>
      <c r="J58" s="764"/>
      <c r="K58" s="766"/>
      <c r="L58" s="1161"/>
      <c r="M58" s="1159"/>
      <c r="N58" s="1159"/>
      <c r="O58" s="1159"/>
      <c r="P58" s="2677"/>
      <c r="Q58" s="504"/>
    </row>
    <row r="59" spans="1:29" s="508" customFormat="1" ht="14.4">
      <c r="A59" s="505" t="s">
        <v>2540</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c r="A60" s="509"/>
      <c r="B60" s="510"/>
      <c r="C60" s="1573">
        <v>100</v>
      </c>
      <c r="D60" s="512"/>
      <c r="E60" s="512"/>
      <c r="F60" s="512"/>
      <c r="G60" s="512"/>
      <c r="H60" s="512"/>
      <c r="I60" s="512"/>
      <c r="J60" s="512"/>
      <c r="K60" s="512"/>
      <c r="L60" s="512"/>
      <c r="M60" s="513"/>
      <c r="N60" s="512"/>
      <c r="O60" s="513"/>
      <c r="P60" s="2678"/>
    </row>
    <row r="61" spans="1:29" s="117" customFormat="1" ht="15" thickBot="1">
      <c r="A61" s="515" t="s">
        <v>2577</v>
      </c>
      <c r="B61" s="516"/>
      <c r="C61" s="517"/>
      <c r="D61" s="518"/>
      <c r="E61" s="518"/>
      <c r="F61" s="518"/>
      <c r="G61" s="518"/>
      <c r="H61" s="518"/>
      <c r="I61" s="518"/>
      <c r="J61" s="518"/>
      <c r="K61" s="518"/>
      <c r="L61" s="518"/>
      <c r="M61" s="519"/>
      <c r="N61" s="518"/>
      <c r="O61" s="519"/>
      <c r="P61" s="2678"/>
      <c r="Q61" s="504"/>
    </row>
    <row r="62" spans="1:29" s="117" customFormat="1" ht="14.4">
      <c r="A62" s="521" t="s">
        <v>2542</v>
      </c>
      <c r="B62" s="510"/>
      <c r="C62" s="522" t="s">
        <v>2644</v>
      </c>
      <c r="D62" s="523"/>
      <c r="E62" s="523"/>
      <c r="F62" s="523"/>
      <c r="G62" s="523"/>
      <c r="H62" s="523"/>
      <c r="I62" s="523"/>
      <c r="J62" s="523"/>
      <c r="K62" s="523"/>
      <c r="L62" s="524"/>
      <c r="M62" s="525"/>
      <c r="N62" s="1151"/>
      <c r="O62" s="1151"/>
      <c r="P62" s="2679"/>
      <c r="Q62" s="504"/>
    </row>
    <row r="63" spans="1:29" s="117" customFormat="1" ht="14.4" thickBot="1">
      <c r="A63" s="521"/>
      <c r="B63" s="510"/>
      <c r="C63" s="511">
        <v>100</v>
      </c>
      <c r="D63" s="512"/>
      <c r="E63" s="512"/>
      <c r="F63" s="512"/>
      <c r="G63" s="512"/>
      <c r="H63" s="512"/>
      <c r="I63" s="512"/>
      <c r="J63" s="512"/>
      <c r="K63" s="512"/>
      <c r="L63" s="512"/>
      <c r="M63" s="514"/>
      <c r="N63" s="1151"/>
      <c r="O63" s="1151"/>
      <c r="P63" s="2678"/>
      <c r="Q63" s="504"/>
    </row>
    <row r="64" spans="1:29" ht="14.4">
      <c r="A64" s="527" t="s">
        <v>2580</v>
      </c>
      <c r="B64" s="528" t="s">
        <v>2546</v>
      </c>
      <c r="C64" s="529">
        <f>C9</f>
        <v>0</v>
      </c>
      <c r="D64" s="530"/>
      <c r="E64" s="530"/>
      <c r="F64" s="530"/>
      <c r="G64" s="530"/>
      <c r="H64" s="530"/>
      <c r="I64" s="530"/>
      <c r="J64" s="530"/>
      <c r="K64" s="531"/>
      <c r="L64" s="532"/>
      <c r="M64" s="533"/>
      <c r="N64" s="1152"/>
      <c r="O64" s="1152"/>
      <c r="P64" s="2680"/>
      <c r="Q64" s="504"/>
    </row>
    <row r="65" spans="1:17" ht="14.4" thickBot="1">
      <c r="A65" s="534"/>
      <c r="B65" s="535"/>
      <c r="C65" s="536">
        <v>100</v>
      </c>
      <c r="D65" s="536"/>
      <c r="E65" s="536"/>
      <c r="F65" s="536"/>
      <c r="G65" s="536"/>
      <c r="H65" s="536"/>
      <c r="I65" s="536"/>
      <c r="J65" s="536"/>
      <c r="K65" s="536"/>
      <c r="L65" s="536"/>
      <c r="M65" s="537"/>
      <c r="N65" s="1153"/>
      <c r="O65" s="1153"/>
      <c r="P65" s="2680"/>
      <c r="Q65" s="504"/>
    </row>
    <row r="66" spans="1:17" ht="29.4"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0"/>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c r="A69" s="534"/>
      <c r="B69" s="548"/>
      <c r="C69" s="549"/>
      <c r="D69" s="549"/>
      <c r="E69" s="549"/>
      <c r="F69" s="549"/>
      <c r="G69" s="549"/>
      <c r="H69" s="549"/>
      <c r="I69" s="549"/>
      <c r="J69" s="549"/>
      <c r="K69" s="550"/>
      <c r="L69" s="551"/>
      <c r="M69" s="552"/>
      <c r="N69" s="1152"/>
      <c r="O69" s="1152"/>
      <c r="P69" s="2680"/>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4.4" thickTop="1">
      <c r="A71" s="553"/>
      <c r="B71" s="538">
        <f>B12</f>
        <v>111</v>
      </c>
      <c r="C71" s="554"/>
      <c r="D71" s="554"/>
      <c r="E71" s="554"/>
      <c r="F71" s="554"/>
      <c r="G71" s="554"/>
      <c r="H71" s="555"/>
      <c r="I71" s="555"/>
      <c r="J71" s="555"/>
      <c r="K71" s="555"/>
      <c r="L71" s="556"/>
      <c r="M71" s="557"/>
      <c r="N71" s="1154"/>
      <c r="O71" s="1154"/>
      <c r="P71" s="2681"/>
      <c r="Q71" s="559"/>
    </row>
    <row r="72" spans="1:17" s="471" customFormat="1" ht="14.4" thickBot="1">
      <c r="A72" s="553"/>
      <c r="B72" s="543"/>
      <c r="C72" s="560"/>
      <c r="D72" s="536"/>
      <c r="E72" s="536"/>
      <c r="F72" s="536"/>
      <c r="G72" s="536"/>
      <c r="H72" s="536"/>
      <c r="I72" s="536"/>
      <c r="J72" s="536"/>
      <c r="K72" s="536"/>
      <c r="L72" s="536"/>
      <c r="M72" s="537"/>
      <c r="N72" s="1153"/>
      <c r="O72" s="1153"/>
      <c r="P72" s="2681"/>
      <c r="Q72" s="559"/>
    </row>
    <row r="73" spans="1:17" s="471" customFormat="1" ht="14.4" thickTop="1">
      <c r="A73" s="553"/>
      <c r="B73" s="538">
        <f>B13</f>
        <v>111</v>
      </c>
      <c r="C73" s="554"/>
      <c r="D73" s="554"/>
      <c r="E73" s="554"/>
      <c r="F73" s="554"/>
      <c r="G73" s="554"/>
      <c r="H73" s="555"/>
      <c r="I73" s="555"/>
      <c r="J73" s="555"/>
      <c r="K73" s="555"/>
      <c r="L73" s="556"/>
      <c r="M73" s="557"/>
      <c r="N73" s="1154"/>
      <c r="O73" s="1154"/>
      <c r="P73" s="2682"/>
      <c r="Q73" s="561"/>
    </row>
    <row r="74" spans="1:17" s="471" customFormat="1" ht="14.4" thickBot="1">
      <c r="A74" s="553"/>
      <c r="B74" s="543"/>
      <c r="C74" s="560"/>
      <c r="D74" s="560"/>
      <c r="E74" s="560"/>
      <c r="F74" s="560"/>
      <c r="G74" s="560"/>
      <c r="H74" s="562"/>
      <c r="I74" s="562"/>
      <c r="J74" s="562"/>
      <c r="K74" s="562"/>
      <c r="L74" s="562"/>
      <c r="M74" s="563"/>
      <c r="N74" s="1154"/>
      <c r="O74" s="1154"/>
      <c r="P74" s="2681"/>
      <c r="Q74" s="559"/>
    </row>
    <row r="75" spans="1:17" s="471" customFormat="1" ht="14.4" thickTop="1">
      <c r="A75" s="553"/>
      <c r="B75" s="546">
        <f>B14</f>
        <v>111</v>
      </c>
      <c r="C75" s="523"/>
      <c r="D75" s="523"/>
      <c r="E75" s="523"/>
      <c r="F75" s="523"/>
      <c r="G75" s="523"/>
      <c r="H75" s="564"/>
      <c r="I75" s="564"/>
      <c r="J75" s="564"/>
      <c r="K75" s="564"/>
      <c r="L75" s="565"/>
      <c r="M75" s="566"/>
      <c r="N75" s="1154"/>
      <c r="O75" s="1154"/>
      <c r="P75" s="2683"/>
      <c r="Q75" s="559"/>
    </row>
    <row r="76" spans="1:17" s="471" customFormat="1" ht="14.4" thickBot="1">
      <c r="A76" s="568"/>
      <c r="B76" s="569"/>
      <c r="C76" s="570"/>
      <c r="D76" s="570"/>
      <c r="E76" s="570"/>
      <c r="F76" s="570"/>
      <c r="G76" s="570"/>
      <c r="H76" s="571"/>
      <c r="I76" s="571"/>
      <c r="J76" s="571"/>
      <c r="K76" s="571"/>
      <c r="L76" s="571"/>
      <c r="M76" s="572"/>
      <c r="N76" s="1154"/>
      <c r="O76" s="1154"/>
      <c r="P76" s="2681"/>
      <c r="Q76" s="559"/>
    </row>
    <row r="77" spans="1:17" ht="14.4">
      <c r="A77" s="527" t="s">
        <v>2551</v>
      </c>
      <c r="B77" s="528" t="s">
        <v>2689</v>
      </c>
      <c r="C77" s="573" t="s">
        <v>2589</v>
      </c>
      <c r="D77" s="573" t="s">
        <v>2590</v>
      </c>
      <c r="E77" s="573" t="s">
        <v>2591</v>
      </c>
      <c r="F77" s="573" t="s">
        <v>2592</v>
      </c>
      <c r="G77" s="573" t="s">
        <v>2593</v>
      </c>
      <c r="H77" s="529"/>
      <c r="I77" s="529"/>
      <c r="J77" s="529"/>
      <c r="K77" s="574"/>
      <c r="L77" s="575"/>
      <c r="M77" s="576"/>
      <c r="N77" s="1152"/>
      <c r="O77" s="1152"/>
      <c r="P77" s="2684"/>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 thickTop="1">
      <c r="A79" s="534"/>
      <c r="B79" s="538" t="s">
        <v>2594</v>
      </c>
      <c r="C79" s="578" t="s">
        <v>2589</v>
      </c>
      <c r="D79" s="578" t="s">
        <v>2590</v>
      </c>
      <c r="E79" s="578" t="s">
        <v>2591</v>
      </c>
      <c r="F79" s="578" t="s">
        <v>2592</v>
      </c>
      <c r="G79" s="578" t="s">
        <v>2593</v>
      </c>
      <c r="H79" s="539"/>
      <c r="I79" s="539"/>
      <c r="J79" s="539"/>
      <c r="K79" s="540"/>
      <c r="L79" s="541"/>
      <c r="M79" s="542"/>
      <c r="N79" s="1152"/>
      <c r="O79" s="1152"/>
      <c r="P79" s="2680"/>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 thickTop="1">
      <c r="A81" s="534"/>
      <c r="B81" s="538" t="s">
        <v>2595</v>
      </c>
      <c r="C81" s="578" t="s">
        <v>2589</v>
      </c>
      <c r="D81" s="578" t="s">
        <v>2590</v>
      </c>
      <c r="E81" s="578" t="s">
        <v>2591</v>
      </c>
      <c r="F81" s="578" t="s">
        <v>2592</v>
      </c>
      <c r="G81" s="578" t="s">
        <v>2593</v>
      </c>
      <c r="H81" s="539"/>
      <c r="I81" s="539"/>
      <c r="J81" s="539"/>
      <c r="K81" s="540"/>
      <c r="L81" s="541"/>
      <c r="M81" s="542"/>
      <c r="N81" s="1152"/>
      <c r="O81" s="1152"/>
      <c r="P81" s="2680"/>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 thickTop="1">
      <c r="A83" s="534"/>
      <c r="B83" s="546" t="s">
        <v>2681</v>
      </c>
      <c r="C83" s="660" t="s">
        <v>2667</v>
      </c>
      <c r="D83" s="660" t="s">
        <v>2668</v>
      </c>
      <c r="E83" s="660" t="s">
        <v>2669</v>
      </c>
      <c r="F83" s="660" t="s">
        <v>2670</v>
      </c>
      <c r="G83" s="660" t="s">
        <v>2671</v>
      </c>
      <c r="H83" s="539"/>
      <c r="I83" s="539"/>
      <c r="J83" s="539"/>
      <c r="K83" s="539"/>
      <c r="L83" s="539"/>
      <c r="M83" s="1382"/>
      <c r="N83" s="1153"/>
      <c r="O83" s="1153"/>
      <c r="P83" s="2680"/>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 thickTop="1">
      <c r="A85" s="534"/>
      <c r="B85" s="538" t="s">
        <v>2690</v>
      </c>
      <c r="C85" s="578" t="s">
        <v>2589</v>
      </c>
      <c r="D85" s="578" t="s">
        <v>2590</v>
      </c>
      <c r="E85" s="578" t="s">
        <v>2591</v>
      </c>
      <c r="F85" s="578" t="s">
        <v>2592</v>
      </c>
      <c r="G85" s="578" t="s">
        <v>2593</v>
      </c>
      <c r="H85" s="539"/>
      <c r="I85" s="539"/>
      <c r="J85" s="539"/>
      <c r="K85" s="540"/>
      <c r="L85" s="541"/>
      <c r="M85" s="542"/>
      <c r="N85" s="1152"/>
      <c r="O85" s="1152"/>
      <c r="P85" s="2680"/>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9.4" thickTop="1">
      <c r="A87" s="579"/>
      <c r="B87" s="538" t="s">
        <v>2691</v>
      </c>
      <c r="C87" s="554"/>
      <c r="D87" s="554"/>
      <c r="E87" s="554"/>
      <c r="F87" s="554"/>
      <c r="G87" s="554"/>
      <c r="H87" s="554"/>
      <c r="I87" s="554"/>
      <c r="J87" s="554"/>
      <c r="K87" s="554"/>
      <c r="L87" s="580"/>
      <c r="M87" s="581"/>
      <c r="N87" s="1151"/>
      <c r="O87" s="1151"/>
      <c r="P87" s="2680"/>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4.4"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4.4" thickTop="1">
      <c r="A93" s="534"/>
      <c r="B93" s="538">
        <f>B29</f>
        <v>111</v>
      </c>
      <c r="C93" s="554"/>
      <c r="D93" s="554"/>
      <c r="E93" s="554"/>
      <c r="F93" s="554"/>
      <c r="G93" s="554"/>
      <c r="H93" s="554"/>
      <c r="I93" s="554"/>
      <c r="J93" s="554"/>
      <c r="K93" s="554"/>
      <c r="L93" s="580"/>
      <c r="M93" s="581"/>
      <c r="N93" s="1152"/>
      <c r="O93" s="1152"/>
      <c r="P93" s="2680"/>
      <c r="Q93" s="504"/>
    </row>
    <row r="94" spans="1:17" ht="14.4" thickBot="1">
      <c r="A94" s="534"/>
      <c r="B94" s="543"/>
      <c r="C94" s="560"/>
      <c r="D94" s="536"/>
      <c r="E94" s="536"/>
      <c r="F94" s="536"/>
      <c r="G94" s="536"/>
      <c r="H94" s="536"/>
      <c r="I94" s="536"/>
      <c r="J94" s="536"/>
      <c r="K94" s="536"/>
      <c r="L94" s="536"/>
      <c r="M94" s="537"/>
      <c r="N94" s="1153"/>
      <c r="O94" s="1153"/>
      <c r="P94" s="2680"/>
      <c r="Q94" s="504"/>
    </row>
    <row r="95" spans="1:17" ht="14.4" thickTop="1">
      <c r="A95" s="534"/>
      <c r="B95" s="538">
        <f>B30</f>
        <v>111</v>
      </c>
      <c r="C95" s="554"/>
      <c r="D95" s="554"/>
      <c r="E95" s="554"/>
      <c r="F95" s="554"/>
      <c r="G95" s="583"/>
      <c r="H95" s="583"/>
      <c r="I95" s="583"/>
      <c r="J95" s="583"/>
      <c r="K95" s="584"/>
      <c r="L95" s="585"/>
      <c r="M95" s="586"/>
      <c r="N95" s="1152"/>
      <c r="O95" s="1152"/>
      <c r="P95" s="2680"/>
      <c r="Q95" s="504"/>
    </row>
    <row r="96" spans="1:17" ht="14.4" thickBot="1">
      <c r="A96" s="534"/>
      <c r="B96" s="543"/>
      <c r="C96" s="560"/>
      <c r="D96" s="560"/>
      <c r="E96" s="560"/>
      <c r="F96" s="560"/>
      <c r="G96" s="536"/>
      <c r="H96" s="536"/>
      <c r="I96" s="536"/>
      <c r="J96" s="536"/>
      <c r="K96" s="536"/>
      <c r="L96" s="536"/>
      <c r="M96" s="537"/>
      <c r="N96" s="1153"/>
      <c r="O96" s="1153"/>
      <c r="P96" s="2680"/>
      <c r="Q96" s="504"/>
    </row>
    <row r="97" spans="1:17" ht="14.4" thickTop="1">
      <c r="A97" s="534"/>
      <c r="B97" s="538">
        <f>B31</f>
        <v>111</v>
      </c>
      <c r="C97" s="554"/>
      <c r="D97" s="554"/>
      <c r="E97" s="554"/>
      <c r="F97" s="554"/>
      <c r="G97" s="583"/>
      <c r="H97" s="583"/>
      <c r="I97" s="583"/>
      <c r="J97" s="583"/>
      <c r="K97" s="584"/>
      <c r="L97" s="585"/>
      <c r="M97" s="586"/>
      <c r="N97" s="1152"/>
      <c r="O97" s="1152"/>
      <c r="P97" s="2680"/>
      <c r="Q97" s="504"/>
    </row>
    <row r="98" spans="1:17" ht="14.4" thickBot="1">
      <c r="A98" s="534"/>
      <c r="B98" s="543"/>
      <c r="C98" s="560"/>
      <c r="D98" s="536"/>
      <c r="E98" s="536"/>
      <c r="F98" s="536"/>
      <c r="G98" s="536"/>
      <c r="H98" s="536"/>
      <c r="I98" s="536"/>
      <c r="J98" s="536"/>
      <c r="K98" s="536"/>
      <c r="L98" s="536"/>
      <c r="M98" s="537"/>
      <c r="N98" s="1153"/>
      <c r="O98" s="1153"/>
      <c r="P98" s="2680"/>
      <c r="Q98" s="504"/>
    </row>
    <row r="99" spans="1:17" ht="14.4" thickTop="1">
      <c r="A99" s="534"/>
      <c r="B99" s="546">
        <f>B32</f>
        <v>111</v>
      </c>
      <c r="C99" s="523"/>
      <c r="D99" s="523"/>
      <c r="E99" s="523"/>
      <c r="F99" s="523"/>
      <c r="G99" s="587"/>
      <c r="H99" s="587"/>
      <c r="I99" s="587"/>
      <c r="J99" s="587"/>
      <c r="K99" s="588"/>
      <c r="L99" s="589"/>
      <c r="M99" s="590"/>
      <c r="N99" s="1152"/>
      <c r="O99" s="1152"/>
      <c r="P99" s="2680"/>
      <c r="Q99" s="504"/>
    </row>
    <row r="100" spans="1:17" ht="14.4" thickBot="1">
      <c r="A100" s="2632"/>
      <c r="B100" s="569"/>
      <c r="C100" s="570"/>
      <c r="D100" s="570"/>
      <c r="E100" s="570"/>
      <c r="F100" s="570"/>
      <c r="G100" s="591"/>
      <c r="H100" s="591"/>
      <c r="I100" s="591"/>
      <c r="J100" s="591"/>
      <c r="K100" s="591"/>
      <c r="L100" s="591"/>
      <c r="M100" s="592"/>
      <c r="N100" s="1153"/>
      <c r="O100" s="1153"/>
      <c r="P100" s="2680"/>
      <c r="Q100" s="504"/>
    </row>
    <row r="101" spans="1:17" ht="14.4">
      <c r="A101" s="527" t="s">
        <v>2555</v>
      </c>
      <c r="B101" s="528" t="s">
        <v>2604</v>
      </c>
      <c r="C101" s="530"/>
      <c r="D101" s="530"/>
      <c r="E101" s="530"/>
      <c r="F101" s="530"/>
      <c r="G101" s="530"/>
      <c r="H101" s="530"/>
      <c r="I101" s="530"/>
      <c r="J101" s="530"/>
      <c r="K101" s="531"/>
      <c r="L101" s="532"/>
      <c r="M101" s="533"/>
      <c r="N101" s="1152"/>
      <c r="O101" s="1152"/>
      <c r="P101" s="2680"/>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2606</v>
      </c>
      <c r="C106" s="554"/>
      <c r="D106" s="554"/>
      <c r="E106" s="583"/>
      <c r="F106" s="583"/>
      <c r="G106" s="583"/>
      <c r="H106" s="583"/>
      <c r="I106" s="583"/>
      <c r="J106" s="583"/>
      <c r="K106" s="584"/>
      <c r="L106" s="585"/>
      <c r="M106" s="586"/>
      <c r="N106" s="1152"/>
      <c r="O106" s="1152"/>
      <c r="P106" s="2680"/>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2608</v>
      </c>
      <c r="C108" s="554"/>
      <c r="D108" s="554"/>
      <c r="E108" s="554"/>
      <c r="F108" s="583"/>
      <c r="G108" s="583"/>
      <c r="H108" s="583"/>
      <c r="I108" s="583"/>
      <c r="J108" s="583"/>
      <c r="K108" s="584"/>
      <c r="L108" s="585"/>
      <c r="M108" s="586"/>
      <c r="N108" s="1152"/>
      <c r="O108" s="1152"/>
      <c r="P108" s="2680"/>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1"/>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2609</v>
      </c>
      <c r="C115" s="554"/>
      <c r="D115" s="554"/>
      <c r="E115" s="583"/>
      <c r="F115" s="583"/>
      <c r="G115" s="583"/>
      <c r="H115" s="583"/>
      <c r="I115" s="583"/>
      <c r="J115" s="583"/>
      <c r="K115" s="584"/>
      <c r="L115" s="585"/>
      <c r="M115" s="586"/>
      <c r="N115" s="1152"/>
      <c r="O115" s="1152"/>
      <c r="P115" s="2680"/>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2610</v>
      </c>
      <c r="C117" s="554"/>
      <c r="D117" s="554"/>
      <c r="E117" s="554"/>
      <c r="F117" s="554"/>
      <c r="G117" s="554"/>
      <c r="H117" s="583"/>
      <c r="I117" s="583"/>
      <c r="J117" s="583"/>
      <c r="K117" s="584"/>
      <c r="L117" s="585"/>
      <c r="M117" s="586"/>
      <c r="N117" s="1152"/>
      <c r="O117" s="1152"/>
      <c r="P117" s="2680"/>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2693</v>
      </c>
      <c r="C119" s="583"/>
      <c r="D119" s="583"/>
      <c r="E119" s="583"/>
      <c r="F119" s="583"/>
      <c r="G119" s="583"/>
      <c r="H119" s="583"/>
      <c r="I119" s="583"/>
      <c r="J119" s="583"/>
      <c r="K119" s="583"/>
      <c r="L119" s="2685"/>
      <c r="M119" s="2686"/>
      <c r="N119" s="1153"/>
      <c r="O119" s="1153"/>
      <c r="P119" s="2687"/>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1"/>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2612</v>
      </c>
      <c r="C123" s="554"/>
      <c r="D123" s="554"/>
      <c r="E123" s="554"/>
      <c r="F123" s="583"/>
      <c r="G123" s="583"/>
      <c r="H123" s="583"/>
      <c r="I123" s="583"/>
      <c r="J123" s="583"/>
      <c r="K123" s="584"/>
      <c r="L123" s="585"/>
      <c r="M123" s="586"/>
      <c r="N123" s="1152"/>
      <c r="O123" s="1152"/>
      <c r="P123" s="2680"/>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29.4"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1"/>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1"/>
      <c r="Q128" s="559"/>
    </row>
    <row r="129" spans="1:17" ht="14.4" thickTop="1">
      <c r="A129" s="599"/>
      <c r="B129" s="538">
        <f>B46</f>
        <v>111</v>
      </c>
      <c r="C129" s="554"/>
      <c r="D129" s="554"/>
      <c r="E129" s="554"/>
      <c r="F129" s="554"/>
      <c r="G129" s="583"/>
      <c r="H129" s="583"/>
      <c r="I129" s="583"/>
      <c r="J129" s="583"/>
      <c r="K129" s="584"/>
      <c r="L129" s="585"/>
      <c r="M129" s="586"/>
      <c r="N129" s="1152"/>
      <c r="O129" s="1152"/>
      <c r="P129" s="2680"/>
      <c r="Q129" s="504"/>
    </row>
    <row r="130" spans="1:17" ht="14.4" thickBot="1">
      <c r="A130" s="534"/>
      <c r="B130" s="543"/>
      <c r="C130" s="560"/>
      <c r="D130" s="560"/>
      <c r="E130" s="560"/>
      <c r="F130" s="560"/>
      <c r="G130" s="536"/>
      <c r="H130" s="536"/>
      <c r="I130" s="536"/>
      <c r="J130" s="536"/>
      <c r="K130" s="536"/>
      <c r="L130" s="536"/>
      <c r="M130" s="537"/>
      <c r="N130" s="1153"/>
      <c r="O130" s="1153"/>
      <c r="P130" s="2680"/>
      <c r="Q130" s="504"/>
    </row>
    <row r="131" spans="1:17" ht="14.4" thickTop="1">
      <c r="A131" s="599"/>
      <c r="B131" s="546">
        <f>B47</f>
        <v>111</v>
      </c>
      <c r="C131" s="523"/>
      <c r="D131" s="523"/>
      <c r="E131" s="523"/>
      <c r="F131" s="523"/>
      <c r="G131" s="587"/>
      <c r="H131" s="587"/>
      <c r="I131" s="587"/>
      <c r="J131" s="587"/>
      <c r="K131" s="523"/>
      <c r="L131" s="524"/>
      <c r="M131" s="590"/>
      <c r="N131" s="1152"/>
      <c r="O131" s="1152"/>
      <c r="P131" s="2680"/>
      <c r="Q131" s="504"/>
    </row>
    <row r="132" spans="1:17" ht="14.4"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2520</v>
      </c>
      <c r="B1" s="2665" t="s">
        <v>2694</v>
      </c>
      <c r="C1" s="1620" t="s">
        <v>2522</v>
      </c>
      <c r="D1" s="1621"/>
      <c r="E1" s="1630"/>
      <c r="F1" s="2580"/>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2"/>
      <c r="D2" s="1124" t="e">
        <f ca="1">SUMIF(INDIRECT("'"&amp;F2&amp;"'"&amp;"!A:A"),"承租人权益价值",INDIRECT("'"&amp;F2&amp;"'"&amp;"!c:c"))</f>
        <v>#REF!</v>
      </c>
      <c r="E2" s="2583" t="s">
        <v>2320</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15950.36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2637</v>
      </c>
      <c r="B4" s="402"/>
      <c r="C4" s="3229" t="s">
        <v>2638</v>
      </c>
      <c r="D4" s="3230"/>
      <c r="E4" s="3231" t="s">
        <v>2639</v>
      </c>
      <c r="F4" s="3232"/>
      <c r="G4" s="3229" t="s">
        <v>2640</v>
      </c>
      <c r="H4" s="3230"/>
      <c r="I4" s="3229" t="s">
        <v>2641</v>
      </c>
      <c r="J4" s="3230"/>
      <c r="K4" s="610" t="s">
        <v>2642</v>
      </c>
      <c r="L4" s="1130"/>
      <c r="M4" s="1131"/>
      <c r="N4" s="1131"/>
      <c r="O4" s="1131"/>
      <c r="P4" s="3233" t="s">
        <v>2643</v>
      </c>
      <c r="Q4" s="3234"/>
      <c r="R4" s="3239" t="s">
        <v>2639</v>
      </c>
      <c r="S4" s="3240"/>
      <c r="T4" s="3239" t="s">
        <v>2640</v>
      </c>
      <c r="U4" s="3240"/>
      <c r="V4" s="3245" t="s">
        <v>2641</v>
      </c>
      <c r="W4" s="3245"/>
      <c r="X4" s="1813"/>
      <c r="Y4" s="3239" t="s">
        <v>2643</v>
      </c>
      <c r="Z4" s="3240"/>
      <c r="AA4" s="3226" t="s">
        <v>2639</v>
      </c>
      <c r="AB4" s="3227" t="s">
        <v>2640</v>
      </c>
      <c r="AC4" s="3226" t="s">
        <v>2641</v>
      </c>
    </row>
    <row r="5" spans="1:29">
      <c r="A5" s="404"/>
      <c r="B5" s="405"/>
      <c r="C5" s="3248" t="s">
        <v>2534</v>
      </c>
      <c r="D5" s="3249"/>
      <c r="E5" s="3255" t="s">
        <v>2535</v>
      </c>
      <c r="F5" s="3256"/>
      <c r="G5" s="3248" t="s">
        <v>2536</v>
      </c>
      <c r="H5" s="3249"/>
      <c r="I5" s="3248" t="s">
        <v>2537</v>
      </c>
      <c r="J5" s="3249"/>
      <c r="K5" s="610"/>
      <c r="L5" s="1130"/>
      <c r="M5" s="1131"/>
      <c r="N5" s="1131"/>
      <c r="O5" s="1131"/>
      <c r="P5" s="3235"/>
      <c r="Q5" s="3236"/>
      <c r="R5" s="3241"/>
      <c r="S5" s="3242"/>
      <c r="T5" s="3241"/>
      <c r="U5" s="3242"/>
      <c r="V5" s="3245"/>
      <c r="W5" s="3245"/>
      <c r="X5" s="1813"/>
      <c r="Y5" s="3241"/>
      <c r="Z5" s="3242"/>
      <c r="AA5" s="3227"/>
      <c r="AB5" s="3227"/>
      <c r="AC5" s="3227"/>
    </row>
    <row r="6" spans="1:29" ht="15" thickBot="1">
      <c r="A6" s="406"/>
      <c r="B6" s="407"/>
      <c r="C6" s="3246" t="s">
        <v>2538</v>
      </c>
      <c r="D6" s="3247"/>
      <c r="E6" s="3253" t="s">
        <v>2538</v>
      </c>
      <c r="F6" s="3254"/>
      <c r="G6" s="3246" t="s">
        <v>2538</v>
      </c>
      <c r="H6" s="3247"/>
      <c r="I6" s="3246" t="s">
        <v>2538</v>
      </c>
      <c r="J6" s="3247"/>
      <c r="K6" s="610" t="s">
        <v>2539</v>
      </c>
      <c r="L6" s="1130"/>
      <c r="M6" s="1131"/>
      <c r="N6" s="1131"/>
      <c r="O6" s="1131"/>
      <c r="P6" s="3237"/>
      <c r="Q6" s="3238"/>
      <c r="R6" s="3241"/>
      <c r="S6" s="3242"/>
      <c r="T6" s="3243"/>
      <c r="U6" s="3244"/>
      <c r="V6" s="3245"/>
      <c r="W6" s="3245"/>
      <c r="X6" s="1813"/>
      <c r="Y6" s="3243"/>
      <c r="Z6" s="3244"/>
      <c r="AA6" s="3228"/>
      <c r="AB6" s="3228"/>
      <c r="AC6" s="3228"/>
    </row>
    <row r="7" spans="1:29" s="117" customFormat="1" ht="15" thickBot="1">
      <c r="A7" s="408" t="s">
        <v>2540</v>
      </c>
      <c r="B7" s="409"/>
      <c r="C7" s="410">
        <f>'数据-取费表'!B2</f>
        <v>43921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0" t="s">
        <v>2541</v>
      </c>
      <c r="Q7" s="3252"/>
      <c r="R7" s="770" t="s">
        <v>17</v>
      </c>
      <c r="S7" s="771">
        <f t="shared" ref="S7:S15" si="0">F7</f>
        <v>0</v>
      </c>
      <c r="T7" s="770" t="s">
        <v>17</v>
      </c>
      <c r="U7" s="771">
        <f t="shared" ref="U7:U15" si="1">H7</f>
        <v>0</v>
      </c>
      <c r="V7" s="770" t="s">
        <v>17</v>
      </c>
      <c r="W7" s="771">
        <f t="shared" ref="W7:W15" si="2">J7</f>
        <v>0</v>
      </c>
      <c r="X7" s="772"/>
      <c r="Y7" s="3250" t="s">
        <v>2541</v>
      </c>
      <c r="Z7" s="3251"/>
      <c r="AA7" s="773" t="e">
        <f>D7/F7</f>
        <v>#DIV/0!</v>
      </c>
      <c r="AB7" s="773" t="e">
        <f>D7/H7</f>
        <v>#DIV/0!</v>
      </c>
      <c r="AC7" s="773" t="e">
        <f>D7/J7</f>
        <v>#DIV/0!</v>
      </c>
    </row>
    <row r="8" spans="1:29" s="117" customFormat="1" ht="1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0" t="s">
        <v>2544</v>
      </c>
      <c r="Q8" s="3251"/>
      <c r="R8" s="770" t="s">
        <v>17</v>
      </c>
      <c r="S8" s="771">
        <f t="shared" si="0"/>
        <v>0</v>
      </c>
      <c r="T8" s="770" t="s">
        <v>17</v>
      </c>
      <c r="U8" s="771">
        <f t="shared" si="1"/>
        <v>0</v>
      </c>
      <c r="V8" s="770" t="s">
        <v>17</v>
      </c>
      <c r="W8" s="771">
        <f t="shared" si="2"/>
        <v>0</v>
      </c>
      <c r="X8" s="772"/>
      <c r="Y8" s="3250" t="s">
        <v>2544</v>
      </c>
      <c r="Z8" s="3251"/>
      <c r="AA8" s="773" t="e">
        <f t="shared" ref="AA8:AA40" si="3">D8/F8</f>
        <v>#DIV/0!</v>
      </c>
      <c r="AB8" s="773" t="e">
        <f t="shared" ref="AB8:AB40" si="4">D8/H8</f>
        <v>#DIV/0!</v>
      </c>
      <c r="AC8" s="773" t="e">
        <f t="shared" ref="AC8:AC40" si="5">D8/J8</f>
        <v>#DIV/0!</v>
      </c>
    </row>
    <row r="9" spans="1:29" s="117" customFormat="1" ht="14.4">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2547</v>
      </c>
      <c r="Q9" s="1795"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29" s="427" customFormat="1" ht="28.8">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6"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24.2">
      <c r="A15" s="440" t="s">
        <v>2551</v>
      </c>
      <c r="B15" s="69" t="s">
        <v>2695</v>
      </c>
      <c r="C15" s="2689" t="str">
        <f>估价对象房地状况!G3</f>
        <v>估价对象位于北京雁栖经济开发区，园区建设成熟，周边有波尔亚太金属容器公司、星达顺五星建材产业集聚程度较好。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2552</v>
      </c>
      <c r="Q15" s="1810" t="str">
        <f t="shared" si="6"/>
        <v>产业集聚程度</v>
      </c>
      <c r="R15" s="774" t="s">
        <v>17</v>
      </c>
      <c r="S15" s="775">
        <f t="shared" si="0"/>
        <v>100</v>
      </c>
      <c r="T15" s="774" t="s">
        <v>17</v>
      </c>
      <c r="U15" s="775">
        <f t="shared" si="1"/>
        <v>100</v>
      </c>
      <c r="V15" s="774" t="s">
        <v>17</v>
      </c>
      <c r="W15" s="775">
        <f t="shared" si="2"/>
        <v>100</v>
      </c>
      <c r="X15" s="1813"/>
      <c r="Y15" s="3216"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7"/>
      <c r="Q16" s="1810"/>
      <c r="R16" s="774"/>
      <c r="S16" s="775"/>
      <c r="T16" s="774"/>
      <c r="U16" s="775"/>
      <c r="V16" s="774"/>
      <c r="W16" s="775"/>
      <c r="X16" s="1813"/>
      <c r="Y16" s="3217"/>
      <c r="Z16" s="1814"/>
      <c r="AA16" s="1811">
        <v>1</v>
      </c>
      <c r="AB16" s="1811">
        <v>1</v>
      </c>
      <c r="AC16" s="1811">
        <v>1</v>
      </c>
    </row>
    <row r="17" spans="1:29" ht="151.80000000000001">
      <c r="A17" s="428"/>
      <c r="B17" s="451" t="s">
        <v>2090</v>
      </c>
      <c r="C17" s="2603" t="str">
        <f>估价对象房地状况!G4</f>
        <v>估价对象紧邻城市次干道——杨雁路，公共交通通达情况一般，周边有864、936路等公交线路，停车便捷程度一般，综合评价交通便捷度一般。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217"/>
      <c r="Q18" s="1810"/>
      <c r="R18" s="774"/>
      <c r="S18" s="775"/>
      <c r="T18" s="774"/>
      <c r="U18" s="775"/>
      <c r="V18" s="774"/>
      <c r="W18" s="775"/>
      <c r="X18" s="1813"/>
      <c r="Y18" s="3217"/>
      <c r="Z18" s="1814"/>
      <c r="AA18" s="1811">
        <v>1</v>
      </c>
      <c r="AB18" s="1811">
        <v>1</v>
      </c>
      <c r="AC18" s="1811">
        <v>1</v>
      </c>
    </row>
    <row r="19" spans="1:29" ht="179.4">
      <c r="A19" s="428"/>
      <c r="B19" s="451" t="s">
        <v>2680</v>
      </c>
      <c r="C19" s="2603" t="str">
        <f>估价对象房地状况!G5</f>
        <v>估价对象周边2公里范围内有银行（中国银行），超市（世纪华联超市），学校（怀柔区职业学校），医院（雁栖镇北台下社区卫生服务站），公共配套设施程度一般。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217"/>
      <c r="Q20" s="1810"/>
      <c r="R20" s="774"/>
      <c r="S20" s="775"/>
      <c r="T20" s="774"/>
      <c r="U20" s="775"/>
      <c r="V20" s="774"/>
      <c r="W20" s="775"/>
      <c r="X20" s="1813"/>
      <c r="Y20" s="3217"/>
      <c r="Z20" s="1814"/>
      <c r="AA20" s="1811">
        <v>1</v>
      </c>
      <c r="AB20" s="1811">
        <v>1</v>
      </c>
      <c r="AC20" s="1811">
        <v>1</v>
      </c>
    </row>
    <row r="21" spans="1:29" ht="55.2">
      <c r="A21" s="428"/>
      <c r="B21" s="1384" t="s">
        <v>2681</v>
      </c>
      <c r="C21" s="2603"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217"/>
      <c r="Q22" s="1810"/>
      <c r="R22" s="774"/>
      <c r="S22" s="775"/>
      <c r="T22" s="774"/>
      <c r="U22" s="775"/>
      <c r="V22" s="774"/>
      <c r="W22" s="775"/>
      <c r="X22" s="1813"/>
      <c r="Y22" s="3217"/>
      <c r="Z22" s="1814"/>
      <c r="AA22" s="1811">
        <v>1</v>
      </c>
      <c r="AB22" s="1811">
        <v>1</v>
      </c>
      <c r="AC22" s="1811">
        <v>1</v>
      </c>
    </row>
    <row r="23" spans="1:29" ht="82.8">
      <c r="A23" s="428"/>
      <c r="B23" s="451" t="s">
        <v>2682</v>
      </c>
      <c r="C23" s="2603"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217"/>
      <c r="Q24" s="1810"/>
      <c r="R24" s="774"/>
      <c r="S24" s="775"/>
      <c r="T24" s="774"/>
      <c r="U24" s="775"/>
      <c r="V24" s="774"/>
      <c r="W24" s="775"/>
      <c r="X24" s="1813"/>
      <c r="Y24" s="321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10">
        <f>B25</f>
        <v>111</v>
      </c>
      <c r="R25" s="774" t="s">
        <v>17</v>
      </c>
      <c r="S25" s="775">
        <f>F25</f>
        <v>100</v>
      </c>
      <c r="T25" s="774" t="s">
        <v>17</v>
      </c>
      <c r="U25" s="775">
        <f>H25</f>
        <v>100</v>
      </c>
      <c r="V25" s="774" t="s">
        <v>17</v>
      </c>
      <c r="W25" s="775">
        <f>J25</f>
        <v>100</v>
      </c>
      <c r="X25" s="1813"/>
      <c r="Y25" s="321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10">
        <f t="shared" ref="Q26:Q40" si="11">B26</f>
        <v>111</v>
      </c>
      <c r="R26" s="774" t="s">
        <v>17</v>
      </c>
      <c r="S26" s="775">
        <f>F26</f>
        <v>100</v>
      </c>
      <c r="T26" s="774" t="s">
        <v>17</v>
      </c>
      <c r="U26" s="775">
        <f>H26</f>
        <v>100</v>
      </c>
      <c r="V26" s="774" t="s">
        <v>17</v>
      </c>
      <c r="W26" s="775">
        <f>J26</f>
        <v>100</v>
      </c>
      <c r="X26" s="1813"/>
      <c r="Y26" s="321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5">
        <f t="shared" si="11"/>
        <v>111</v>
      </c>
      <c r="R27" s="770" t="s">
        <v>17</v>
      </c>
      <c r="S27" s="771">
        <f>F27</f>
        <v>100</v>
      </c>
      <c r="T27" s="770" t="s">
        <v>17</v>
      </c>
      <c r="U27" s="771">
        <f>H27</f>
        <v>100</v>
      </c>
      <c r="V27" s="770" t="s">
        <v>17</v>
      </c>
      <c r="W27" s="771">
        <f>J27</f>
        <v>100</v>
      </c>
      <c r="X27" s="772"/>
      <c r="Y27" s="3217"/>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10">
        <f t="shared" si="11"/>
        <v>111</v>
      </c>
      <c r="R28" s="774" t="s">
        <v>17</v>
      </c>
      <c r="S28" s="775">
        <f t="shared" ref="S28:S40" si="12">F28</f>
        <v>100</v>
      </c>
      <c r="T28" s="774" t="s">
        <v>17</v>
      </c>
      <c r="U28" s="775">
        <f t="shared" ref="U28:U40" si="13">H28</f>
        <v>100</v>
      </c>
      <c r="V28" s="774" t="s">
        <v>17</v>
      </c>
      <c r="W28" s="775">
        <f t="shared" ref="W28:W40" si="14">J28</f>
        <v>100</v>
      </c>
      <c r="X28" s="1813"/>
      <c r="Y28" s="3217"/>
      <c r="Z28" s="1814">
        <f t="shared" ref="Z28:Z40" si="15">Q28</f>
        <v>111</v>
      </c>
      <c r="AA28" s="1811">
        <f t="shared" si="3"/>
        <v>1</v>
      </c>
      <c r="AB28" s="1811">
        <f t="shared" si="4"/>
        <v>1</v>
      </c>
      <c r="AC28" s="1811">
        <f t="shared" si="5"/>
        <v>1</v>
      </c>
    </row>
    <row r="29" spans="1:29" ht="30">
      <c r="A29" s="466" t="s">
        <v>2555</v>
      </c>
      <c r="B29" s="71" t="s">
        <v>2685</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72" t="s">
        <v>2557</v>
      </c>
      <c r="Q29" s="1810" t="str">
        <f t="shared" si="11"/>
        <v>建筑类型</v>
      </c>
      <c r="R29" s="774" t="s">
        <v>17</v>
      </c>
      <c r="S29" s="775">
        <f t="shared" si="12"/>
        <v>100</v>
      </c>
      <c r="T29" s="774" t="s">
        <v>17</v>
      </c>
      <c r="U29" s="775">
        <f t="shared" si="13"/>
        <v>100</v>
      </c>
      <c r="V29" s="774" t="s">
        <v>17</v>
      </c>
      <c r="W29" s="775">
        <f t="shared" si="14"/>
        <v>100</v>
      </c>
      <c r="X29" s="1813"/>
      <c r="Y29" s="3221" t="s">
        <v>2557</v>
      </c>
      <c r="Z29" s="1814" t="str">
        <f t="shared" si="15"/>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10" t="str">
        <f t="shared" si="11"/>
        <v>建筑结构</v>
      </c>
      <c r="R31" s="774" t="s">
        <v>17</v>
      </c>
      <c r="S31" s="775">
        <f t="shared" si="12"/>
        <v>100</v>
      </c>
      <c r="T31" s="774" t="s">
        <v>17</v>
      </c>
      <c r="U31" s="775">
        <f t="shared" si="13"/>
        <v>100</v>
      </c>
      <c r="V31" s="774" t="s">
        <v>17</v>
      </c>
      <c r="W31" s="775">
        <f t="shared" si="14"/>
        <v>100</v>
      </c>
      <c r="X31" s="1813"/>
      <c r="Y31" s="3221"/>
      <c r="Z31" s="1814" t="str">
        <f t="shared" si="15"/>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10" t="str">
        <f t="shared" si="11"/>
        <v>公共部分装修</v>
      </c>
      <c r="R32" s="774" t="s">
        <v>17</v>
      </c>
      <c r="S32" s="775">
        <f t="shared" si="12"/>
        <v>100</v>
      </c>
      <c r="T32" s="774" t="s">
        <v>17</v>
      </c>
      <c r="U32" s="775">
        <f t="shared" si="13"/>
        <v>100</v>
      </c>
      <c r="V32" s="774" t="s">
        <v>17</v>
      </c>
      <c r="W32" s="775">
        <f t="shared" si="14"/>
        <v>100</v>
      </c>
      <c r="X32" s="1813"/>
      <c r="Y32" s="3221"/>
      <c r="Z32" s="1814" t="str">
        <f t="shared" si="15"/>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10" t="str">
        <f t="shared" si="11"/>
        <v>成新度</v>
      </c>
      <c r="R33" s="774" t="s">
        <v>17</v>
      </c>
      <c r="S33" s="775" t="e">
        <f t="shared" si="12"/>
        <v>#N/A</v>
      </c>
      <c r="T33" s="774" t="s">
        <v>17</v>
      </c>
      <c r="U33" s="775" t="e">
        <f t="shared" si="13"/>
        <v>#N/A</v>
      </c>
      <c r="V33" s="774" t="s">
        <v>17</v>
      </c>
      <c r="W33" s="775" t="e">
        <f t="shared" si="14"/>
        <v>#N/A</v>
      </c>
      <c r="X33" s="1813"/>
      <c r="Y33" s="3221"/>
      <c r="Z33" s="1814" t="str">
        <f t="shared" si="15"/>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95"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2557</v>
      </c>
      <c r="Q35" s="1810" t="str">
        <f t="shared" si="11"/>
        <v>市政基础设施</v>
      </c>
      <c r="R35" s="774" t="s">
        <v>17</v>
      </c>
      <c r="S35" s="775">
        <f t="shared" si="12"/>
        <v>100</v>
      </c>
      <c r="T35" s="774" t="s">
        <v>17</v>
      </c>
      <c r="U35" s="775">
        <f t="shared" si="13"/>
        <v>100</v>
      </c>
      <c r="V35" s="774" t="s">
        <v>17</v>
      </c>
      <c r="W35" s="775">
        <f t="shared" si="14"/>
        <v>100</v>
      </c>
      <c r="X35" s="1813"/>
      <c r="Y35" s="3221" t="s">
        <v>2557</v>
      </c>
      <c r="Z35" s="1814" t="str">
        <f t="shared" si="15"/>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10" t="str">
        <f t="shared" si="11"/>
        <v>内部装修</v>
      </c>
      <c r="R36" s="774" t="s">
        <v>17</v>
      </c>
      <c r="S36" s="775">
        <f t="shared" si="12"/>
        <v>100</v>
      </c>
      <c r="T36" s="774" t="s">
        <v>17</v>
      </c>
      <c r="U36" s="775">
        <f t="shared" si="13"/>
        <v>100</v>
      </c>
      <c r="V36" s="774" t="s">
        <v>17</v>
      </c>
      <c r="W36" s="775">
        <f t="shared" si="14"/>
        <v>100</v>
      </c>
      <c r="X36" s="1813"/>
      <c r="Y36" s="3221"/>
      <c r="Z36" s="1814" t="str">
        <f t="shared" si="15"/>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10" t="str">
        <f t="shared" si="11"/>
        <v>内部装修状况</v>
      </c>
      <c r="R37" s="774" t="s">
        <v>17</v>
      </c>
      <c r="S37" s="775">
        <f t="shared" si="12"/>
        <v>100</v>
      </c>
      <c r="T37" s="774" t="s">
        <v>17</v>
      </c>
      <c r="U37" s="775">
        <f t="shared" si="13"/>
        <v>100</v>
      </c>
      <c r="V37" s="774" t="s">
        <v>17</v>
      </c>
      <c r="W37" s="775">
        <f t="shared" si="14"/>
        <v>100</v>
      </c>
      <c r="X37" s="1813"/>
      <c r="Y37" s="322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10">
        <f t="shared" si="11"/>
        <v>111</v>
      </c>
      <c r="R39" s="774" t="s">
        <v>17</v>
      </c>
      <c r="S39" s="775">
        <f t="shared" si="12"/>
        <v>100</v>
      </c>
      <c r="T39" s="774" t="s">
        <v>17</v>
      </c>
      <c r="U39" s="775">
        <f t="shared" si="13"/>
        <v>100</v>
      </c>
      <c r="V39" s="774" t="s">
        <v>17</v>
      </c>
      <c r="W39" s="775">
        <f t="shared" si="14"/>
        <v>100</v>
      </c>
      <c r="X39" s="1813"/>
      <c r="Y39" s="3221"/>
      <c r="Z39" s="1814">
        <f t="shared" si="15"/>
        <v>111</v>
      </c>
      <c r="AA39" s="1811">
        <f t="shared" si="3"/>
        <v>1</v>
      </c>
      <c r="AB39" s="1811">
        <f t="shared" si="4"/>
        <v>1</v>
      </c>
      <c r="AC39" s="1811">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10">
        <f t="shared" si="11"/>
        <v>111</v>
      </c>
      <c r="R40" s="774" t="s">
        <v>17</v>
      </c>
      <c r="S40" s="775">
        <f t="shared" si="12"/>
        <v>100</v>
      </c>
      <c r="T40" s="774" t="s">
        <v>17</v>
      </c>
      <c r="U40" s="775">
        <f t="shared" si="13"/>
        <v>100</v>
      </c>
      <c r="V40" s="774" t="s">
        <v>17</v>
      </c>
      <c r="W40" s="775">
        <f t="shared" si="14"/>
        <v>100</v>
      </c>
      <c r="X40" s="1813"/>
      <c r="Y40" s="3222"/>
      <c r="Z40" s="1814">
        <f t="shared" si="15"/>
        <v>111</v>
      </c>
      <c r="AA40" s="1811">
        <f t="shared" si="3"/>
        <v>1</v>
      </c>
      <c r="AB40" s="1811">
        <f t="shared" si="4"/>
        <v>1</v>
      </c>
      <c r="AC40" s="1811">
        <f t="shared" si="5"/>
        <v>1</v>
      </c>
    </row>
    <row r="41" spans="1:29" ht="14.4">
      <c r="A41" s="479" t="s">
        <v>2569</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 thickBot="1">
      <c r="A43" s="492" t="s">
        <v>2662</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2666</v>
      </c>
      <c r="B51" s="759"/>
      <c r="C51" s="764"/>
      <c r="D51" s="764"/>
      <c r="E51" s="764"/>
      <c r="F51" s="765"/>
      <c r="G51" s="765"/>
      <c r="H51" s="764"/>
      <c r="I51" s="764"/>
      <c r="J51" s="764"/>
      <c r="K51" s="1160"/>
      <c r="L51" s="1161"/>
      <c r="M51" s="1159"/>
      <c r="N51" s="1159"/>
      <c r="O51" s="1159"/>
      <c r="P51" s="503"/>
      <c r="Q51" s="504"/>
    </row>
    <row r="52" spans="1:17" s="508" customFormat="1" ht="14.4">
      <c r="A52" s="505" t="s">
        <v>2540</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2577</v>
      </c>
      <c r="B54" s="516"/>
      <c r="C54" s="517"/>
      <c r="D54" s="518"/>
      <c r="E54" s="518"/>
      <c r="F54" s="518"/>
      <c r="G54" s="518"/>
      <c r="H54" s="518"/>
      <c r="I54" s="518"/>
      <c r="J54" s="518"/>
      <c r="K54" s="518"/>
      <c r="L54" s="518"/>
      <c r="M54" s="519"/>
      <c r="N54" s="518"/>
      <c r="O54" s="520"/>
      <c r="P54" s="504"/>
      <c r="Q54" s="504"/>
    </row>
    <row r="55" spans="1:17" s="117" customFormat="1" ht="14.4">
      <c r="A55" s="521" t="s">
        <v>2542</v>
      </c>
      <c r="B55" s="510"/>
      <c r="C55" s="522" t="s">
        <v>2644</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2580</v>
      </c>
      <c r="B57" s="528" t="s">
        <v>2546</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2"/>
      <c r="B87" s="569"/>
      <c r="C87" s="570"/>
      <c r="D87" s="570"/>
      <c r="E87" s="570"/>
      <c r="F87" s="570"/>
      <c r="G87" s="591"/>
      <c r="H87" s="591"/>
      <c r="I87" s="591"/>
      <c r="J87" s="591"/>
      <c r="K87" s="591"/>
      <c r="L87" s="591"/>
      <c r="M87" s="592"/>
      <c r="N87" s="1153"/>
      <c r="O87" s="1153"/>
      <c r="P87" s="45"/>
      <c r="Q87" s="504"/>
    </row>
    <row r="88" spans="1:17" ht="14.4">
      <c r="A88" s="527" t="s">
        <v>2555</v>
      </c>
      <c r="B88" s="528" t="s">
        <v>2604</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2699</v>
      </c>
      <c r="B1" s="1619"/>
      <c r="C1" s="1620" t="s">
        <v>2522</v>
      </c>
      <c r="D1" s="1621"/>
      <c r="E1" s="1622"/>
      <c r="F1" s="2580"/>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2"/>
      <c r="D2" s="1124" t="e">
        <f ca="1">SUMIF(INDIRECT("'"&amp;F2&amp;"'"&amp;"!A:A"),"承租人权益价值",INDIRECT("'"&amp;F2&amp;"'"&amp;"!c:c"))</f>
        <v>#REF!</v>
      </c>
      <c r="E2" s="2583" t="s">
        <v>2320</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2637</v>
      </c>
      <c r="B4" s="402"/>
      <c r="C4" s="3229" t="s">
        <v>2638</v>
      </c>
      <c r="D4" s="3230"/>
      <c r="E4" s="3231" t="s">
        <v>2639</v>
      </c>
      <c r="F4" s="3232"/>
      <c r="G4" s="3229" t="s">
        <v>2640</v>
      </c>
      <c r="H4" s="3230"/>
      <c r="I4" s="3229" t="s">
        <v>2641</v>
      </c>
      <c r="J4" s="3230"/>
      <c r="K4" s="610" t="s">
        <v>2642</v>
      </c>
      <c r="L4" s="1130"/>
      <c r="M4" s="1131"/>
      <c r="N4" s="1131"/>
      <c r="O4" s="1131"/>
      <c r="P4" s="3233" t="s">
        <v>2643</v>
      </c>
      <c r="Q4" s="3234"/>
      <c r="R4" s="3239" t="s">
        <v>2639</v>
      </c>
      <c r="S4" s="3240"/>
      <c r="T4" s="3239" t="s">
        <v>2640</v>
      </c>
      <c r="U4" s="3240"/>
      <c r="V4" s="3245" t="s">
        <v>2641</v>
      </c>
      <c r="W4" s="3245"/>
      <c r="X4" s="1813"/>
      <c r="Y4" s="3239" t="s">
        <v>2643</v>
      </c>
      <c r="Z4" s="3240"/>
      <c r="AA4" s="3226" t="s">
        <v>2639</v>
      </c>
      <c r="AB4" s="3227" t="s">
        <v>2640</v>
      </c>
      <c r="AC4" s="3226" t="s">
        <v>2641</v>
      </c>
    </row>
    <row r="5" spans="1:29">
      <c r="A5" s="404"/>
      <c r="B5" s="405"/>
      <c r="C5" s="3248" t="s">
        <v>2534</v>
      </c>
      <c r="D5" s="3249"/>
      <c r="E5" s="3255" t="s">
        <v>2535</v>
      </c>
      <c r="F5" s="3256"/>
      <c r="G5" s="3248" t="s">
        <v>2536</v>
      </c>
      <c r="H5" s="3249"/>
      <c r="I5" s="3248" t="s">
        <v>2537</v>
      </c>
      <c r="J5" s="3249"/>
      <c r="K5" s="610"/>
      <c r="L5" s="1130"/>
      <c r="M5" s="1131"/>
      <c r="N5" s="1131"/>
      <c r="O5" s="1131"/>
      <c r="P5" s="3235"/>
      <c r="Q5" s="3236"/>
      <c r="R5" s="3241"/>
      <c r="S5" s="3242"/>
      <c r="T5" s="3241"/>
      <c r="U5" s="3242"/>
      <c r="V5" s="3245"/>
      <c r="W5" s="3245"/>
      <c r="X5" s="1813"/>
      <c r="Y5" s="3241"/>
      <c r="Z5" s="3242"/>
      <c r="AA5" s="3227"/>
      <c r="AB5" s="3227"/>
      <c r="AC5" s="3227"/>
    </row>
    <row r="6" spans="1:29" ht="15" thickBot="1">
      <c r="A6" s="406"/>
      <c r="B6" s="407"/>
      <c r="C6" s="3246" t="s">
        <v>2538</v>
      </c>
      <c r="D6" s="3247"/>
      <c r="E6" s="3253" t="s">
        <v>2538</v>
      </c>
      <c r="F6" s="3254"/>
      <c r="G6" s="3246" t="s">
        <v>2538</v>
      </c>
      <c r="H6" s="3247"/>
      <c r="I6" s="3246" t="s">
        <v>2538</v>
      </c>
      <c r="J6" s="3247"/>
      <c r="K6" s="610" t="s">
        <v>2539</v>
      </c>
      <c r="L6" s="1130"/>
      <c r="M6" s="1131"/>
      <c r="N6" s="1131"/>
      <c r="O6" s="1131"/>
      <c r="P6" s="3237"/>
      <c r="Q6" s="3238"/>
      <c r="R6" s="3241"/>
      <c r="S6" s="3242"/>
      <c r="T6" s="3243"/>
      <c r="U6" s="3244"/>
      <c r="V6" s="3245"/>
      <c r="W6" s="3245"/>
      <c r="X6" s="1813"/>
      <c r="Y6" s="3243"/>
      <c r="Z6" s="3244"/>
      <c r="AA6" s="3228"/>
      <c r="AB6" s="3228"/>
      <c r="AC6" s="3228"/>
    </row>
    <row r="7" spans="1:29" s="117" customFormat="1" ht="15" thickBot="1">
      <c r="A7" s="408" t="s">
        <v>2540</v>
      </c>
      <c r="B7" s="409"/>
      <c r="C7" s="410">
        <f>'数据-取费表'!B2</f>
        <v>43921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0" t="s">
        <v>2541</v>
      </c>
      <c r="Q7" s="3252"/>
      <c r="R7" s="770" t="s">
        <v>17</v>
      </c>
      <c r="S7" s="771">
        <f t="shared" ref="S7:S14" si="0">F7</f>
        <v>0</v>
      </c>
      <c r="T7" s="770" t="s">
        <v>17</v>
      </c>
      <c r="U7" s="771">
        <f t="shared" ref="U7:U14" si="1">H7</f>
        <v>0</v>
      </c>
      <c r="V7" s="770" t="s">
        <v>17</v>
      </c>
      <c r="W7" s="771">
        <f t="shared" ref="W7:W14" si="2">J7</f>
        <v>0</v>
      </c>
      <c r="X7" s="772"/>
      <c r="Y7" s="3250" t="s">
        <v>2541</v>
      </c>
      <c r="Z7" s="3251"/>
      <c r="AA7" s="773" t="e">
        <f>D7/F7</f>
        <v>#DIV/0!</v>
      </c>
      <c r="AB7" s="773" t="e">
        <f>D7/H7</f>
        <v>#DIV/0!</v>
      </c>
      <c r="AC7" s="773" t="e">
        <f>D7/J7</f>
        <v>#DIV/0!</v>
      </c>
    </row>
    <row r="8" spans="1:29" s="117" customFormat="1" ht="1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0" t="s">
        <v>2544</v>
      </c>
      <c r="Q8" s="3251"/>
      <c r="R8" s="770" t="s">
        <v>17</v>
      </c>
      <c r="S8" s="771">
        <f t="shared" si="0"/>
        <v>0</v>
      </c>
      <c r="T8" s="770" t="s">
        <v>17</v>
      </c>
      <c r="U8" s="771">
        <f t="shared" si="1"/>
        <v>0</v>
      </c>
      <c r="V8" s="770" t="s">
        <v>17</v>
      </c>
      <c r="W8" s="771">
        <f t="shared" si="2"/>
        <v>0</v>
      </c>
      <c r="X8" s="772"/>
      <c r="Y8" s="3250" t="s">
        <v>2544</v>
      </c>
      <c r="Z8" s="3251"/>
      <c r="AA8" s="773" t="e">
        <f t="shared" ref="AA8:AA36" si="3">D8/F8</f>
        <v>#DIV/0!</v>
      </c>
      <c r="AB8" s="773" t="e">
        <f t="shared" ref="AB8:AB36" si="4">D8/H8</f>
        <v>#DIV/0!</v>
      </c>
      <c r="AC8" s="773" t="e">
        <f t="shared" ref="AC8:AC36" si="5">D8/J8</f>
        <v>#DIV/0!</v>
      </c>
    </row>
    <row r="9" spans="1:29" s="117" customFormat="1" ht="14.4">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2547</v>
      </c>
      <c r="Q9" s="1795" t="str">
        <f t="shared" ref="Q9:Q14" si="6">B9</f>
        <v>用途</v>
      </c>
      <c r="R9" s="770" t="s">
        <v>17</v>
      </c>
      <c r="S9" s="771">
        <f t="shared" si="0"/>
        <v>100</v>
      </c>
      <c r="T9" s="770" t="s">
        <v>17</v>
      </c>
      <c r="U9" s="771">
        <f t="shared" si="1"/>
        <v>100</v>
      </c>
      <c r="V9" s="770" t="s">
        <v>17</v>
      </c>
      <c r="W9" s="771">
        <f t="shared" si="2"/>
        <v>100</v>
      </c>
      <c r="X9" s="772"/>
      <c r="Y9" s="3016" t="s">
        <v>2548</v>
      </c>
      <c r="Z9" s="55" t="str">
        <f t="shared" ref="Z9:Z14" si="7">Q9</f>
        <v>用途</v>
      </c>
      <c r="AA9" s="773">
        <f t="shared" si="3"/>
        <v>1</v>
      </c>
      <c r="AB9" s="773">
        <f t="shared" si="4"/>
        <v>1</v>
      </c>
      <c r="AC9" s="773">
        <f t="shared" si="5"/>
        <v>1</v>
      </c>
    </row>
    <row r="10" spans="1:29" s="427" customFormat="1" ht="28.8">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95">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96.6">
      <c r="A14" s="401" t="s">
        <v>2551</v>
      </c>
      <c r="B14" s="629" t="s">
        <v>2701</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2552</v>
      </c>
      <c r="Q14" s="1810" t="str">
        <f t="shared" si="6"/>
        <v>交通便捷度</v>
      </c>
      <c r="R14" s="774" t="s">
        <v>17</v>
      </c>
      <c r="S14" s="775">
        <f t="shared" si="0"/>
        <v>100</v>
      </c>
      <c r="T14" s="774" t="s">
        <v>17</v>
      </c>
      <c r="U14" s="775">
        <f t="shared" si="1"/>
        <v>100</v>
      </c>
      <c r="V14" s="774" t="s">
        <v>17</v>
      </c>
      <c r="W14" s="775">
        <f t="shared" si="2"/>
        <v>100</v>
      </c>
      <c r="X14" s="1813"/>
      <c r="Y14" s="3216"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7"/>
      <c r="Q15" s="1810"/>
      <c r="R15" s="774"/>
      <c r="S15" s="775"/>
      <c r="T15" s="774"/>
      <c r="U15" s="775"/>
      <c r="V15" s="774"/>
      <c r="W15" s="775"/>
      <c r="X15" s="1813"/>
      <c r="Y15" s="3217"/>
      <c r="Z15" s="1814"/>
      <c r="AA15" s="1811">
        <v>1</v>
      </c>
      <c r="AB15" s="1811">
        <v>1</v>
      </c>
      <c r="AC15" s="1811">
        <v>1</v>
      </c>
    </row>
    <row r="16" spans="1:29" ht="41.4">
      <c r="A16" s="404"/>
      <c r="B16" s="631" t="s">
        <v>2680</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217"/>
      <c r="Q17" s="1810"/>
      <c r="R17" s="774"/>
      <c r="S17" s="775"/>
      <c r="T17" s="774"/>
      <c r="U17" s="775"/>
      <c r="V17" s="774"/>
      <c r="W17" s="775"/>
      <c r="X17" s="1813"/>
      <c r="Y17" s="3217"/>
      <c r="Z17" s="1814"/>
      <c r="AA17" s="1811">
        <v>1</v>
      </c>
      <c r="AB17" s="1811">
        <v>1</v>
      </c>
      <c r="AC17" s="1811">
        <v>1</v>
      </c>
    </row>
    <row r="18" spans="1:29" ht="41.4">
      <c r="A18" s="404"/>
      <c r="B18" s="633" t="s">
        <v>2681</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217"/>
      <c r="Q19" s="1810"/>
      <c r="R19" s="774"/>
      <c r="S19" s="775"/>
      <c r="T19" s="774"/>
      <c r="U19" s="775"/>
      <c r="V19" s="774"/>
      <c r="W19" s="775"/>
      <c r="X19" s="1813"/>
      <c r="Y19" s="3217"/>
      <c r="Z19" s="1814"/>
      <c r="AA19" s="1811">
        <v>1</v>
      </c>
      <c r="AB19" s="1811">
        <v>1</v>
      </c>
      <c r="AC19" s="1811">
        <v>1</v>
      </c>
    </row>
    <row r="20" spans="1:29" ht="55.2">
      <c r="A20" s="404"/>
      <c r="B20" s="631" t="s">
        <v>2702</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7"/>
      <c r="Q21" s="1810"/>
      <c r="R21" s="774"/>
      <c r="S21" s="775"/>
      <c r="T21" s="774"/>
      <c r="U21" s="775"/>
      <c r="V21" s="774"/>
      <c r="W21" s="775"/>
      <c r="X21" s="1813"/>
      <c r="Y21" s="3217"/>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10">
        <f t="shared" ref="Q24:Q36"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30">
      <c r="A26" s="652" t="s">
        <v>2555</v>
      </c>
      <c r="B26" s="70" t="s">
        <v>2704</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2" t="s">
        <v>2557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1" t="s">
        <v>2557</v>
      </c>
      <c r="Z26" s="1814" t="str">
        <f t="shared" ref="Z26:Z36" si="15">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10" t="str">
        <f t="shared" si="11"/>
        <v>公共部分装修</v>
      </c>
      <c r="R28" s="774" t="s">
        <v>17</v>
      </c>
      <c r="S28" s="775">
        <f t="shared" si="12"/>
        <v>100</v>
      </c>
      <c r="T28" s="774" t="s">
        <v>17</v>
      </c>
      <c r="U28" s="775">
        <f t="shared" si="13"/>
        <v>100</v>
      </c>
      <c r="V28" s="774" t="s">
        <v>17</v>
      </c>
      <c r="W28" s="775">
        <f t="shared" si="14"/>
        <v>100</v>
      </c>
      <c r="X28" s="1813"/>
      <c r="Y28" s="3221"/>
      <c r="Z28" s="1814" t="str">
        <f t="shared" si="15"/>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10" t="str">
        <f t="shared" si="11"/>
        <v>成新率</v>
      </c>
      <c r="R29" s="774" t="s">
        <v>17</v>
      </c>
      <c r="S29" s="775" t="e">
        <f t="shared" si="12"/>
        <v>#N/A</v>
      </c>
      <c r="T29" s="774" t="s">
        <v>17</v>
      </c>
      <c r="U29" s="775" t="e">
        <f t="shared" si="13"/>
        <v>#N/A</v>
      </c>
      <c r="V29" s="774" t="s">
        <v>17</v>
      </c>
      <c r="W29" s="775" t="e">
        <f t="shared" si="14"/>
        <v>#N/A</v>
      </c>
      <c r="X29" s="1813"/>
      <c r="Y29" s="3221"/>
      <c r="Z29" s="1814" t="str">
        <f t="shared" si="15"/>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10" t="str">
        <f t="shared" si="11"/>
        <v>物业等级</v>
      </c>
      <c r="R30" s="774" t="s">
        <v>17</v>
      </c>
      <c r="S30" s="775">
        <f t="shared" si="12"/>
        <v>100</v>
      </c>
      <c r="T30" s="774" t="s">
        <v>17</v>
      </c>
      <c r="U30" s="775">
        <f t="shared" si="13"/>
        <v>100</v>
      </c>
      <c r="V30" s="774" t="s">
        <v>17</v>
      </c>
      <c r="W30" s="775">
        <f t="shared" si="14"/>
        <v>100</v>
      </c>
      <c r="X30" s="1813"/>
      <c r="Y30" s="3221"/>
      <c r="Z30" s="1814" t="str">
        <f t="shared" si="15"/>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95"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2557</v>
      </c>
      <c r="Q32" s="1810" t="str">
        <f t="shared" si="11"/>
        <v>车位类型</v>
      </c>
      <c r="R32" s="774" t="s">
        <v>17</v>
      </c>
      <c r="S32" s="775">
        <f t="shared" si="12"/>
        <v>100</v>
      </c>
      <c r="T32" s="774" t="s">
        <v>17</v>
      </c>
      <c r="U32" s="775">
        <f t="shared" si="13"/>
        <v>100</v>
      </c>
      <c r="V32" s="774" t="s">
        <v>17</v>
      </c>
      <c r="W32" s="775">
        <f t="shared" si="14"/>
        <v>100</v>
      </c>
      <c r="X32" s="1813"/>
      <c r="Y32" s="3221" t="s">
        <v>2557</v>
      </c>
      <c r="Z32" s="1814" t="str">
        <f t="shared" si="15"/>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10" t="str">
        <f t="shared" si="11"/>
        <v>是否直接入户</v>
      </c>
      <c r="R33" s="774" t="s">
        <v>17</v>
      </c>
      <c r="S33" s="775">
        <f t="shared" si="12"/>
        <v>100</v>
      </c>
      <c r="T33" s="774" t="s">
        <v>17</v>
      </c>
      <c r="U33" s="775">
        <f t="shared" si="13"/>
        <v>100</v>
      </c>
      <c r="V33" s="774" t="s">
        <v>17</v>
      </c>
      <c r="W33" s="775">
        <f t="shared" si="14"/>
        <v>100</v>
      </c>
      <c r="X33" s="1813"/>
      <c r="Y33" s="322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10">
        <f t="shared" si="11"/>
        <v>111</v>
      </c>
      <c r="R36" s="774" t="s">
        <v>17</v>
      </c>
      <c r="S36" s="775">
        <f t="shared" si="12"/>
        <v>100</v>
      </c>
      <c r="T36" s="774" t="s">
        <v>17</v>
      </c>
      <c r="U36" s="775">
        <f t="shared" si="13"/>
        <v>100</v>
      </c>
      <c r="V36" s="774" t="s">
        <v>17</v>
      </c>
      <c r="W36" s="775">
        <f t="shared" si="14"/>
        <v>100</v>
      </c>
      <c r="X36" s="1813"/>
      <c r="Y36" s="3221"/>
      <c r="Z36" s="1814">
        <f t="shared" si="15"/>
        <v>111</v>
      </c>
      <c r="AA36" s="1811">
        <f t="shared" si="3"/>
        <v>1</v>
      </c>
      <c r="AB36" s="1811">
        <f t="shared" si="4"/>
        <v>1</v>
      </c>
      <c r="AC36" s="1811">
        <f t="shared" si="5"/>
        <v>1</v>
      </c>
    </row>
    <row r="37" spans="1:29" ht="14.4">
      <c r="A37" s="479" t="s">
        <v>2712</v>
      </c>
      <c r="B37" s="2691" t="s">
        <v>2713</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 thickBot="1">
      <c r="A39" s="492" t="s">
        <v>2715</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2720</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2699</v>
      </c>
      <c r="B1" s="1619"/>
      <c r="C1" s="1620" t="s">
        <v>2522</v>
      </c>
      <c r="D1" s="1621"/>
      <c r="E1" s="1630"/>
      <c r="F1" s="2580"/>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2"/>
      <c r="D2" s="1124" t="e">
        <f ca="1">SUMIF(INDIRECT("'"&amp;F2&amp;"'"&amp;"!A:A"),"承租人权益价值",INDIRECT("'"&amp;F2&amp;"'"&amp;"!c:c"))</f>
        <v>#REF!</v>
      </c>
      <c r="E2" s="2583" t="s">
        <v>2320</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2637</v>
      </c>
      <c r="B4" s="402"/>
      <c r="C4" s="3229" t="s">
        <v>2638</v>
      </c>
      <c r="D4" s="3230"/>
      <c r="E4" s="3231" t="s">
        <v>2639</v>
      </c>
      <c r="F4" s="3232"/>
      <c r="G4" s="3229" t="s">
        <v>2640</v>
      </c>
      <c r="H4" s="3230"/>
      <c r="I4" s="3229" t="s">
        <v>2641</v>
      </c>
      <c r="J4" s="3230"/>
      <c r="K4" s="610" t="s">
        <v>2642</v>
      </c>
      <c r="L4" s="1130"/>
      <c r="M4" s="1131"/>
      <c r="N4" s="1131"/>
      <c r="O4" s="1131"/>
      <c r="P4" s="3233" t="s">
        <v>2643</v>
      </c>
      <c r="Q4" s="3234"/>
      <c r="R4" s="3239" t="s">
        <v>2639</v>
      </c>
      <c r="S4" s="3240"/>
      <c r="T4" s="3239" t="s">
        <v>2640</v>
      </c>
      <c r="U4" s="3240"/>
      <c r="V4" s="3245" t="s">
        <v>2641</v>
      </c>
      <c r="W4" s="3245"/>
      <c r="X4" s="1813"/>
      <c r="Y4" s="3239" t="s">
        <v>2643</v>
      </c>
      <c r="Z4" s="3240"/>
      <c r="AA4" s="3226" t="s">
        <v>2639</v>
      </c>
      <c r="AB4" s="3227" t="s">
        <v>2640</v>
      </c>
      <c r="AC4" s="3226" t="s">
        <v>2641</v>
      </c>
    </row>
    <row r="5" spans="1:29">
      <c r="A5" s="404"/>
      <c r="B5" s="405"/>
      <c r="C5" s="3248" t="s">
        <v>2534</v>
      </c>
      <c r="D5" s="3249"/>
      <c r="E5" s="3255" t="s">
        <v>2535</v>
      </c>
      <c r="F5" s="3256"/>
      <c r="G5" s="3248" t="s">
        <v>2536</v>
      </c>
      <c r="H5" s="3249"/>
      <c r="I5" s="3248" t="s">
        <v>2537</v>
      </c>
      <c r="J5" s="3249"/>
      <c r="K5" s="610"/>
      <c r="L5" s="1130"/>
      <c r="M5" s="1131"/>
      <c r="N5" s="1131"/>
      <c r="O5" s="1131"/>
      <c r="P5" s="3235"/>
      <c r="Q5" s="3236"/>
      <c r="R5" s="3241"/>
      <c r="S5" s="3242"/>
      <c r="T5" s="3241"/>
      <c r="U5" s="3242"/>
      <c r="V5" s="3245"/>
      <c r="W5" s="3245"/>
      <c r="X5" s="1813"/>
      <c r="Y5" s="3241"/>
      <c r="Z5" s="3242"/>
      <c r="AA5" s="3227"/>
      <c r="AB5" s="3227"/>
      <c r="AC5" s="3227"/>
    </row>
    <row r="6" spans="1:29" ht="15" thickBot="1">
      <c r="A6" s="406"/>
      <c r="B6" s="407"/>
      <c r="C6" s="3246" t="s">
        <v>2538</v>
      </c>
      <c r="D6" s="3247"/>
      <c r="E6" s="3253" t="s">
        <v>2538</v>
      </c>
      <c r="F6" s="3254"/>
      <c r="G6" s="3246" t="s">
        <v>2538</v>
      </c>
      <c r="H6" s="3247"/>
      <c r="I6" s="3246" t="s">
        <v>2538</v>
      </c>
      <c r="J6" s="3247"/>
      <c r="K6" s="610" t="s">
        <v>2539</v>
      </c>
      <c r="L6" s="1130"/>
      <c r="M6" s="1131"/>
      <c r="N6" s="1131"/>
      <c r="O6" s="1131"/>
      <c r="P6" s="3237"/>
      <c r="Q6" s="3238"/>
      <c r="R6" s="3241"/>
      <c r="S6" s="3242"/>
      <c r="T6" s="3243"/>
      <c r="U6" s="3244"/>
      <c r="V6" s="3245"/>
      <c r="W6" s="3245"/>
      <c r="X6" s="1813"/>
      <c r="Y6" s="3243"/>
      <c r="Z6" s="3244"/>
      <c r="AA6" s="3228"/>
      <c r="AB6" s="3228"/>
      <c r="AC6" s="3228"/>
    </row>
    <row r="7" spans="1:29" s="117" customFormat="1" ht="15" thickBot="1">
      <c r="A7" s="408" t="s">
        <v>2540</v>
      </c>
      <c r="B7" s="409"/>
      <c r="C7" s="410">
        <f>'数据-取费表'!B2</f>
        <v>43921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50" t="s">
        <v>2541</v>
      </c>
      <c r="Q7" s="3252"/>
      <c r="R7" s="770" t="s">
        <v>17</v>
      </c>
      <c r="S7" s="771">
        <f t="shared" ref="S7:S14" si="0">F7</f>
        <v>0</v>
      </c>
      <c r="T7" s="770" t="s">
        <v>17</v>
      </c>
      <c r="U7" s="771">
        <f t="shared" ref="U7:U14" si="1">H7</f>
        <v>0</v>
      </c>
      <c r="V7" s="770" t="s">
        <v>17</v>
      </c>
      <c r="W7" s="771">
        <f t="shared" ref="W7:W14" si="2">J7</f>
        <v>0</v>
      </c>
      <c r="X7" s="772"/>
      <c r="Y7" s="3250" t="s">
        <v>2541</v>
      </c>
      <c r="Z7" s="3251"/>
      <c r="AA7" s="773" t="e">
        <f>D7/F7</f>
        <v>#DIV/0!</v>
      </c>
      <c r="AB7" s="773" t="e">
        <f>D7/H7</f>
        <v>#DIV/0!</v>
      </c>
      <c r="AC7" s="773" t="e">
        <f>D7/J7</f>
        <v>#DIV/0!</v>
      </c>
    </row>
    <row r="8" spans="1:29" s="117" customFormat="1" ht="1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0" t="s">
        <v>2544</v>
      </c>
      <c r="Q8" s="3251"/>
      <c r="R8" s="770" t="s">
        <v>17</v>
      </c>
      <c r="S8" s="771">
        <f t="shared" si="0"/>
        <v>0</v>
      </c>
      <c r="T8" s="770" t="s">
        <v>17</v>
      </c>
      <c r="U8" s="771">
        <f t="shared" si="1"/>
        <v>0</v>
      </c>
      <c r="V8" s="770" t="s">
        <v>17</v>
      </c>
      <c r="W8" s="771">
        <f t="shared" si="2"/>
        <v>0</v>
      </c>
      <c r="X8" s="772"/>
      <c r="Y8" s="3250" t="s">
        <v>2544</v>
      </c>
      <c r="Z8" s="3251"/>
      <c r="AA8" s="773" t="e">
        <f t="shared" ref="AA8:AA34" si="3">D8/F8</f>
        <v>#DIV/0!</v>
      </c>
      <c r="AB8" s="773" t="e">
        <f t="shared" ref="AB8:AB34" si="4">D8/H8</f>
        <v>#DIV/0!</v>
      </c>
      <c r="AC8" s="773" t="e">
        <f t="shared" ref="AC8:AC34" si="5">D8/J8</f>
        <v>#DIV/0!</v>
      </c>
    </row>
    <row r="9" spans="1:29" s="117" customFormat="1" ht="14.4">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2547</v>
      </c>
      <c r="Q9" s="1795" t="str">
        <f t="shared" ref="Q9:Q14" si="6">B9</f>
        <v>用途</v>
      </c>
      <c r="R9" s="770" t="s">
        <v>17</v>
      </c>
      <c r="S9" s="771">
        <f t="shared" si="0"/>
        <v>100</v>
      </c>
      <c r="T9" s="770" t="s">
        <v>17</v>
      </c>
      <c r="U9" s="771">
        <f t="shared" si="1"/>
        <v>100</v>
      </c>
      <c r="V9" s="770" t="s">
        <v>17</v>
      </c>
      <c r="W9" s="771">
        <f t="shared" si="2"/>
        <v>100</v>
      </c>
      <c r="X9" s="772"/>
      <c r="Y9" s="3016" t="s">
        <v>2548</v>
      </c>
      <c r="Z9" s="55" t="str">
        <f t="shared" ref="Z9:Z14" si="7">Q9</f>
        <v>用途</v>
      </c>
      <c r="AA9" s="773">
        <f t="shared" si="3"/>
        <v>1</v>
      </c>
      <c r="AB9" s="773">
        <f t="shared" si="4"/>
        <v>1</v>
      </c>
      <c r="AC9" s="773">
        <f t="shared" si="5"/>
        <v>1</v>
      </c>
    </row>
    <row r="10" spans="1:29" s="427" customFormat="1" ht="28.8">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95">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6"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96.6">
      <c r="A14" s="440" t="s">
        <v>2551</v>
      </c>
      <c r="B14" s="69" t="s">
        <v>2701</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2552</v>
      </c>
      <c r="Q14" s="1810" t="str">
        <f t="shared" si="6"/>
        <v>交通便捷度</v>
      </c>
      <c r="R14" s="774" t="s">
        <v>17</v>
      </c>
      <c r="S14" s="775">
        <f t="shared" si="0"/>
        <v>100</v>
      </c>
      <c r="T14" s="774" t="s">
        <v>17</v>
      </c>
      <c r="U14" s="775">
        <f t="shared" si="1"/>
        <v>100</v>
      </c>
      <c r="V14" s="774" t="s">
        <v>17</v>
      </c>
      <c r="W14" s="775">
        <f t="shared" si="2"/>
        <v>100</v>
      </c>
      <c r="X14" s="1813"/>
      <c r="Y14" s="3216"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7"/>
      <c r="Q15" s="1810"/>
      <c r="R15" s="774"/>
      <c r="S15" s="775"/>
      <c r="T15" s="774"/>
      <c r="U15" s="775"/>
      <c r="V15" s="774"/>
      <c r="W15" s="775"/>
      <c r="X15" s="1813"/>
      <c r="Y15" s="3217"/>
      <c r="Z15" s="1814"/>
      <c r="AA15" s="1811">
        <v>1</v>
      </c>
      <c r="AB15" s="1811">
        <v>1</v>
      </c>
      <c r="AC15" s="1811">
        <v>1</v>
      </c>
    </row>
    <row r="16" spans="1:29" ht="41.4">
      <c r="A16" s="428"/>
      <c r="B16" s="451" t="s">
        <v>2680</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217"/>
      <c r="Q17" s="1810"/>
      <c r="R17" s="774"/>
      <c r="S17" s="775"/>
      <c r="T17" s="774"/>
      <c r="U17" s="775"/>
      <c r="V17" s="774"/>
      <c r="W17" s="775"/>
      <c r="X17" s="1813"/>
      <c r="Y17" s="3217"/>
      <c r="Z17" s="1814"/>
      <c r="AA17" s="1811">
        <v>1</v>
      </c>
      <c r="AB17" s="1811">
        <v>1</v>
      </c>
      <c r="AC17" s="1811">
        <v>1</v>
      </c>
    </row>
    <row r="18" spans="1:29" ht="41.4">
      <c r="A18" s="428"/>
      <c r="B18" s="1384" t="s">
        <v>2681</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217"/>
      <c r="Q19" s="1810"/>
      <c r="R19" s="774"/>
      <c r="S19" s="775"/>
      <c r="T19" s="774"/>
      <c r="U19" s="775"/>
      <c r="V19" s="774"/>
      <c r="W19" s="775"/>
      <c r="X19" s="1813"/>
      <c r="Y19" s="3217"/>
      <c r="Z19" s="1814"/>
      <c r="AA19" s="1811">
        <v>1</v>
      </c>
      <c r="AB19" s="1811">
        <v>1</v>
      </c>
      <c r="AC19" s="1811">
        <v>1</v>
      </c>
    </row>
    <row r="20" spans="1:29" ht="55.2">
      <c r="A20" s="428"/>
      <c r="B20" s="451" t="s">
        <v>2702</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7"/>
      <c r="Q21" s="1810"/>
      <c r="R21" s="774"/>
      <c r="S21" s="775"/>
      <c r="T21" s="774"/>
      <c r="U21" s="775"/>
      <c r="V21" s="774"/>
      <c r="W21" s="775"/>
      <c r="X21" s="1813"/>
      <c r="Y21" s="3217"/>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10">
        <f t="shared" ref="Q24:Q34"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5.6"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30">
      <c r="A26" s="466" t="s">
        <v>2555</v>
      </c>
      <c r="B26" s="71" t="s">
        <v>2706</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72" t="s">
        <v>2557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1" t="s">
        <v>2557</v>
      </c>
      <c r="Z26" s="1814" t="str">
        <f t="shared" ref="Z26:Z34" si="15">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10" t="str">
        <f t="shared" si="11"/>
        <v>物业等级</v>
      </c>
      <c r="R28" s="774" t="s">
        <v>17</v>
      </c>
      <c r="S28" s="775">
        <f t="shared" si="12"/>
        <v>100</v>
      </c>
      <c r="T28" s="774" t="s">
        <v>17</v>
      </c>
      <c r="U28" s="775">
        <f t="shared" si="13"/>
        <v>100</v>
      </c>
      <c r="V28" s="774" t="s">
        <v>17</v>
      </c>
      <c r="W28" s="775">
        <f t="shared" si="14"/>
        <v>100</v>
      </c>
      <c r="X28" s="1813"/>
      <c r="Y28" s="3221"/>
      <c r="Z28" s="1814" t="str">
        <f t="shared" si="15"/>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10" t="str">
        <f t="shared" si="11"/>
        <v>有无电梯</v>
      </c>
      <c r="R29" s="774" t="s">
        <v>17</v>
      </c>
      <c r="S29" s="775">
        <f t="shared" si="12"/>
        <v>100</v>
      </c>
      <c r="T29" s="774" t="s">
        <v>17</v>
      </c>
      <c r="U29" s="775">
        <f t="shared" si="13"/>
        <v>100</v>
      </c>
      <c r="V29" s="774" t="s">
        <v>17</v>
      </c>
      <c r="W29" s="775">
        <f t="shared" si="14"/>
        <v>100</v>
      </c>
      <c r="X29" s="1813"/>
      <c r="Y29" s="3221"/>
      <c r="Z29" s="1814" t="str">
        <f t="shared" si="15"/>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10" t="str">
        <f t="shared" si="11"/>
        <v>建筑面积</v>
      </c>
      <c r="R30" s="774" t="s">
        <v>17</v>
      </c>
      <c r="S30" s="775" t="e">
        <f t="shared" si="12"/>
        <v>#N/A</v>
      </c>
      <c r="T30" s="774" t="s">
        <v>17</v>
      </c>
      <c r="U30" s="775" t="e">
        <f t="shared" si="13"/>
        <v>#N/A</v>
      </c>
      <c r="V30" s="774" t="s">
        <v>17</v>
      </c>
      <c r="W30" s="775" t="e">
        <f t="shared" si="14"/>
        <v>#N/A</v>
      </c>
      <c r="X30" s="1813"/>
      <c r="Y30" s="3221"/>
      <c r="Z30" s="1814" t="str">
        <f t="shared" si="15"/>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95"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2557</v>
      </c>
      <c r="Q32" s="1810">
        <f t="shared" si="11"/>
        <v>111</v>
      </c>
      <c r="R32" s="774" t="s">
        <v>17</v>
      </c>
      <c r="S32" s="775">
        <f t="shared" si="12"/>
        <v>100</v>
      </c>
      <c r="T32" s="774" t="s">
        <v>17</v>
      </c>
      <c r="U32" s="775">
        <f t="shared" si="13"/>
        <v>100</v>
      </c>
      <c r="V32" s="774" t="s">
        <v>17</v>
      </c>
      <c r="W32" s="775">
        <f t="shared" si="14"/>
        <v>100</v>
      </c>
      <c r="X32" s="1813"/>
      <c r="Y32" s="3221" t="s">
        <v>2557</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10">
        <f t="shared" si="11"/>
        <v>111</v>
      </c>
      <c r="R33" s="774" t="s">
        <v>17</v>
      </c>
      <c r="S33" s="775">
        <f t="shared" si="12"/>
        <v>100</v>
      </c>
      <c r="T33" s="774" t="s">
        <v>17</v>
      </c>
      <c r="U33" s="775">
        <f t="shared" si="13"/>
        <v>100</v>
      </c>
      <c r="V33" s="774" t="s">
        <v>17</v>
      </c>
      <c r="W33" s="775">
        <f t="shared" si="14"/>
        <v>100</v>
      </c>
      <c r="X33" s="1813"/>
      <c r="Y33" s="3221"/>
      <c r="Z33" s="1814">
        <f t="shared" si="15"/>
        <v>111</v>
      </c>
      <c r="AA33" s="1811">
        <f t="shared" si="3"/>
        <v>1</v>
      </c>
      <c r="AB33" s="1811">
        <f t="shared" si="4"/>
        <v>1</v>
      </c>
      <c r="AC33" s="1811">
        <f t="shared" si="5"/>
        <v>1</v>
      </c>
    </row>
    <row r="34" spans="1:29" ht="15.6"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ht="14.4">
      <c r="A35" s="479" t="s">
        <v>2569</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 thickBot="1">
      <c r="A37" s="492" t="s">
        <v>2662</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2666</v>
      </c>
      <c r="B45" s="759"/>
      <c r="C45" s="764"/>
      <c r="D45" s="764"/>
      <c r="E45" s="764"/>
      <c r="F45" s="765"/>
      <c r="G45" s="765"/>
      <c r="H45" s="764"/>
      <c r="I45" s="764"/>
      <c r="J45" s="764"/>
      <c r="K45" s="766"/>
      <c r="L45" s="767"/>
      <c r="M45" s="764"/>
      <c r="N45" s="764"/>
      <c r="O45" s="764"/>
      <c r="P45" s="503"/>
      <c r="Q45" s="504"/>
    </row>
    <row r="46" spans="1:29" s="508" customFormat="1" ht="14.4">
      <c r="A46" s="505" t="s">
        <v>2540</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2577</v>
      </c>
      <c r="B48" s="516"/>
      <c r="C48" s="517"/>
      <c r="D48" s="518"/>
      <c r="E48" s="518"/>
      <c r="F48" s="518"/>
      <c r="G48" s="518"/>
      <c r="H48" s="518"/>
      <c r="I48" s="518"/>
      <c r="J48" s="518"/>
      <c r="K48" s="518"/>
      <c r="L48" s="518"/>
      <c r="M48" s="519"/>
      <c r="N48" s="518"/>
      <c r="O48" s="520"/>
      <c r="P48" s="504"/>
      <c r="Q48" s="504"/>
    </row>
    <row r="49" spans="1:17" s="117" customFormat="1" ht="14.4">
      <c r="A49" s="521" t="s">
        <v>2542</v>
      </c>
      <c r="B49" s="510"/>
      <c r="C49" s="522" t="s">
        <v>2644</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2580</v>
      </c>
      <c r="B51" s="528" t="s">
        <v>2546</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2721</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zoomScale="80" zoomScaleNormal="80" workbookViewId="0">
      <selection activeCell="E3" sqref="E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2637</v>
      </c>
      <c r="B4" s="402"/>
      <c r="C4" s="3229" t="s">
        <v>2638</v>
      </c>
      <c r="D4" s="3230"/>
      <c r="E4" s="3231" t="s">
        <v>2639</v>
      </c>
      <c r="F4" s="3232"/>
      <c r="G4" s="3229" t="s">
        <v>2640</v>
      </c>
      <c r="H4" s="3230"/>
      <c r="I4" s="3229" t="s">
        <v>2641</v>
      </c>
      <c r="J4" s="3230"/>
      <c r="K4" s="610" t="s">
        <v>2642</v>
      </c>
      <c r="L4" s="1130"/>
      <c r="M4" s="1131"/>
      <c r="N4" s="1131"/>
      <c r="O4" s="1131"/>
      <c r="P4" s="3233" t="s">
        <v>2643</v>
      </c>
      <c r="Q4" s="3234"/>
      <c r="R4" s="3239" t="s">
        <v>2639</v>
      </c>
      <c r="S4" s="3240"/>
      <c r="T4" s="3239" t="s">
        <v>2640</v>
      </c>
      <c r="U4" s="3240"/>
      <c r="V4" s="3245" t="s">
        <v>2641</v>
      </c>
      <c r="W4" s="3245"/>
      <c r="X4" s="1813"/>
      <c r="Y4" s="3239" t="s">
        <v>2643</v>
      </c>
      <c r="Z4" s="3240"/>
      <c r="AA4" s="3226" t="s">
        <v>2639</v>
      </c>
      <c r="AB4" s="3227" t="s">
        <v>2640</v>
      </c>
      <c r="AC4" s="3226" t="s">
        <v>2641</v>
      </c>
    </row>
    <row r="5" spans="1:30">
      <c r="A5" s="404"/>
      <c r="B5" s="405"/>
      <c r="C5" s="3248" t="s">
        <v>2534</v>
      </c>
      <c r="D5" s="3249"/>
      <c r="E5" s="3255" t="s">
        <v>2535</v>
      </c>
      <c r="F5" s="3256"/>
      <c r="G5" s="3248" t="s">
        <v>2536</v>
      </c>
      <c r="H5" s="3249"/>
      <c r="I5" s="3248" t="s">
        <v>2537</v>
      </c>
      <c r="J5" s="3249"/>
      <c r="K5" s="610"/>
      <c r="L5" s="1130"/>
      <c r="M5" s="1131"/>
      <c r="N5" s="1131"/>
      <c r="O5" s="1131"/>
      <c r="P5" s="3235"/>
      <c r="Q5" s="3236"/>
      <c r="R5" s="3241"/>
      <c r="S5" s="3242"/>
      <c r="T5" s="3241"/>
      <c r="U5" s="3242"/>
      <c r="V5" s="3245"/>
      <c r="W5" s="3245"/>
      <c r="X5" s="1813"/>
      <c r="Y5" s="3241"/>
      <c r="Z5" s="3242"/>
      <c r="AA5" s="3227"/>
      <c r="AB5" s="3227"/>
      <c r="AC5" s="3227"/>
    </row>
    <row r="6" spans="1:30" ht="15" thickBot="1">
      <c r="A6" s="406"/>
      <c r="B6" s="407"/>
      <c r="C6" s="3246" t="s">
        <v>2538</v>
      </c>
      <c r="D6" s="3247"/>
      <c r="E6" s="3253" t="s">
        <v>2538</v>
      </c>
      <c r="F6" s="3254"/>
      <c r="G6" s="3246" t="s">
        <v>2538</v>
      </c>
      <c r="H6" s="3247"/>
      <c r="I6" s="3246" t="s">
        <v>2538</v>
      </c>
      <c r="J6" s="3247"/>
      <c r="K6" s="610" t="s">
        <v>2539</v>
      </c>
      <c r="L6" s="1130"/>
      <c r="M6" s="1131"/>
      <c r="N6" s="1131"/>
      <c r="O6" s="1131"/>
      <c r="P6" s="3237"/>
      <c r="Q6" s="3238"/>
      <c r="R6" s="3241"/>
      <c r="S6" s="3242"/>
      <c r="T6" s="3243"/>
      <c r="U6" s="3244"/>
      <c r="V6" s="3245"/>
      <c r="W6" s="3245"/>
      <c r="X6" s="1813"/>
      <c r="Y6" s="3243"/>
      <c r="Z6" s="3244"/>
      <c r="AA6" s="3228"/>
      <c r="AB6" s="3228"/>
      <c r="AC6" s="3228"/>
    </row>
    <row r="7" spans="1:30" s="117" customFormat="1" ht="15" thickBot="1">
      <c r="A7" s="408" t="s">
        <v>2540</v>
      </c>
      <c r="B7" s="409"/>
      <c r="C7" s="410">
        <f>'数据-取费表'!B2</f>
        <v>43921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50" t="s">
        <v>2541</v>
      </c>
      <c r="Q7" s="3252"/>
      <c r="R7" s="770" t="s">
        <v>17</v>
      </c>
      <c r="S7" s="771">
        <f t="shared" ref="S7:S15" si="0">F7</f>
        <v>0</v>
      </c>
      <c r="T7" s="770" t="s">
        <v>17</v>
      </c>
      <c r="U7" s="771">
        <f t="shared" ref="U7:U15" si="1">H7</f>
        <v>0</v>
      </c>
      <c r="V7" s="770" t="s">
        <v>17</v>
      </c>
      <c r="W7" s="771">
        <f t="shared" ref="W7:W15" si="2">J7</f>
        <v>0</v>
      </c>
      <c r="X7" s="772"/>
      <c r="Y7" s="3250" t="s">
        <v>2541</v>
      </c>
      <c r="Z7" s="3251"/>
      <c r="AA7" s="773" t="e">
        <f>D7/F7</f>
        <v>#DIV/0!</v>
      </c>
      <c r="AB7" s="773" t="e">
        <f>D7/H7</f>
        <v>#DIV/0!</v>
      </c>
      <c r="AC7" s="773" t="e">
        <f>D7/J7</f>
        <v>#DIV/0!</v>
      </c>
    </row>
    <row r="8" spans="1:30" s="117" customFormat="1" ht="1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0" t="s">
        <v>2544</v>
      </c>
      <c r="Q8" s="3251"/>
      <c r="R8" s="770" t="s">
        <v>17</v>
      </c>
      <c r="S8" s="771">
        <f t="shared" si="0"/>
        <v>0</v>
      </c>
      <c r="T8" s="770" t="s">
        <v>17</v>
      </c>
      <c r="U8" s="771">
        <f t="shared" si="1"/>
        <v>0</v>
      </c>
      <c r="V8" s="770" t="s">
        <v>17</v>
      </c>
      <c r="W8" s="771">
        <f t="shared" si="2"/>
        <v>0</v>
      </c>
      <c r="X8" s="772"/>
      <c r="Y8" s="3250" t="s">
        <v>2544</v>
      </c>
      <c r="Z8" s="3251"/>
      <c r="AA8" s="773" t="e">
        <f t="shared" ref="AA8:AA45" si="3">D8/F8</f>
        <v>#DIV/0!</v>
      </c>
      <c r="AB8" s="773" t="e">
        <f t="shared" ref="AB8:AB45" si="4">D8/H8</f>
        <v>#DIV/0!</v>
      </c>
      <c r="AC8" s="773" t="e">
        <f t="shared" ref="AC8:AC45" si="5">D8/J8</f>
        <v>#DIV/0!</v>
      </c>
    </row>
    <row r="9" spans="1:30" s="117" customFormat="1" ht="14.4">
      <c r="A9" s="415" t="s">
        <v>2545</v>
      </c>
      <c r="B9" s="71" t="s">
        <v>2546</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214" t="s">
        <v>2547</v>
      </c>
      <c r="Q9" s="1795"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30" s="427" customFormat="1" ht="28.8">
      <c r="A10" s="421"/>
      <c r="B10" s="422" t="s">
        <v>2549</v>
      </c>
      <c r="C10" s="432"/>
      <c r="D10" s="136">
        <v>100</v>
      </c>
      <c r="E10" s="465"/>
      <c r="F10" s="136">
        <f ca="1">ROUND(100/'数据-取费表'!G16,0)</f>
        <v>114</v>
      </c>
      <c r="G10" s="463"/>
      <c r="H10" s="136">
        <f ca="1">ROUND(100/'数据-取费表'!G16,0)</f>
        <v>114</v>
      </c>
      <c r="I10" s="463"/>
      <c r="J10" s="136">
        <f ca="1">ROUND(100/'数据-取费表'!G16,0)</f>
        <v>114</v>
      </c>
      <c r="K10" s="672"/>
      <c r="L10" s="1135"/>
      <c r="M10" s="1136"/>
      <c r="N10" s="1136"/>
      <c r="O10" s="1137"/>
      <c r="P10" s="3214"/>
      <c r="Q10" s="1795" t="str">
        <f t="shared" si="6"/>
        <v>土地使用年限（年）</v>
      </c>
      <c r="R10" s="770" t="s">
        <v>17</v>
      </c>
      <c r="S10" s="771">
        <f t="shared" ca="1" si="0"/>
        <v>114</v>
      </c>
      <c r="T10" s="770" t="s">
        <v>17</v>
      </c>
      <c r="U10" s="771">
        <f t="shared" ca="1" si="1"/>
        <v>114</v>
      </c>
      <c r="V10" s="770" t="s">
        <v>17</v>
      </c>
      <c r="W10" s="771">
        <f t="shared" ca="1" si="2"/>
        <v>114</v>
      </c>
      <c r="X10" s="772"/>
      <c r="Y10" s="3016"/>
      <c r="Z10" s="55" t="str">
        <f t="shared" si="7"/>
        <v>土地使用年限（年）</v>
      </c>
      <c r="AA10" s="773">
        <f t="shared" ca="1" si="3"/>
        <v>0.8771929824561403</v>
      </c>
      <c r="AB10" s="773">
        <f t="shared" ca="1" si="4"/>
        <v>0.8771929824561403</v>
      </c>
      <c r="AC10" s="773">
        <f t="shared" ca="1" si="5"/>
        <v>0.8771929824561403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596"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95"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6"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6.6">
      <c r="A15" s="440" t="s">
        <v>2551</v>
      </c>
      <c r="B15" s="69" t="s">
        <v>2079</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2552</v>
      </c>
      <c r="Q15" s="1810" t="str">
        <f t="shared" si="6"/>
        <v>居住社区成熟度</v>
      </c>
      <c r="R15" s="774" t="s">
        <v>17</v>
      </c>
      <c r="S15" s="775">
        <f t="shared" si="0"/>
        <v>100</v>
      </c>
      <c r="T15" s="774" t="s">
        <v>17</v>
      </c>
      <c r="U15" s="775">
        <f t="shared" si="1"/>
        <v>100</v>
      </c>
      <c r="V15" s="774" t="s">
        <v>17</v>
      </c>
      <c r="W15" s="775">
        <f t="shared" si="2"/>
        <v>100</v>
      </c>
      <c r="X15" s="1813"/>
      <c r="Y15" s="3216" t="s">
        <v>2552</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82.8">
      <c r="A17" s="428"/>
      <c r="B17" s="451" t="s">
        <v>2645</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10" t="str">
        <f>B17</f>
        <v>商业繁华度</v>
      </c>
      <c r="R17" s="774" t="s">
        <v>17</v>
      </c>
      <c r="S17" s="775">
        <f>F17</f>
        <v>100</v>
      </c>
      <c r="T17" s="774" t="s">
        <v>17</v>
      </c>
      <c r="U17" s="775">
        <f>H17</f>
        <v>100</v>
      </c>
      <c r="V17" s="774" t="s">
        <v>17</v>
      </c>
      <c r="W17" s="775">
        <f>J17</f>
        <v>100</v>
      </c>
      <c r="X17" s="1813"/>
      <c r="Y17" s="3217"/>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82.8">
      <c r="A19" s="428"/>
      <c r="B19" s="451" t="s">
        <v>2679</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10" t="str">
        <f>B19</f>
        <v>办公集聚程度</v>
      </c>
      <c r="R19" s="774" t="s">
        <v>17</v>
      </c>
      <c r="S19" s="775">
        <f>F19</f>
        <v>100</v>
      </c>
      <c r="T19" s="774" t="s">
        <v>17</v>
      </c>
      <c r="U19" s="775">
        <f>H19</f>
        <v>100</v>
      </c>
      <c r="V19" s="774" t="s">
        <v>17</v>
      </c>
      <c r="W19" s="775">
        <f>J19</f>
        <v>100</v>
      </c>
      <c r="X19" s="1813"/>
      <c r="Y19" s="3217"/>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217"/>
      <c r="Q20" s="1810"/>
      <c r="R20" s="774"/>
      <c r="S20" s="775"/>
      <c r="T20" s="774"/>
      <c r="U20" s="775"/>
      <c r="V20" s="774"/>
      <c r="W20" s="775"/>
      <c r="X20" s="1813"/>
      <c r="Y20" s="3217"/>
      <c r="Z20" s="1814"/>
      <c r="AA20" s="1811">
        <v>1</v>
      </c>
      <c r="AB20" s="1811">
        <v>1</v>
      </c>
      <c r="AC20" s="1811">
        <v>1</v>
      </c>
    </row>
    <row r="21" spans="1:29" ht="96.6">
      <c r="A21" s="428"/>
      <c r="B21" s="451" t="s">
        <v>2701</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10" t="str">
        <f>B21</f>
        <v>交通便捷度</v>
      </c>
      <c r="R21" s="774" t="s">
        <v>17</v>
      </c>
      <c r="S21" s="775">
        <f>F21</f>
        <v>100</v>
      </c>
      <c r="T21" s="774" t="s">
        <v>17</v>
      </c>
      <c r="U21" s="775">
        <f>H21</f>
        <v>100</v>
      </c>
      <c r="V21" s="774" t="s">
        <v>17</v>
      </c>
      <c r="W21" s="775">
        <f>J21</f>
        <v>100</v>
      </c>
      <c r="X21" s="1813"/>
      <c r="Y21" s="3217"/>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ht="28.8">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10" t="str">
        <f t="shared" ref="Q23:Q37" si="8">B23</f>
        <v>区域土地利用方向</v>
      </c>
      <c r="R23" s="774" t="s">
        <v>17</v>
      </c>
      <c r="S23" s="775">
        <f>F23</f>
        <v>100</v>
      </c>
      <c r="T23" s="774" t="s">
        <v>17</v>
      </c>
      <c r="U23" s="775">
        <f>H23</f>
        <v>100</v>
      </c>
      <c r="V23" s="774" t="s">
        <v>17</v>
      </c>
      <c r="W23" s="775">
        <f>J23</f>
        <v>100</v>
      </c>
      <c r="X23" s="1813"/>
      <c r="Y23" s="3217"/>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217"/>
      <c r="Q24" s="1810"/>
      <c r="R24" s="774"/>
      <c r="S24" s="775"/>
      <c r="T24" s="774"/>
      <c r="U24" s="775"/>
      <c r="V24" s="774"/>
      <c r="W24" s="775"/>
      <c r="X24" s="1813"/>
      <c r="Y24" s="3217"/>
      <c r="Z24" s="1814"/>
      <c r="AA24" s="1811"/>
      <c r="AB24" s="1811"/>
      <c r="AC24" s="1811"/>
    </row>
    <row r="25" spans="1:29" ht="55.2">
      <c r="A25" s="404"/>
      <c r="B25" s="1384" t="s">
        <v>2741</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10" t="str">
        <f t="shared" si="8"/>
        <v>自然及人文环境状况</v>
      </c>
      <c r="R25" s="774" t="s">
        <v>17</v>
      </c>
      <c r="S25" s="775">
        <f>F25</f>
        <v>100</v>
      </c>
      <c r="T25" s="774" t="s">
        <v>17</v>
      </c>
      <c r="U25" s="775">
        <f>H25</f>
        <v>100</v>
      </c>
      <c r="V25" s="774" t="s">
        <v>17</v>
      </c>
      <c r="W25" s="775">
        <f>J25</f>
        <v>100</v>
      </c>
      <c r="X25" s="1813"/>
      <c r="Y25" s="3217"/>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217"/>
      <c r="Q26" s="1810"/>
      <c r="R26" s="774"/>
      <c r="S26" s="775"/>
      <c r="T26" s="774"/>
      <c r="U26" s="775"/>
      <c r="V26" s="774"/>
      <c r="W26" s="775"/>
      <c r="X26" s="1813"/>
      <c r="Y26" s="3217"/>
      <c r="Z26" s="1814"/>
      <c r="AA26" s="1811">
        <v>1</v>
      </c>
      <c r="AB26" s="1811">
        <v>1</v>
      </c>
      <c r="AC26" s="1811">
        <v>1</v>
      </c>
    </row>
    <row r="27" spans="1:29" s="117" customFormat="1" ht="41.4">
      <c r="A27" s="649"/>
      <c r="B27" s="1384" t="s">
        <v>2646</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95" t="str">
        <f t="shared" si="8"/>
        <v>公共配套设施</v>
      </c>
      <c r="R27" s="770" t="s">
        <v>17</v>
      </c>
      <c r="S27" s="771">
        <f>F27</f>
        <v>100</v>
      </c>
      <c r="T27" s="770" t="s">
        <v>17</v>
      </c>
      <c r="U27" s="771">
        <f>H27</f>
        <v>100</v>
      </c>
      <c r="V27" s="770" t="s">
        <v>17</v>
      </c>
      <c r="W27" s="771">
        <f>J27</f>
        <v>100</v>
      </c>
      <c r="X27" s="772"/>
      <c r="Y27" s="3217"/>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217"/>
      <c r="Q28" s="1795"/>
      <c r="R28" s="770"/>
      <c r="S28" s="771"/>
      <c r="T28" s="770"/>
      <c r="U28" s="771"/>
      <c r="V28" s="770"/>
      <c r="W28" s="771"/>
      <c r="X28" s="772"/>
      <c r="Y28" s="3217"/>
      <c r="Z28" s="55"/>
      <c r="AA28" s="1811">
        <v>1</v>
      </c>
      <c r="AB28" s="1811">
        <v>1</v>
      </c>
      <c r="AC28" s="1811">
        <v>1</v>
      </c>
    </row>
    <row r="29" spans="1:29" s="117" customFormat="1" ht="41.4">
      <c r="A29" s="649"/>
      <c r="B29" s="1384" t="s">
        <v>2647</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95"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217"/>
      <c r="Q30" s="1795"/>
      <c r="R30" s="770"/>
      <c r="S30" s="771"/>
      <c r="T30" s="770"/>
      <c r="U30" s="771"/>
      <c r="V30" s="770"/>
      <c r="W30" s="771"/>
      <c r="X30" s="772"/>
      <c r="Y30" s="3217"/>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7"/>
      <c r="Z31" s="1814" t="str">
        <f t="shared" ref="Z31:Z45" si="13">Q31</f>
        <v>临街状况</v>
      </c>
      <c r="AA31" s="1811">
        <f t="shared" si="3"/>
        <v>1</v>
      </c>
      <c r="AB31" s="1811">
        <f t="shared" si="4"/>
        <v>1</v>
      </c>
      <c r="AC31" s="1811">
        <f t="shared" si="5"/>
        <v>1</v>
      </c>
    </row>
    <row r="32" spans="1:29" ht="28.8">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10" t="str">
        <f t="shared" si="8"/>
        <v>毗邻道路的类型与等级</v>
      </c>
      <c r="R32" s="774" t="s">
        <v>17</v>
      </c>
      <c r="S32" s="775">
        <f t="shared" si="10"/>
        <v>100</v>
      </c>
      <c r="T32" s="774" t="s">
        <v>17</v>
      </c>
      <c r="U32" s="775">
        <f t="shared" si="11"/>
        <v>100</v>
      </c>
      <c r="V32" s="774" t="s">
        <v>17</v>
      </c>
      <c r="W32" s="775">
        <f t="shared" si="12"/>
        <v>100</v>
      </c>
      <c r="X32" s="1813"/>
      <c r="Y32" s="3217"/>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217"/>
      <c r="Q33" s="1810"/>
      <c r="R33" s="774"/>
      <c r="S33" s="775"/>
      <c r="T33" s="774"/>
      <c r="U33" s="775"/>
      <c r="V33" s="774"/>
      <c r="W33" s="775"/>
      <c r="X33" s="1813"/>
      <c r="Y33" s="3217"/>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10" t="str">
        <f t="shared" si="8"/>
        <v>土地级别</v>
      </c>
      <c r="R34" s="774" t="s">
        <v>17</v>
      </c>
      <c r="S34" s="775">
        <f t="shared" si="10"/>
        <v>100</v>
      </c>
      <c r="T34" s="774" t="s">
        <v>17</v>
      </c>
      <c r="U34" s="775">
        <f t="shared" si="11"/>
        <v>100</v>
      </c>
      <c r="V34" s="774" t="s">
        <v>17</v>
      </c>
      <c r="W34" s="775">
        <f t="shared" si="12"/>
        <v>100</v>
      </c>
      <c r="X34" s="1813"/>
      <c r="Y34" s="321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10">
        <f t="shared" si="8"/>
        <v>111</v>
      </c>
      <c r="R35" s="774" t="s">
        <v>17</v>
      </c>
      <c r="S35" s="775">
        <f t="shared" si="10"/>
        <v>100</v>
      </c>
      <c r="T35" s="774" t="s">
        <v>17</v>
      </c>
      <c r="U35" s="775">
        <f t="shared" si="11"/>
        <v>100</v>
      </c>
      <c r="V35" s="774" t="s">
        <v>17</v>
      </c>
      <c r="W35" s="775">
        <f t="shared" si="12"/>
        <v>100</v>
      </c>
      <c r="X35" s="1813"/>
      <c r="Y35" s="321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2" t="s">
        <v>2557</v>
      </c>
      <c r="Q36" s="1810">
        <f t="shared" si="8"/>
        <v>111</v>
      </c>
      <c r="R36" s="774" t="s">
        <v>17</v>
      </c>
      <c r="S36" s="775">
        <f t="shared" si="10"/>
        <v>100</v>
      </c>
      <c r="T36" s="774" t="s">
        <v>17</v>
      </c>
      <c r="U36" s="775">
        <f t="shared" si="11"/>
        <v>100</v>
      </c>
      <c r="V36" s="774" t="s">
        <v>17</v>
      </c>
      <c r="W36" s="775">
        <f t="shared" si="12"/>
        <v>100</v>
      </c>
      <c r="X36" s="1813"/>
      <c r="Y36" s="3221" t="s">
        <v>2557</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10">
        <f t="shared" si="8"/>
        <v>111</v>
      </c>
      <c r="R37" s="777" t="s">
        <v>17</v>
      </c>
      <c r="S37" s="778">
        <f t="shared" si="10"/>
        <v>100</v>
      </c>
      <c r="T37" s="777" t="s">
        <v>17</v>
      </c>
      <c r="U37" s="778">
        <f t="shared" si="11"/>
        <v>100</v>
      </c>
      <c r="V37" s="777" t="s">
        <v>17</v>
      </c>
      <c r="W37" s="778">
        <f t="shared" si="12"/>
        <v>100</v>
      </c>
      <c r="X37" s="779"/>
      <c r="Y37" s="3221"/>
      <c r="Z37" s="780">
        <f t="shared" si="13"/>
        <v>111</v>
      </c>
      <c r="AA37" s="1811">
        <f t="shared" si="3"/>
        <v>1</v>
      </c>
      <c r="AB37" s="1811">
        <f t="shared" si="4"/>
        <v>1</v>
      </c>
      <c r="AC37" s="1811">
        <f t="shared" si="5"/>
        <v>1</v>
      </c>
    </row>
    <row r="38" spans="1:29" ht="15.6">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10" t="str">
        <f>B38</f>
        <v>宗地面积</v>
      </c>
      <c r="R38" s="774" t="s">
        <v>17</v>
      </c>
      <c r="S38" s="775" t="e">
        <f t="shared" si="10"/>
        <v>#N/A</v>
      </c>
      <c r="T38" s="774" t="s">
        <v>17</v>
      </c>
      <c r="U38" s="775" t="e">
        <f t="shared" si="11"/>
        <v>#N/A</v>
      </c>
      <c r="V38" s="774" t="s">
        <v>17</v>
      </c>
      <c r="W38" s="775" t="e">
        <f t="shared" si="12"/>
        <v>#N/A</v>
      </c>
      <c r="X38" s="1813"/>
      <c r="Y38" s="3221"/>
      <c r="Z38" s="1814" t="str">
        <f t="shared" si="13"/>
        <v>宗地面积</v>
      </c>
      <c r="AA38" s="1811" t="e">
        <f t="shared" si="3"/>
        <v>#N/A</v>
      </c>
      <c r="AB38" s="1811" t="e">
        <f t="shared" si="4"/>
        <v>#N/A</v>
      </c>
      <c r="AC38" s="1811" t="e">
        <f t="shared" si="5"/>
        <v>#N/A</v>
      </c>
    </row>
    <row r="39" spans="1:29" ht="15">
      <c r="A39" s="472"/>
      <c r="B39" s="422" t="s">
        <v>2744</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21"/>
      <c r="Q39" s="1810" t="str">
        <f t="shared" ref="Q39:Q45" si="14">B39</f>
        <v>宗地形状</v>
      </c>
      <c r="R39" s="774" t="s">
        <v>17</v>
      </c>
      <c r="S39" s="775">
        <f t="shared" si="10"/>
        <v>100</v>
      </c>
      <c r="T39" s="774" t="s">
        <v>17</v>
      </c>
      <c r="U39" s="775">
        <f t="shared" si="11"/>
        <v>100</v>
      </c>
      <c r="V39" s="774" t="s">
        <v>17</v>
      </c>
      <c r="W39" s="775">
        <f t="shared" si="12"/>
        <v>100</v>
      </c>
      <c r="X39" s="1813"/>
      <c r="Y39" s="3221"/>
      <c r="Z39" s="1814" t="str">
        <f t="shared" si="13"/>
        <v>宗地形状</v>
      </c>
      <c r="AA39" s="1811">
        <f t="shared" si="3"/>
        <v>1</v>
      </c>
      <c r="AB39" s="1811">
        <f t="shared" si="4"/>
        <v>1</v>
      </c>
      <c r="AC39" s="1811">
        <f t="shared" si="5"/>
        <v>1</v>
      </c>
    </row>
    <row r="40" spans="1:29" ht="15">
      <c r="A40" s="472"/>
      <c r="B40" s="422" t="s">
        <v>2745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21"/>
      <c r="Q40" s="1810" t="str">
        <f t="shared" si="14"/>
        <v>临街宽度及深度</v>
      </c>
      <c r="R40" s="774" t="s">
        <v>17</v>
      </c>
      <c r="S40" s="775">
        <f t="shared" si="10"/>
        <v>100</v>
      </c>
      <c r="T40" s="774" t="s">
        <v>17</v>
      </c>
      <c r="U40" s="775">
        <f t="shared" si="11"/>
        <v>100</v>
      </c>
      <c r="V40" s="774" t="s">
        <v>17</v>
      </c>
      <c r="W40" s="775">
        <f t="shared" si="12"/>
        <v>100</v>
      </c>
      <c r="X40" s="1813"/>
      <c r="Y40" s="3221"/>
      <c r="Z40" s="1814" t="str">
        <f t="shared" si="13"/>
        <v>临街宽度及深度</v>
      </c>
      <c r="AA40" s="1811">
        <f t="shared" si="3"/>
        <v>1</v>
      </c>
      <c r="AB40" s="1811">
        <f t="shared" si="4"/>
        <v>1</v>
      </c>
      <c r="AC40" s="1811">
        <f t="shared" si="5"/>
        <v>1</v>
      </c>
    </row>
    <row r="41" spans="1:29" s="117" customFormat="1" ht="15">
      <c r="A41" s="473"/>
      <c r="B41" s="422" t="s">
        <v>2746</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21"/>
      <c r="Q41" s="1810"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2747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21" t="s">
        <v>2557</v>
      </c>
      <c r="Q42" s="1810" t="str">
        <f t="shared" si="14"/>
        <v>工程地质条件</v>
      </c>
      <c r="R42" s="774" t="s">
        <v>17</v>
      </c>
      <c r="S42" s="775">
        <f t="shared" si="10"/>
        <v>100</v>
      </c>
      <c r="T42" s="774" t="s">
        <v>17</v>
      </c>
      <c r="U42" s="775">
        <f t="shared" si="11"/>
        <v>100</v>
      </c>
      <c r="V42" s="774" t="s">
        <v>17</v>
      </c>
      <c r="W42" s="775">
        <f t="shared" si="12"/>
        <v>100</v>
      </c>
      <c r="X42" s="1813"/>
      <c r="Y42" s="3221" t="s">
        <v>2557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10">
        <f t="shared" si="14"/>
        <v>111</v>
      </c>
      <c r="R43" s="774" t="s">
        <v>17</v>
      </c>
      <c r="S43" s="775">
        <f t="shared" si="10"/>
        <v>100</v>
      </c>
      <c r="T43" s="774" t="s">
        <v>17</v>
      </c>
      <c r="U43" s="775">
        <f t="shared" si="11"/>
        <v>100</v>
      </c>
      <c r="V43" s="774" t="s">
        <v>17</v>
      </c>
      <c r="W43" s="775">
        <f t="shared" si="12"/>
        <v>100</v>
      </c>
      <c r="X43" s="1813"/>
      <c r="Y43" s="322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10">
        <f t="shared" si="14"/>
        <v>111</v>
      </c>
      <c r="R44" s="774" t="s">
        <v>17</v>
      </c>
      <c r="S44" s="775">
        <f t="shared" si="10"/>
        <v>100</v>
      </c>
      <c r="T44" s="774" t="s">
        <v>17</v>
      </c>
      <c r="U44" s="775">
        <f t="shared" si="11"/>
        <v>100</v>
      </c>
      <c r="V44" s="774" t="s">
        <v>17</v>
      </c>
      <c r="W44" s="775">
        <f t="shared" si="12"/>
        <v>100</v>
      </c>
      <c r="X44" s="1813"/>
      <c r="Y44" s="3221"/>
      <c r="Z44" s="1814">
        <f t="shared" si="13"/>
        <v>111</v>
      </c>
      <c r="AA44" s="1811">
        <f t="shared" si="3"/>
        <v>1</v>
      </c>
      <c r="AB44" s="1811">
        <f t="shared" si="4"/>
        <v>1</v>
      </c>
      <c r="AC44" s="1811">
        <f t="shared" si="5"/>
        <v>1</v>
      </c>
    </row>
    <row r="45" spans="1:29" s="471" customFormat="1" ht="15.6"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10">
        <f t="shared" si="14"/>
        <v>111</v>
      </c>
      <c r="R45" s="777" t="s">
        <v>17</v>
      </c>
      <c r="S45" s="778">
        <f t="shared" si="10"/>
        <v>100</v>
      </c>
      <c r="T45" s="777" t="s">
        <v>17</v>
      </c>
      <c r="U45" s="778">
        <f t="shared" si="11"/>
        <v>100</v>
      </c>
      <c r="V45" s="777" t="s">
        <v>17</v>
      </c>
      <c r="W45" s="778">
        <f t="shared" si="12"/>
        <v>100</v>
      </c>
      <c r="X45" s="779"/>
      <c r="Y45" s="3221"/>
      <c r="Z45" s="780">
        <f t="shared" si="13"/>
        <v>111</v>
      </c>
      <c r="AA45" s="1811">
        <f t="shared" si="3"/>
        <v>1</v>
      </c>
      <c r="AB45" s="1811">
        <f t="shared" si="4"/>
        <v>1</v>
      </c>
      <c r="AC45" s="1811">
        <f t="shared" si="5"/>
        <v>1</v>
      </c>
    </row>
    <row r="46" spans="1:29" ht="14.4">
      <c r="A46" s="479" t="s">
        <v>2712</v>
      </c>
      <c r="B46" s="2700" t="s">
        <v>2748</v>
      </c>
      <c r="C46" s="682" t="s">
        <v>1</v>
      </c>
      <c r="D46" s="481"/>
      <c r="E46" s="482"/>
      <c r="F46" s="483"/>
      <c r="G46" s="484"/>
      <c r="H46" s="485"/>
      <c r="I46" s="482"/>
      <c r="J46" s="485"/>
      <c r="K46" s="783"/>
      <c r="L46" s="1143"/>
      <c r="M46" s="1144"/>
      <c r="N46" s="1131"/>
      <c r="O46" s="1144"/>
      <c r="P46" s="3214" t="str">
        <f>A46</f>
        <v>成交单价</v>
      </c>
      <c r="Q46" s="3214"/>
      <c r="R46" s="3245">
        <f>E46</f>
        <v>0</v>
      </c>
      <c r="S46" s="3245"/>
      <c r="T46" s="3245">
        <f>G46</f>
        <v>0</v>
      </c>
      <c r="U46" s="3245"/>
      <c r="V46" s="3245">
        <f>I46</f>
        <v>0</v>
      </c>
      <c r="W46" s="3245"/>
      <c r="X46" s="759"/>
      <c r="Y46" s="781"/>
      <c r="Z46" s="759"/>
      <c r="AA46" s="759"/>
      <c r="AB46" s="759"/>
      <c r="AC46" s="759"/>
    </row>
    <row r="47" spans="1:29" ht="1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 thickBot="1">
      <c r="A48" s="492" t="s">
        <v>2749</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74" t="e">
        <f>ROUND(AVERAGE(R47:V47),0)</f>
        <v>#DIV/0!</v>
      </c>
      <c r="S48" s="3274"/>
      <c r="T48" s="3274"/>
      <c r="U48" s="3274"/>
      <c r="V48" s="3274"/>
      <c r="W48" s="327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1" t="s">
        <v>2752</v>
      </c>
      <c r="D55" s="2702" t="s">
        <v>2753</v>
      </c>
      <c r="E55" s="686" t="s">
        <v>2754</v>
      </c>
      <c r="F55" s="1107" t="s">
        <v>2755</v>
      </c>
      <c r="G55" s="3229" t="s">
        <v>2756</v>
      </c>
      <c r="H55" s="3275"/>
      <c r="I55" s="144" t="s">
        <v>2757</v>
      </c>
      <c r="J55" s="2703">
        <f>项目基本情况!F35</f>
        <v>0</v>
      </c>
      <c r="K55" s="2704" t="s">
        <v>2758</v>
      </c>
      <c r="L55" s="1106"/>
      <c r="M55" s="1144"/>
      <c r="N55" s="1144"/>
      <c r="O55" s="1144"/>
    </row>
    <row r="56" spans="1:15" s="692" customFormat="1">
      <c r="A56" s="688" t="s">
        <v>2759</v>
      </c>
      <c r="B56" s="689" t="e">
        <f>C48</f>
        <v>#DIV/0!</v>
      </c>
      <c r="C56" s="690">
        <v>1</v>
      </c>
      <c r="D56" s="1163">
        <v>1</v>
      </c>
      <c r="E56" s="690">
        <f>'数据-汇总表'!E8+'数据-汇总表'!E9</f>
        <v>15950.359999999999</v>
      </c>
      <c r="F56" s="1103" t="e">
        <f t="shared" ref="F56:F65" si="15">ROUND(B56*E56/10000,0)</f>
        <v>#DIV/0!</v>
      </c>
      <c r="G56" s="3225"/>
      <c r="H56" s="3214"/>
      <c r="I56" s="1108">
        <v>1</v>
      </c>
      <c r="J56" s="1111">
        <v>1</v>
      </c>
      <c r="K56" s="1145"/>
      <c r="L56" s="941"/>
      <c r="M56" s="941"/>
      <c r="N56" s="941"/>
      <c r="O56" s="941"/>
    </row>
    <row r="57" spans="1:15" s="692" customFormat="1">
      <c r="A57" s="693" t="s">
        <v>2760</v>
      </c>
      <c r="B57" s="262" t="e">
        <f>ROUND($C$48*C57*D57,0)</f>
        <v>#DIV/0!</v>
      </c>
      <c r="C57" s="200">
        <f t="shared" ref="C57:C65" si="16">IF($C$55="北京市系数",I57,J57)</f>
        <v>0</v>
      </c>
      <c r="D57" s="1164">
        <v>0.25</v>
      </c>
      <c r="E57" s="694"/>
      <c r="F57" s="1103" t="e">
        <f t="shared" si="15"/>
        <v>#DIV/0!</v>
      </c>
      <c r="G57" s="3276"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7">ROUND($C$48*C58*D58,0)</f>
        <v>#DIV/0!</v>
      </c>
      <c r="C58" s="200">
        <f t="shared" si="16"/>
        <v>0</v>
      </c>
      <c r="D58" s="1164">
        <v>0.25</v>
      </c>
      <c r="E58" s="694"/>
      <c r="F58" s="1103" t="e">
        <f t="shared" si="15"/>
        <v>#DIV/0!</v>
      </c>
      <c r="G58" s="3276"/>
      <c r="H58" s="1104">
        <f>项目基本情况!B37</f>
        <v>0</v>
      </c>
      <c r="I58" s="1108">
        <f>SUMIF(修正!A45:A56,H58,修正!C45:C56)</f>
        <v>0</v>
      </c>
      <c r="J58" s="1112"/>
      <c r="K58" s="1145"/>
      <c r="L58" s="941"/>
      <c r="M58" s="941"/>
      <c r="N58" s="941"/>
      <c r="O58" s="941"/>
    </row>
    <row r="59" spans="1:15" s="692" customFormat="1">
      <c r="A59" s="693" t="s">
        <v>2763</v>
      </c>
      <c r="B59" s="262" t="e">
        <f t="shared" si="17"/>
        <v>#DIV/0!</v>
      </c>
      <c r="C59" s="200">
        <f t="shared" si="16"/>
        <v>0</v>
      </c>
      <c r="D59" s="1164">
        <v>0.25</v>
      </c>
      <c r="E59" s="694"/>
      <c r="F59" s="1103" t="e">
        <f t="shared" si="15"/>
        <v>#DIV/0!</v>
      </c>
      <c r="G59" s="3276"/>
      <c r="H59" s="1104">
        <f>项目基本情况!B37</f>
        <v>0</v>
      </c>
      <c r="I59" s="1108">
        <f>SUMIF(修正!A45:A56,H59,修正!D45:D56)</f>
        <v>0</v>
      </c>
      <c r="J59" s="1112"/>
      <c r="K59" s="1144"/>
      <c r="L59" s="941"/>
      <c r="M59" s="941"/>
      <c r="N59" s="941"/>
      <c r="O59" s="941"/>
    </row>
    <row r="60" spans="1:15" s="692" customFormat="1">
      <c r="A60" s="693" t="s">
        <v>2764</v>
      </c>
      <c r="B60" s="262" t="e">
        <f t="shared" si="17"/>
        <v>#DIV/0!</v>
      </c>
      <c r="C60" s="200">
        <f t="shared" si="16"/>
        <v>0</v>
      </c>
      <c r="D60" s="1164">
        <v>0.25</v>
      </c>
      <c r="E60" s="694"/>
      <c r="F60" s="1103" t="e">
        <f t="shared" si="15"/>
        <v>#DIV/0!</v>
      </c>
      <c r="G60" s="3276"/>
      <c r="H60" s="1104">
        <f>项目基本情况!B37</f>
        <v>0</v>
      </c>
      <c r="I60" s="1108">
        <f>SUMIF(修正!A45:A56,H60,修正!E45:E56)</f>
        <v>0</v>
      </c>
      <c r="J60" s="1112"/>
      <c r="K60" s="1145"/>
      <c r="L60" s="941"/>
      <c r="M60" s="941"/>
      <c r="N60" s="941"/>
      <c r="O60" s="941"/>
    </row>
    <row r="61" spans="1:15" s="692" customFormat="1">
      <c r="A61" s="693" t="s">
        <v>2765</v>
      </c>
      <c r="B61" s="262" t="e">
        <f t="shared" si="17"/>
        <v>#DIV/0!</v>
      </c>
      <c r="C61" s="200">
        <f t="shared" si="16"/>
        <v>0</v>
      </c>
      <c r="D61" s="1164">
        <v>0.25</v>
      </c>
      <c r="E61" s="261">
        <f>'数据-汇总表'!E11</f>
        <v>0</v>
      </c>
      <c r="F61" s="1103" t="e">
        <f t="shared" si="15"/>
        <v>#DIV/0!</v>
      </c>
      <c r="G61" s="2705" t="s">
        <v>2766</v>
      </c>
      <c r="H61" s="1104">
        <f>项目基本情况!C37</f>
        <v>0</v>
      </c>
      <c r="I61" s="1108">
        <f>SUMIF(修正!A45:A56,H61,修正!F45:F56)</f>
        <v>0</v>
      </c>
      <c r="J61" s="1112"/>
      <c r="K61" s="1144"/>
      <c r="L61" s="941"/>
      <c r="M61" s="941"/>
      <c r="N61" s="941"/>
      <c r="O61" s="941"/>
    </row>
    <row r="62" spans="1:15" s="692" customFormat="1">
      <c r="A62" s="693" t="s">
        <v>2767</v>
      </c>
      <c r="B62" s="262" t="e">
        <f t="shared" si="17"/>
        <v>#DIV/0!</v>
      </c>
      <c r="C62" s="200">
        <f t="shared" si="16"/>
        <v>0</v>
      </c>
      <c r="D62" s="1164">
        <v>0.25</v>
      </c>
      <c r="E62" s="261">
        <f>'数据-汇总表'!E12</f>
        <v>0</v>
      </c>
      <c r="F62" s="1103" t="e">
        <f t="shared" si="15"/>
        <v>#DIV/0!</v>
      </c>
      <c r="G62" s="1109" t="s">
        <v>2768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v>
      </c>
      <c r="D64" s="1164">
        <v>0.25</v>
      </c>
      <c r="E64" s="261">
        <f>'数据-汇总表'!E14</f>
        <v>0</v>
      </c>
      <c r="F64" s="1103" t="e">
        <f t="shared" si="15"/>
        <v>#DIV/0!</v>
      </c>
      <c r="G64" s="2705" t="s">
        <v>2761</v>
      </c>
      <c r="H64" s="1104">
        <f>项目基本情况!B37</f>
        <v>0</v>
      </c>
      <c r="I64" s="1108">
        <f>SUMIF(修正!A45:A56,H64,修正!H45:H56)</f>
        <v>0</v>
      </c>
      <c r="J64" s="1112"/>
      <c r="K64" s="1145"/>
      <c r="L64" s="941"/>
      <c r="M64" s="941"/>
      <c r="N64" s="941"/>
      <c r="O64" s="941"/>
    </row>
    <row r="65" spans="1:17" s="692" customFormat="1" ht="14.4" thickBot="1">
      <c r="A65" s="693" t="s">
        <v>2772</v>
      </c>
      <c r="B65" s="262" t="e">
        <f t="shared" si="17"/>
        <v>#DIV/0!</v>
      </c>
      <c r="C65" s="200">
        <f t="shared" si="16"/>
        <v>0</v>
      </c>
      <c r="D65" s="1164">
        <v>0.25</v>
      </c>
      <c r="E65" s="261">
        <f>'数据-汇总表'!E15</f>
        <v>0</v>
      </c>
      <c r="F65" s="1103" t="e">
        <f t="shared" si="15"/>
        <v>#DIV/0!</v>
      </c>
      <c r="G65" s="2706" t="s">
        <v>2766</v>
      </c>
      <c r="H65" s="1114">
        <f>项目基本情况!C37</f>
        <v>0</v>
      </c>
      <c r="I65" s="1110">
        <f>SUMIF(修正!A45:A56,H65,修正!H45:H56)</f>
        <v>0</v>
      </c>
      <c r="J65" s="1113"/>
      <c r="K65" s="1144"/>
      <c r="L65" s="941"/>
      <c r="M65" s="941"/>
      <c r="N65" s="941"/>
      <c r="O65" s="941"/>
    </row>
    <row r="66" spans="1:17" s="692" customFormat="1" thickBot="1">
      <c r="A66" s="695" t="s">
        <v>2773</v>
      </c>
      <c r="B66" s="696" t="s">
        <v>28</v>
      </c>
      <c r="C66" s="696" t="s">
        <v>29</v>
      </c>
      <c r="D66" s="696" t="s">
        <v>1025</v>
      </c>
      <c r="E66" s="696">
        <f>IF(B46="楼面地价",SUM(E56:E65),'数据-汇总表'!D3)</f>
        <v>15950.359999999999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2666</v>
      </c>
      <c r="B69" s="759"/>
      <c r="C69" s="764"/>
      <c r="D69" s="764"/>
      <c r="E69" s="764"/>
      <c r="F69" s="765"/>
      <c r="G69" s="765"/>
      <c r="H69" s="764"/>
      <c r="I69" s="764"/>
      <c r="J69" s="1159"/>
      <c r="K69" s="1160"/>
      <c r="L69" s="1161"/>
      <c r="M69" s="1159"/>
      <c r="N69" s="1159"/>
      <c r="O69" s="1159"/>
      <c r="P69" s="503"/>
      <c r="Q69" s="504"/>
    </row>
    <row r="70" spans="1:17" s="508" customFormat="1" ht="14.4">
      <c r="A70" s="2707" t="s">
        <v>2774</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08" t="s">
        <v>2775</v>
      </c>
      <c r="B71" s="332" t="str">
        <f>"北京市平均增长率"&amp;TEXT(SUMIF(基准地价修正!N21:N25,A71,基准地价修正!P21:P25),"0.00%")</f>
        <v>北京市平均增长率2.10%</v>
      </c>
      <c r="C71" s="603">
        <v>100</v>
      </c>
      <c r="D71" s="595"/>
      <c r="E71" s="595"/>
      <c r="F71" s="595"/>
      <c r="G71" s="595"/>
      <c r="H71" s="595"/>
      <c r="I71" s="595"/>
      <c r="J71" s="595"/>
      <c r="K71" s="595"/>
      <c r="L71" s="595"/>
      <c r="M71" s="1567"/>
      <c r="N71" s="595"/>
      <c r="O71" s="1568"/>
      <c r="P71" s="504"/>
    </row>
    <row r="72" spans="1:17" s="117" customFormat="1" ht="15" thickBot="1">
      <c r="A72" s="515" t="s">
        <v>2577</v>
      </c>
      <c r="B72" s="516"/>
      <c r="C72" s="517"/>
      <c r="D72" s="518"/>
      <c r="E72" s="518"/>
      <c r="F72" s="518"/>
      <c r="G72" s="518"/>
      <c r="H72" s="518"/>
      <c r="I72" s="518"/>
      <c r="J72" s="518"/>
      <c r="K72" s="518"/>
      <c r="L72" s="518"/>
      <c r="M72" s="519"/>
      <c r="N72" s="518"/>
      <c r="O72" s="1162"/>
      <c r="P72" s="504"/>
      <c r="Q72" s="504"/>
    </row>
    <row r="73" spans="1:17" s="117" customFormat="1" ht="14.4">
      <c r="A73" s="521" t="s">
        <v>2542</v>
      </c>
      <c r="B73" s="510"/>
      <c r="C73" s="522" t="s">
        <v>2644</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2580</v>
      </c>
      <c r="B75" s="528" t="s">
        <v>2546</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2549</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2683</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2742</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2637</v>
      </c>
      <c r="B4" s="402"/>
      <c r="C4" s="3229" t="s">
        <v>2638</v>
      </c>
      <c r="D4" s="3230"/>
      <c r="E4" s="3231" t="s">
        <v>2639</v>
      </c>
      <c r="F4" s="3232"/>
      <c r="G4" s="3229" t="s">
        <v>2640</v>
      </c>
      <c r="H4" s="3230"/>
      <c r="I4" s="3229" t="s">
        <v>2641</v>
      </c>
      <c r="J4" s="3230"/>
      <c r="K4" s="610" t="s">
        <v>2642</v>
      </c>
      <c r="L4" s="1130"/>
      <c r="M4" s="1131"/>
      <c r="N4" s="1131"/>
      <c r="O4" s="1131"/>
      <c r="P4" s="3233" t="s">
        <v>2643</v>
      </c>
      <c r="Q4" s="3234"/>
      <c r="R4" s="3239" t="s">
        <v>2639</v>
      </c>
      <c r="S4" s="3240"/>
      <c r="T4" s="3239" t="s">
        <v>2640</v>
      </c>
      <c r="U4" s="3240"/>
      <c r="V4" s="3245" t="s">
        <v>2641</v>
      </c>
      <c r="W4" s="3245"/>
      <c r="X4" s="1813"/>
      <c r="Y4" s="3239" t="s">
        <v>2643</v>
      </c>
      <c r="Z4" s="3240"/>
      <c r="AA4" s="3226" t="s">
        <v>2639</v>
      </c>
      <c r="AB4" s="3227" t="s">
        <v>2640</v>
      </c>
      <c r="AC4" s="3226" t="s">
        <v>2641</v>
      </c>
    </row>
    <row r="5" spans="1:29">
      <c r="A5" s="404"/>
      <c r="B5" s="405"/>
      <c r="C5" s="3248" t="s">
        <v>2534</v>
      </c>
      <c r="D5" s="3249"/>
      <c r="E5" s="3255" t="s">
        <v>2535</v>
      </c>
      <c r="F5" s="3256"/>
      <c r="G5" s="3248" t="s">
        <v>2536</v>
      </c>
      <c r="H5" s="3249"/>
      <c r="I5" s="3248" t="s">
        <v>2537</v>
      </c>
      <c r="J5" s="3249"/>
      <c r="K5" s="610"/>
      <c r="L5" s="1130"/>
      <c r="M5" s="1131"/>
      <c r="N5" s="1131"/>
      <c r="O5" s="1131"/>
      <c r="P5" s="3235"/>
      <c r="Q5" s="3236"/>
      <c r="R5" s="3241"/>
      <c r="S5" s="3242"/>
      <c r="T5" s="3241"/>
      <c r="U5" s="3242"/>
      <c r="V5" s="3245"/>
      <c r="W5" s="3245"/>
      <c r="X5" s="1813"/>
      <c r="Y5" s="3241"/>
      <c r="Z5" s="3242"/>
      <c r="AA5" s="3227"/>
      <c r="AB5" s="3227"/>
      <c r="AC5" s="3227"/>
    </row>
    <row r="6" spans="1:29" ht="15" thickBot="1">
      <c r="A6" s="406"/>
      <c r="B6" s="407"/>
      <c r="C6" s="3277" t="s">
        <v>2789</v>
      </c>
      <c r="D6" s="3278"/>
      <c r="E6" s="3279" t="s">
        <v>2789</v>
      </c>
      <c r="F6" s="3280"/>
      <c r="G6" s="3277" t="s">
        <v>2789</v>
      </c>
      <c r="H6" s="3278"/>
      <c r="I6" s="3277" t="s">
        <v>2789</v>
      </c>
      <c r="J6" s="3278"/>
      <c r="K6" s="610" t="s">
        <v>2539</v>
      </c>
      <c r="L6" s="1130"/>
      <c r="M6" s="1131"/>
      <c r="N6" s="1131"/>
      <c r="O6" s="1131"/>
      <c r="P6" s="3237"/>
      <c r="Q6" s="3238"/>
      <c r="R6" s="3241"/>
      <c r="S6" s="3242"/>
      <c r="T6" s="3243"/>
      <c r="U6" s="3244"/>
      <c r="V6" s="3245"/>
      <c r="W6" s="3245"/>
      <c r="X6" s="1813"/>
      <c r="Y6" s="3243"/>
      <c r="Z6" s="3244"/>
      <c r="AA6" s="3228"/>
      <c r="AB6" s="3228"/>
      <c r="AC6" s="3228"/>
    </row>
    <row r="7" spans="1:29" s="117" customFormat="1" ht="15" thickBot="1">
      <c r="A7" s="408" t="s">
        <v>2540</v>
      </c>
      <c r="B7" s="409"/>
      <c r="C7" s="410">
        <f>'数据-取费表'!B2</f>
        <v>43921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50" t="s">
        <v>2541</v>
      </c>
      <c r="Q7" s="3252"/>
      <c r="R7" s="770" t="s">
        <v>17</v>
      </c>
      <c r="S7" s="771">
        <f t="shared" ref="S7:S15" si="0">F7</f>
        <v>0</v>
      </c>
      <c r="T7" s="770" t="s">
        <v>17</v>
      </c>
      <c r="U7" s="771">
        <f t="shared" ref="U7:U15" si="1">H7</f>
        <v>0</v>
      </c>
      <c r="V7" s="770" t="s">
        <v>17</v>
      </c>
      <c r="W7" s="771">
        <f t="shared" ref="W7:W15" si="2">J7</f>
        <v>0</v>
      </c>
      <c r="X7" s="772"/>
      <c r="Y7" s="3250" t="s">
        <v>2541</v>
      </c>
      <c r="Z7" s="3251"/>
      <c r="AA7" s="773" t="e">
        <f>D7/F7</f>
        <v>#DIV/0!</v>
      </c>
      <c r="AB7" s="773" t="e">
        <f>D7/H7</f>
        <v>#DIV/0!</v>
      </c>
      <c r="AC7" s="773" t="e">
        <f>D7/J7</f>
        <v>#DIV/0!</v>
      </c>
    </row>
    <row r="8" spans="1:29" s="117" customFormat="1" ht="1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0" t="s">
        <v>2544</v>
      </c>
      <c r="Q8" s="3251"/>
      <c r="R8" s="770" t="s">
        <v>17</v>
      </c>
      <c r="S8" s="771">
        <f t="shared" si="0"/>
        <v>0</v>
      </c>
      <c r="T8" s="770" t="s">
        <v>17</v>
      </c>
      <c r="U8" s="771">
        <f t="shared" si="1"/>
        <v>0</v>
      </c>
      <c r="V8" s="770" t="s">
        <v>17</v>
      </c>
      <c r="W8" s="771">
        <f t="shared" si="2"/>
        <v>0</v>
      </c>
      <c r="X8" s="772"/>
      <c r="Y8" s="3250" t="s">
        <v>2544</v>
      </c>
      <c r="Z8" s="3251"/>
      <c r="AA8" s="773" t="e">
        <f t="shared" ref="AA8:AA40" si="3">D8/F8</f>
        <v>#DIV/0!</v>
      </c>
      <c r="AB8" s="773" t="e">
        <f t="shared" ref="AB8:AB40" si="4">D8/H8</f>
        <v>#DIV/0!</v>
      </c>
      <c r="AC8" s="773" t="e">
        <f t="shared" ref="AC8:AC40" si="5">D8/J8</f>
        <v>#DIV/0!</v>
      </c>
    </row>
    <row r="9" spans="1:29" s="117" customFormat="1" ht="14.4">
      <c r="A9" s="415" t="s">
        <v>2545</v>
      </c>
      <c r="B9" s="71" t="s">
        <v>2546</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14" t="s">
        <v>2547</v>
      </c>
      <c r="Q9" s="1795"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29" s="427" customFormat="1" ht="28.8">
      <c r="A10" s="421"/>
      <c r="B10" s="422" t="s">
        <v>2549</v>
      </c>
      <c r="C10" s="432"/>
      <c r="D10" s="136">
        <v>100</v>
      </c>
      <c r="E10" s="432"/>
      <c r="F10" s="136">
        <f ca="1">ROUND(100/'数据-取费表'!G16,0)</f>
        <v>114</v>
      </c>
      <c r="G10" s="432"/>
      <c r="H10" s="136">
        <f ca="1">ROUND(100/'数据-取费表'!G16,0)</f>
        <v>114</v>
      </c>
      <c r="I10" s="432"/>
      <c r="J10" s="136">
        <f ca="1">ROUND(100/'数据-取费表'!G16,0)</f>
        <v>114</v>
      </c>
      <c r="K10" s="672"/>
      <c r="L10" s="1135"/>
      <c r="M10" s="1136"/>
      <c r="N10" s="1136"/>
      <c r="O10" s="1137"/>
      <c r="P10" s="3214"/>
      <c r="Q10" s="1795" t="str">
        <f t="shared" si="6"/>
        <v>土地使用年限（年）</v>
      </c>
      <c r="R10" s="770" t="s">
        <v>17</v>
      </c>
      <c r="S10" s="771">
        <f t="shared" ca="1" si="0"/>
        <v>114</v>
      </c>
      <c r="T10" s="770" t="s">
        <v>17</v>
      </c>
      <c r="U10" s="771">
        <f t="shared" ca="1" si="1"/>
        <v>114</v>
      </c>
      <c r="V10" s="770" t="s">
        <v>17</v>
      </c>
      <c r="W10" s="771">
        <f t="shared" ca="1" si="2"/>
        <v>114</v>
      </c>
      <c r="X10" s="772"/>
      <c r="Y10" s="3016"/>
      <c r="Z10" s="55" t="str">
        <f t="shared" si="7"/>
        <v>土地使用年限（年）</v>
      </c>
      <c r="AA10" s="773">
        <f t="shared" ca="1" si="3"/>
        <v>0.8771929824561403</v>
      </c>
      <c r="AB10" s="773">
        <f t="shared" ca="1" si="4"/>
        <v>0.8771929824561403</v>
      </c>
      <c r="AC10" s="773">
        <f t="shared" ca="1" si="5"/>
        <v>0.8771929824561403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24.2">
      <c r="A15" s="440" t="s">
        <v>2551</v>
      </c>
      <c r="B15" s="629" t="s">
        <v>2790</v>
      </c>
      <c r="C15" s="2689" t="str">
        <f>估价对象房地状况!G15</f>
        <v>估价对象位于北京雁栖经济开发区，园区建设成熟，周边有波尔亚太金属容器公司、星达顺五星建材产业集聚程度较好。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2552</v>
      </c>
      <c r="Q15" s="1810" t="str">
        <f t="shared" si="6"/>
        <v>产业集聚程度</v>
      </c>
      <c r="R15" s="774" t="s">
        <v>17</v>
      </c>
      <c r="S15" s="775">
        <f t="shared" si="0"/>
        <v>100</v>
      </c>
      <c r="T15" s="774" t="s">
        <v>17</v>
      </c>
      <c r="U15" s="775">
        <f t="shared" si="1"/>
        <v>100</v>
      </c>
      <c r="V15" s="774" t="s">
        <v>17</v>
      </c>
      <c r="W15" s="775">
        <f t="shared" si="2"/>
        <v>100</v>
      </c>
      <c r="X15" s="1813"/>
      <c r="Y15" s="3216" t="s">
        <v>2552</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151.80000000000001">
      <c r="A17" s="428"/>
      <c r="B17" s="631" t="s">
        <v>2701</v>
      </c>
      <c r="C17" s="2603" t="str">
        <f>估价对象房地状况!G16</f>
        <v>估价对象紧邻城市次干道——杨雁路，公共交通通达情况一般，周边有864、936路等公交线路，停车便捷程度一般，综合评价交通便捷度一般。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55.2">
      <c r="A19" s="428"/>
      <c r="B19" s="631" t="s">
        <v>2740</v>
      </c>
      <c r="C19" s="2603" t="str">
        <f>估价对象房地状况!G17</f>
        <v>周边多为工业用地，对宗地利用无不利影响。</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10" t="str">
        <f t="shared" ref="Q19:Q33" si="8">B19</f>
        <v>区域土地利用方向</v>
      </c>
      <c r="R19" s="774" t="s">
        <v>17</v>
      </c>
      <c r="S19" s="775">
        <f>F19</f>
        <v>100</v>
      </c>
      <c r="T19" s="774" t="s">
        <v>17</v>
      </c>
      <c r="U19" s="775">
        <f>H19</f>
        <v>100</v>
      </c>
      <c r="V19" s="774" t="s">
        <v>17</v>
      </c>
      <c r="W19" s="775">
        <f>J19</f>
        <v>100</v>
      </c>
      <c r="X19" s="1813"/>
      <c r="Y19" s="3217"/>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217"/>
      <c r="Q20" s="1810"/>
      <c r="R20" s="774"/>
      <c r="S20" s="775"/>
      <c r="T20" s="774"/>
      <c r="U20" s="775"/>
      <c r="V20" s="774"/>
      <c r="W20" s="775"/>
      <c r="X20" s="1813"/>
      <c r="Y20" s="3217"/>
      <c r="Z20" s="1814"/>
      <c r="AA20" s="1811"/>
      <c r="AB20" s="1811"/>
      <c r="AC20" s="1811"/>
    </row>
    <row r="21" spans="1:29" ht="82.8">
      <c r="A21" s="404"/>
      <c r="B21" s="631" t="s">
        <v>2791</v>
      </c>
      <c r="C21" s="2603"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10" t="str">
        <f t="shared" si="8"/>
        <v>环境状况</v>
      </c>
      <c r="R21" s="774" t="s">
        <v>17</v>
      </c>
      <c r="S21" s="775">
        <f>F21</f>
        <v>100</v>
      </c>
      <c r="T21" s="774" t="s">
        <v>17</v>
      </c>
      <c r="U21" s="775">
        <f>H21</f>
        <v>100</v>
      </c>
      <c r="V21" s="774" t="s">
        <v>17</v>
      </c>
      <c r="W21" s="775">
        <f>J21</f>
        <v>100</v>
      </c>
      <c r="X21" s="1813"/>
      <c r="Y21" s="3217"/>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s="117" customFormat="1" ht="179.4">
      <c r="A23" s="649"/>
      <c r="B23" s="633" t="s">
        <v>2646</v>
      </c>
      <c r="C23" s="2603" t="str">
        <f>估价对象房地状况!G19</f>
        <v>估价对象周边2公里范围内有银行（中国银行），超市（世纪华联超市），学校（怀柔区职业学校），医院（雁栖镇北台下社区卫生服务站），公共配套设施程度一般。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5" t="str">
        <f t="shared" si="8"/>
        <v>公共配套设施</v>
      </c>
      <c r="R23" s="770" t="s">
        <v>17</v>
      </c>
      <c r="S23" s="771">
        <f>F23</f>
        <v>100</v>
      </c>
      <c r="T23" s="770" t="s">
        <v>17</v>
      </c>
      <c r="U23" s="771">
        <f>H23</f>
        <v>100</v>
      </c>
      <c r="V23" s="770" t="s">
        <v>17</v>
      </c>
      <c r="W23" s="771">
        <f>J23</f>
        <v>100</v>
      </c>
      <c r="X23" s="772"/>
      <c r="Y23" s="3217"/>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217"/>
      <c r="Q24" s="1795"/>
      <c r="R24" s="770"/>
      <c r="S24" s="771"/>
      <c r="T24" s="770"/>
      <c r="U24" s="771"/>
      <c r="V24" s="770"/>
      <c r="W24" s="771"/>
      <c r="X24" s="772"/>
      <c r="Y24" s="3217"/>
      <c r="Z24" s="55"/>
      <c r="AA24" s="773">
        <v>1</v>
      </c>
      <c r="AB24" s="773">
        <v>1</v>
      </c>
      <c r="AC24" s="773">
        <v>1</v>
      </c>
    </row>
    <row r="25" spans="1:29" s="117" customFormat="1" ht="55.2">
      <c r="A25" s="649"/>
      <c r="B25" s="633" t="s">
        <v>2647</v>
      </c>
      <c r="C25" s="2603"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5"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217"/>
      <c r="Q26" s="1795"/>
      <c r="R26" s="770"/>
      <c r="S26" s="771"/>
      <c r="T26" s="770"/>
      <c r="U26" s="771"/>
      <c r="V26" s="770"/>
      <c r="W26" s="771"/>
      <c r="X26" s="772"/>
      <c r="Y26" s="3217"/>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7"/>
      <c r="Z27" s="1814" t="str">
        <f t="shared" ref="Z27:Z40" si="13">Q27</f>
        <v>临街状况</v>
      </c>
      <c r="AA27" s="1811">
        <f t="shared" si="3"/>
        <v>1</v>
      </c>
      <c r="AB27" s="1811">
        <f t="shared" si="4"/>
        <v>1</v>
      </c>
      <c r="AC27" s="1811">
        <f t="shared" si="5"/>
        <v>1</v>
      </c>
    </row>
    <row r="28" spans="1:29" ht="28.8">
      <c r="A28" s="428"/>
      <c r="B28" s="633" t="s">
        <v>2683</v>
      </c>
      <c r="C28" s="2709" t="str">
        <f>估价对象房地状况!G22</f>
        <v>城市次干道——杨雁路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10" t="str">
        <f t="shared" si="8"/>
        <v>毗邻道路的类型与等级</v>
      </c>
      <c r="R28" s="774" t="s">
        <v>17</v>
      </c>
      <c r="S28" s="775">
        <f t="shared" si="10"/>
        <v>100</v>
      </c>
      <c r="T28" s="774" t="s">
        <v>17</v>
      </c>
      <c r="U28" s="775">
        <f t="shared" si="11"/>
        <v>100</v>
      </c>
      <c r="V28" s="774" t="s">
        <v>17</v>
      </c>
      <c r="W28" s="775">
        <f t="shared" si="12"/>
        <v>100</v>
      </c>
      <c r="X28" s="1813"/>
      <c r="Y28" s="3217"/>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217"/>
      <c r="Q29" s="1810"/>
      <c r="R29" s="774"/>
      <c r="S29" s="775"/>
      <c r="T29" s="774"/>
      <c r="U29" s="775"/>
      <c r="V29" s="774"/>
      <c r="W29" s="775"/>
      <c r="X29" s="1813"/>
      <c r="Y29" s="3217"/>
      <c r="Z29" s="1814"/>
      <c r="AA29" s="1811">
        <v>1</v>
      </c>
      <c r="AB29" s="1811">
        <v>1</v>
      </c>
      <c r="AC29" s="1811">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10" t="str">
        <f t="shared" si="8"/>
        <v>土地级别</v>
      </c>
      <c r="R30" s="774" t="s">
        <v>17</v>
      </c>
      <c r="S30" s="775">
        <f t="shared" si="10"/>
        <v>100</v>
      </c>
      <c r="T30" s="774" t="s">
        <v>17</v>
      </c>
      <c r="U30" s="775">
        <f t="shared" si="11"/>
        <v>100</v>
      </c>
      <c r="V30" s="774" t="s">
        <v>17</v>
      </c>
      <c r="W30" s="775">
        <f t="shared" si="12"/>
        <v>100</v>
      </c>
      <c r="X30" s="1813"/>
      <c r="Y30" s="3217"/>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10">
        <f t="shared" si="8"/>
        <v>111</v>
      </c>
      <c r="R31" s="774" t="s">
        <v>17</v>
      </c>
      <c r="S31" s="775">
        <f t="shared" si="10"/>
        <v>100</v>
      </c>
      <c r="T31" s="774" t="s">
        <v>17</v>
      </c>
      <c r="U31" s="775">
        <f t="shared" si="11"/>
        <v>100</v>
      </c>
      <c r="V31" s="774" t="s">
        <v>17</v>
      </c>
      <c r="W31" s="775">
        <f t="shared" si="12"/>
        <v>100</v>
      </c>
      <c r="X31" s="1813"/>
      <c r="Y31" s="3217"/>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2" t="s">
        <v>2557</v>
      </c>
      <c r="Q32" s="1810">
        <f t="shared" si="8"/>
        <v>111</v>
      </c>
      <c r="R32" s="774" t="s">
        <v>17</v>
      </c>
      <c r="S32" s="775">
        <f t="shared" si="10"/>
        <v>100</v>
      </c>
      <c r="T32" s="774" t="s">
        <v>17</v>
      </c>
      <c r="U32" s="775">
        <f t="shared" si="11"/>
        <v>100</v>
      </c>
      <c r="V32" s="774" t="s">
        <v>17</v>
      </c>
      <c r="W32" s="775">
        <f t="shared" si="12"/>
        <v>100</v>
      </c>
      <c r="X32" s="1813"/>
      <c r="Y32" s="3221" t="s">
        <v>2557</v>
      </c>
      <c r="Z32" s="1814">
        <f t="shared" si="13"/>
        <v>111</v>
      </c>
      <c r="AA32" s="1811">
        <f t="shared" si="3"/>
        <v>1</v>
      </c>
      <c r="AB32" s="1811">
        <f t="shared" si="4"/>
        <v>1</v>
      </c>
      <c r="AC32" s="1811">
        <f t="shared" si="5"/>
        <v>1</v>
      </c>
    </row>
    <row r="33" spans="1:29" s="471" customFormat="1" ht="15.6"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10">
        <f t="shared" si="8"/>
        <v>111</v>
      </c>
      <c r="R33" s="777" t="s">
        <v>17</v>
      </c>
      <c r="S33" s="778">
        <f t="shared" si="10"/>
        <v>100</v>
      </c>
      <c r="T33" s="777" t="s">
        <v>17</v>
      </c>
      <c r="U33" s="778">
        <f t="shared" si="11"/>
        <v>100</v>
      </c>
      <c r="V33" s="777" t="s">
        <v>17</v>
      </c>
      <c r="W33" s="778">
        <f t="shared" si="12"/>
        <v>100</v>
      </c>
      <c r="X33" s="779"/>
      <c r="Y33" s="3221"/>
      <c r="Z33" s="780">
        <f t="shared" si="13"/>
        <v>111</v>
      </c>
      <c r="AA33" s="1811">
        <f t="shared" si="3"/>
        <v>1</v>
      </c>
      <c r="AB33" s="1811">
        <f t="shared" si="4"/>
        <v>1</v>
      </c>
      <c r="AC33" s="1811">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10" t="str">
        <f>B34</f>
        <v>宗地面积</v>
      </c>
      <c r="R34" s="774" t="s">
        <v>17</v>
      </c>
      <c r="S34" s="775" t="e">
        <f t="shared" si="10"/>
        <v>#N/A</v>
      </c>
      <c r="T34" s="774" t="s">
        <v>17</v>
      </c>
      <c r="U34" s="775" t="e">
        <f t="shared" si="11"/>
        <v>#N/A</v>
      </c>
      <c r="V34" s="774" t="s">
        <v>17</v>
      </c>
      <c r="W34" s="775" t="e">
        <f t="shared" si="12"/>
        <v>#N/A</v>
      </c>
      <c r="X34" s="1813"/>
      <c r="Y34" s="3221"/>
      <c r="Z34" s="1814" t="str">
        <f t="shared" si="13"/>
        <v>宗地面积</v>
      </c>
      <c r="AA34" s="1811" t="e">
        <f t="shared" si="3"/>
        <v>#N/A</v>
      </c>
      <c r="AB34" s="1811" t="e">
        <f t="shared" si="4"/>
        <v>#N/A</v>
      </c>
      <c r="AC34" s="1811" t="e">
        <f t="shared" si="5"/>
        <v>#N/A</v>
      </c>
    </row>
    <row r="35" spans="1:29" ht="15">
      <c r="A35" s="472"/>
      <c r="B35" s="422" t="s">
        <v>2744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21"/>
      <c r="Q35" s="1810" t="str">
        <f t="shared" ref="Q35:Q40" si="14">B35</f>
        <v>宗地形状</v>
      </c>
      <c r="R35" s="774" t="s">
        <v>17</v>
      </c>
      <c r="S35" s="775">
        <f t="shared" si="10"/>
        <v>100</v>
      </c>
      <c r="T35" s="774" t="s">
        <v>17</v>
      </c>
      <c r="U35" s="775">
        <f t="shared" si="11"/>
        <v>100</v>
      </c>
      <c r="V35" s="774" t="s">
        <v>17</v>
      </c>
      <c r="W35" s="775">
        <f t="shared" si="12"/>
        <v>100</v>
      </c>
      <c r="X35" s="1813"/>
      <c r="Y35" s="3221"/>
      <c r="Z35" s="1814" t="str">
        <f t="shared" si="13"/>
        <v>宗地形状</v>
      </c>
      <c r="AA35" s="1811">
        <f t="shared" si="3"/>
        <v>1</v>
      </c>
      <c r="AB35" s="1811">
        <f t="shared" si="4"/>
        <v>1</v>
      </c>
      <c r="AC35" s="1811">
        <f t="shared" si="5"/>
        <v>1</v>
      </c>
    </row>
    <row r="36" spans="1:29" s="117" customFormat="1" ht="15">
      <c r="A36" s="473"/>
      <c r="B36" s="422" t="s">
        <v>2746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21"/>
      <c r="Q36" s="1810"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2747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21" t="s">
        <v>2557</v>
      </c>
      <c r="Q37" s="1810" t="str">
        <f t="shared" si="14"/>
        <v>工程地质条件</v>
      </c>
      <c r="R37" s="774" t="s">
        <v>17</v>
      </c>
      <c r="S37" s="775">
        <f t="shared" si="10"/>
        <v>100</v>
      </c>
      <c r="T37" s="774" t="s">
        <v>17</v>
      </c>
      <c r="U37" s="775">
        <f t="shared" si="11"/>
        <v>100</v>
      </c>
      <c r="V37" s="774" t="s">
        <v>17</v>
      </c>
      <c r="W37" s="775">
        <f t="shared" si="12"/>
        <v>100</v>
      </c>
      <c r="X37" s="1813"/>
      <c r="Y37" s="3221" t="s">
        <v>2557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10">
        <f t="shared" si="14"/>
        <v>111</v>
      </c>
      <c r="R38" s="774" t="s">
        <v>17</v>
      </c>
      <c r="S38" s="775">
        <f t="shared" si="10"/>
        <v>100</v>
      </c>
      <c r="T38" s="774" t="s">
        <v>17</v>
      </c>
      <c r="U38" s="775">
        <f t="shared" si="11"/>
        <v>100</v>
      </c>
      <c r="V38" s="774" t="s">
        <v>17</v>
      </c>
      <c r="W38" s="775">
        <f t="shared" si="12"/>
        <v>100</v>
      </c>
      <c r="X38" s="1813"/>
      <c r="Y38" s="322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10">
        <f t="shared" si="14"/>
        <v>111</v>
      </c>
      <c r="R39" s="774" t="s">
        <v>17</v>
      </c>
      <c r="S39" s="775">
        <f t="shared" si="10"/>
        <v>100</v>
      </c>
      <c r="T39" s="774" t="s">
        <v>17</v>
      </c>
      <c r="U39" s="775">
        <f t="shared" si="11"/>
        <v>100</v>
      </c>
      <c r="V39" s="774" t="s">
        <v>17</v>
      </c>
      <c r="W39" s="775">
        <f t="shared" si="12"/>
        <v>100</v>
      </c>
      <c r="X39" s="1813"/>
      <c r="Y39" s="3221"/>
      <c r="Z39" s="1814">
        <f t="shared" si="13"/>
        <v>111</v>
      </c>
      <c r="AA39" s="1811">
        <f t="shared" si="3"/>
        <v>1</v>
      </c>
      <c r="AB39" s="1811">
        <f t="shared" si="4"/>
        <v>1</v>
      </c>
      <c r="AC39" s="1811">
        <f t="shared" si="5"/>
        <v>1</v>
      </c>
    </row>
    <row r="40" spans="1:29" s="471" customFormat="1" ht="15.6"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10">
        <f t="shared" si="14"/>
        <v>111</v>
      </c>
      <c r="R40" s="777" t="s">
        <v>17</v>
      </c>
      <c r="S40" s="778">
        <f t="shared" si="10"/>
        <v>100</v>
      </c>
      <c r="T40" s="777" t="s">
        <v>17</v>
      </c>
      <c r="U40" s="778">
        <f t="shared" si="11"/>
        <v>100</v>
      </c>
      <c r="V40" s="777" t="s">
        <v>17</v>
      </c>
      <c r="W40" s="778">
        <f t="shared" si="12"/>
        <v>100</v>
      </c>
      <c r="X40" s="779"/>
      <c r="Y40" s="3221"/>
      <c r="Z40" s="780">
        <f t="shared" si="13"/>
        <v>111</v>
      </c>
      <c r="AA40" s="1811">
        <f t="shared" si="3"/>
        <v>1</v>
      </c>
      <c r="AB40" s="1811">
        <f t="shared" si="4"/>
        <v>1</v>
      </c>
      <c r="AC40" s="1811">
        <f t="shared" si="5"/>
        <v>1</v>
      </c>
    </row>
    <row r="41" spans="1:29" ht="14.4">
      <c r="A41" s="479" t="s">
        <v>2712</v>
      </c>
      <c r="B41" s="2700" t="s">
        <v>2792</v>
      </c>
      <c r="C41" s="682" t="s">
        <v>1</v>
      </c>
      <c r="D41" s="481"/>
      <c r="E41" s="482"/>
      <c r="F41" s="483"/>
      <c r="G41" s="484"/>
      <c r="H41" s="485"/>
      <c r="I41" s="482"/>
      <c r="J41" s="485"/>
      <c r="K41" s="783"/>
      <c r="L41" s="1143"/>
      <c r="M41" s="1131"/>
      <c r="N41" s="1131"/>
      <c r="O41" s="1144"/>
      <c r="P41" s="3214" t="str">
        <f>A41</f>
        <v>成交单价</v>
      </c>
      <c r="Q41" s="3214"/>
      <c r="R41" s="3245">
        <f>E41</f>
        <v>0</v>
      </c>
      <c r="S41" s="3245"/>
      <c r="T41" s="3245">
        <f>G41</f>
        <v>0</v>
      </c>
      <c r="U41" s="3245"/>
      <c r="V41" s="3245">
        <f>I41</f>
        <v>0</v>
      </c>
      <c r="W41" s="3245"/>
      <c r="X41" s="759"/>
      <c r="Y41" s="781"/>
      <c r="Z41" s="759"/>
      <c r="AA41" s="759"/>
      <c r="AB41" s="759"/>
      <c r="AC41" s="759"/>
    </row>
    <row r="42" spans="1:29" ht="1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 thickBot="1">
      <c r="A43" s="492" t="s">
        <v>2662</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74" t="e">
        <f>ROUND(AVERAGE(R42:V42),0)</f>
        <v>#DIV/0!</v>
      </c>
      <c r="S43" s="3274"/>
      <c r="T43" s="3274"/>
      <c r="U43" s="3274"/>
      <c r="V43" s="3274"/>
      <c r="W43" s="327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2750</v>
      </c>
      <c r="B50" s="685" t="s">
        <v>2751</v>
      </c>
      <c r="C50" s="2701" t="s">
        <v>2752</v>
      </c>
      <c r="D50" s="2702" t="s">
        <v>2753</v>
      </c>
      <c r="E50" s="686" t="s">
        <v>2754</v>
      </c>
      <c r="F50" s="687" t="s">
        <v>2755</v>
      </c>
      <c r="G50" s="3229" t="s">
        <v>2756</v>
      </c>
      <c r="H50" s="3275"/>
      <c r="I50" s="1814" t="s">
        <v>2793</v>
      </c>
      <c r="J50" s="1814">
        <f>项目基本情况!F35</f>
        <v>0</v>
      </c>
      <c r="K50" s="2704" t="s">
        <v>2758</v>
      </c>
      <c r="L50" s="1106"/>
      <c r="M50" s="1144"/>
      <c r="N50" s="1144"/>
      <c r="O50" s="1144"/>
    </row>
    <row r="51" spans="1:17" s="692" customFormat="1">
      <c r="A51" s="688" t="s">
        <v>2759</v>
      </c>
      <c r="B51" s="689" t="e">
        <f>C43</f>
        <v>#DIV/0!</v>
      </c>
      <c r="C51" s="690">
        <v>1</v>
      </c>
      <c r="D51" s="1163">
        <v>1</v>
      </c>
      <c r="E51" s="690">
        <f>'数据-汇总表'!E8+'数据-汇总表'!E9</f>
        <v>15950.359999999999</v>
      </c>
      <c r="F51" s="691" t="e">
        <f t="shared" ref="F51:F60" si="15">ROUND(B51*E51/10000,0)</f>
        <v>#DIV/0!</v>
      </c>
      <c r="G51" s="3225"/>
      <c r="H51" s="3214"/>
      <c r="I51" s="942">
        <v>1</v>
      </c>
      <c r="J51" s="942">
        <v>1</v>
      </c>
      <c r="K51" s="1145"/>
      <c r="L51" s="941"/>
      <c r="M51" s="941"/>
      <c r="N51" s="941"/>
      <c r="O51" s="941"/>
    </row>
    <row r="52" spans="1:17" s="692" customFormat="1">
      <c r="A52" s="693" t="s">
        <v>2760</v>
      </c>
      <c r="B52" s="262" t="e">
        <f>ROUND($C$43*C52*D52,0)</f>
        <v>#DIV/0!</v>
      </c>
      <c r="C52" s="200">
        <f t="shared" ref="C52:C60" si="16">IF($C$50="北京市系数",I52,J52)</f>
        <v>0</v>
      </c>
      <c r="D52" s="1164">
        <v>0.25</v>
      </c>
      <c r="E52" s="694"/>
      <c r="F52" s="691" t="e">
        <f t="shared" si="15"/>
        <v>#DIV/0!</v>
      </c>
      <c r="G52" s="3276" t="s">
        <v>2761</v>
      </c>
      <c r="H52" s="1104">
        <f>项目基本情况!B37</f>
        <v>0</v>
      </c>
      <c r="I52" s="942">
        <f>SUMIF(修正!A45:A56,H52,修正!B45:B56)</f>
        <v>0</v>
      </c>
      <c r="J52" s="943"/>
      <c r="K52" s="1144"/>
      <c r="L52" s="941"/>
      <c r="M52" s="941"/>
      <c r="N52" s="941"/>
      <c r="O52" s="941"/>
    </row>
    <row r="53" spans="1:17" s="692" customFormat="1">
      <c r="A53" s="693" t="s">
        <v>2762</v>
      </c>
      <c r="B53" s="262" t="e">
        <f t="shared" ref="B53:B60" si="17">ROUND($C$43*C53*D53,0)</f>
        <v>#DIV/0!</v>
      </c>
      <c r="C53" s="200">
        <f t="shared" si="16"/>
        <v>0</v>
      </c>
      <c r="D53" s="1164">
        <v>0.25</v>
      </c>
      <c r="E53" s="694"/>
      <c r="F53" s="691" t="e">
        <f t="shared" si="15"/>
        <v>#DIV/0!</v>
      </c>
      <c r="G53" s="3276"/>
      <c r="H53" s="1104">
        <f>项目基本情况!B37</f>
        <v>0</v>
      </c>
      <c r="I53" s="942">
        <f>SUMIF(修正!A45:A56,H53,修正!C45:C56)</f>
        <v>0</v>
      </c>
      <c r="J53" s="943"/>
      <c r="K53" s="1145"/>
      <c r="L53" s="941"/>
      <c r="M53" s="941"/>
      <c r="N53" s="941"/>
      <c r="O53" s="941"/>
    </row>
    <row r="54" spans="1:17" s="692" customFormat="1">
      <c r="A54" s="693" t="s">
        <v>2763</v>
      </c>
      <c r="B54" s="262" t="e">
        <f t="shared" si="17"/>
        <v>#DIV/0!</v>
      </c>
      <c r="C54" s="200">
        <f t="shared" si="16"/>
        <v>0</v>
      </c>
      <c r="D54" s="1164">
        <v>0.25</v>
      </c>
      <c r="E54" s="694"/>
      <c r="F54" s="691" t="e">
        <f t="shared" si="15"/>
        <v>#DIV/0!</v>
      </c>
      <c r="G54" s="3276"/>
      <c r="H54" s="1104">
        <f>项目基本情况!B37</f>
        <v>0</v>
      </c>
      <c r="I54" s="942">
        <f>SUMIF(修正!A45:A56,H54,修正!D45:D56)</f>
        <v>0</v>
      </c>
      <c r="J54" s="943"/>
      <c r="K54" s="1144"/>
      <c r="L54" s="941"/>
      <c r="M54" s="941"/>
      <c r="N54" s="941"/>
      <c r="O54" s="941"/>
    </row>
    <row r="55" spans="1:17" s="692" customFormat="1">
      <c r="A55" s="693" t="s">
        <v>2764</v>
      </c>
      <c r="B55" s="262" t="e">
        <f t="shared" si="17"/>
        <v>#DIV/0!</v>
      </c>
      <c r="C55" s="200">
        <f t="shared" si="16"/>
        <v>0</v>
      </c>
      <c r="D55" s="1164">
        <v>0.25</v>
      </c>
      <c r="E55" s="694"/>
      <c r="F55" s="691" t="e">
        <f t="shared" si="15"/>
        <v>#DIV/0!</v>
      </c>
      <c r="G55" s="3276"/>
      <c r="H55" s="1104">
        <f>项目基本情况!B37</f>
        <v>0</v>
      </c>
      <c r="I55" s="942">
        <f>SUMIF(修正!A45:A56,H55,修正!E45:E56)</f>
        <v>0</v>
      </c>
      <c r="J55" s="943"/>
      <c r="K55" s="1145"/>
      <c r="L55" s="941"/>
      <c r="M55" s="941"/>
      <c r="N55" s="941"/>
      <c r="O55" s="941"/>
    </row>
    <row r="56" spans="1:17" s="692" customFormat="1">
      <c r="A56" s="693" t="s">
        <v>2765</v>
      </c>
      <c r="B56" s="262" t="e">
        <f t="shared" si="17"/>
        <v>#DIV/0!</v>
      </c>
      <c r="C56" s="200">
        <f t="shared" si="16"/>
        <v>0</v>
      </c>
      <c r="D56" s="1164">
        <v>0.25</v>
      </c>
      <c r="E56" s="261">
        <f>'数据-汇总表'!E11</f>
        <v>0</v>
      </c>
      <c r="F56" s="691" t="e">
        <f t="shared" si="15"/>
        <v>#DIV/0!</v>
      </c>
      <c r="G56" s="2705" t="s">
        <v>2766</v>
      </c>
      <c r="H56" s="1104">
        <f>项目基本情况!C37</f>
        <v>0</v>
      </c>
      <c r="I56" s="942">
        <f>SUMIF(修正!A45:A56,H56,修正!F45:F56)</f>
        <v>0</v>
      </c>
      <c r="J56" s="943"/>
      <c r="K56" s="1144"/>
      <c r="L56" s="941"/>
      <c r="M56" s="941"/>
      <c r="N56" s="941"/>
      <c r="O56" s="941"/>
    </row>
    <row r="57" spans="1:17" s="692" customFormat="1">
      <c r="A57" s="693" t="s">
        <v>2767</v>
      </c>
      <c r="B57" s="262" t="e">
        <f t="shared" si="17"/>
        <v>#DIV/0!</v>
      </c>
      <c r="C57" s="200">
        <f t="shared" si="16"/>
        <v>0</v>
      </c>
      <c r="D57" s="1164">
        <v>0.25</v>
      </c>
      <c r="E57" s="261">
        <f>'数据-汇总表'!E12</f>
        <v>0</v>
      </c>
      <c r="F57" s="691" t="e">
        <f t="shared" si="15"/>
        <v>#DIV/0!</v>
      </c>
      <c r="G57" s="1109" t="s">
        <v>2768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2769</v>
      </c>
      <c r="B58" s="262" t="e">
        <f t="shared" si="17"/>
        <v>#DIV/0!</v>
      </c>
      <c r="C58" s="200">
        <f t="shared" si="16"/>
        <v>0</v>
      </c>
      <c r="D58" s="1164">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t="e">
        <f t="shared" si="17"/>
        <v>#DIV/0!</v>
      </c>
      <c r="C59" s="200">
        <f t="shared" si="16"/>
        <v>0</v>
      </c>
      <c r="D59" s="1164">
        <v>0.25</v>
      </c>
      <c r="E59" s="261">
        <f>'数据-汇总表'!E14</f>
        <v>0</v>
      </c>
      <c r="F59" s="691" t="e">
        <f t="shared" si="15"/>
        <v>#DIV/0!</v>
      </c>
      <c r="G59" s="2705" t="s">
        <v>2761</v>
      </c>
      <c r="H59" s="1104">
        <f>项目基本情况!B37</f>
        <v>0</v>
      </c>
      <c r="I59" s="942">
        <f>SUMIF(修正!A45:A56,H59,修正!H45:H56)</f>
        <v>0</v>
      </c>
      <c r="J59" s="943"/>
      <c r="K59" s="1145"/>
      <c r="L59" s="941"/>
      <c r="M59" s="941"/>
      <c r="N59" s="941"/>
      <c r="O59" s="941"/>
    </row>
    <row r="60" spans="1:17" s="692" customFormat="1" ht="14.4" thickBot="1">
      <c r="A60" s="693" t="s">
        <v>2772</v>
      </c>
      <c r="B60" s="262" t="e">
        <f t="shared" si="17"/>
        <v>#DIV/0!</v>
      </c>
      <c r="C60" s="200">
        <f t="shared" si="16"/>
        <v>0</v>
      </c>
      <c r="D60" s="1164">
        <v>0.25</v>
      </c>
      <c r="E60" s="261">
        <f>'数据-汇总表'!E15</f>
        <v>0</v>
      </c>
      <c r="F60" s="691" t="e">
        <f t="shared" si="15"/>
        <v>#DIV/0!</v>
      </c>
      <c r="G60" s="2706" t="s">
        <v>2766</v>
      </c>
      <c r="H60" s="1114">
        <f>项目基本情况!C37</f>
        <v>0</v>
      </c>
      <c r="I60" s="942">
        <f>SUMIF(修正!A45:A56,H60,修正!H45:H56)</f>
        <v>0</v>
      </c>
      <c r="J60" s="943"/>
      <c r="K60" s="1144"/>
      <c r="L60" s="941"/>
      <c r="M60" s="941"/>
      <c r="N60" s="941"/>
      <c r="O60" s="941"/>
    </row>
    <row r="61" spans="1:17" s="692" customFormat="1" ht="14.4" thickBot="1">
      <c r="A61" s="695" t="s">
        <v>2773</v>
      </c>
      <c r="B61" s="696" t="s">
        <v>28</v>
      </c>
      <c r="C61" s="696" t="s">
        <v>29</v>
      </c>
      <c r="D61" s="696" t="s">
        <v>1025</v>
      </c>
      <c r="E61" s="696">
        <f>IF(B41="楼面地价",SUM(E51:E60),'数据-汇总表'!D3)</f>
        <v>24215.7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2666</v>
      </c>
      <c r="B64" s="759"/>
      <c r="C64" s="764"/>
      <c r="D64" s="764"/>
      <c r="E64" s="764"/>
      <c r="F64" s="765"/>
      <c r="G64" s="765"/>
      <c r="H64" s="764"/>
      <c r="I64" s="764"/>
      <c r="J64" s="764"/>
      <c r="K64" s="766"/>
      <c r="L64" s="767"/>
      <c r="M64" s="764"/>
      <c r="N64" s="764"/>
      <c r="O64" s="1159"/>
      <c r="P64" s="503"/>
      <c r="Q64" s="504"/>
    </row>
    <row r="65" spans="1:17" s="508" customFormat="1" ht="14.4">
      <c r="A65" s="2707" t="s">
        <v>2774</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2" t="s">
        <v>2794</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 thickBot="1">
      <c r="A67" s="515" t="s">
        <v>2577</v>
      </c>
      <c r="B67" s="516"/>
      <c r="C67" s="517"/>
      <c r="D67" s="518"/>
      <c r="E67" s="518"/>
      <c r="F67" s="518"/>
      <c r="G67" s="518"/>
      <c r="H67" s="518"/>
      <c r="I67" s="518"/>
      <c r="J67" s="518"/>
      <c r="K67" s="518"/>
      <c r="L67" s="518"/>
      <c r="M67" s="519"/>
      <c r="N67" s="519"/>
      <c r="O67" s="520"/>
      <c r="P67" s="504"/>
      <c r="Q67" s="504"/>
    </row>
    <row r="68" spans="1:17" s="117" customFormat="1" ht="14.4">
      <c r="A68" s="521" t="s">
        <v>2542</v>
      </c>
      <c r="B68" s="510"/>
      <c r="C68" s="522" t="s">
        <v>2644</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2580</v>
      </c>
      <c r="B70" s="528" t="s">
        <v>2546</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2549</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2683</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2742</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81" t="s">
        <v>614</v>
      </c>
      <c r="C61" s="818" t="s">
        <v>615</v>
      </c>
      <c r="D61" s="818" t="s">
        <v>616</v>
      </c>
      <c r="E61" s="895">
        <v>0.5</v>
      </c>
      <c r="F61" s="882">
        <v>80</v>
      </c>
    </row>
    <row r="62" spans="1:8" s="878" customFormat="1" ht="36">
      <c r="A62" s="882">
        <v>2</v>
      </c>
      <c r="B62" s="3281"/>
      <c r="C62" s="818" t="s">
        <v>617</v>
      </c>
      <c r="D62" s="818" t="s">
        <v>618</v>
      </c>
      <c r="E62" s="895">
        <v>0.5</v>
      </c>
      <c r="F62" s="882">
        <v>80</v>
      </c>
    </row>
    <row r="63" spans="1:8" s="878" customFormat="1" ht="48">
      <c r="A63" s="882">
        <v>3</v>
      </c>
      <c r="B63" s="3281"/>
      <c r="C63" s="818" t="s">
        <v>619</v>
      </c>
      <c r="D63" s="818" t="s">
        <v>620</v>
      </c>
      <c r="E63" s="895">
        <v>0.5</v>
      </c>
      <c r="F63" s="882">
        <v>80</v>
      </c>
    </row>
    <row r="64" spans="1:8" s="878" customFormat="1" ht="48">
      <c r="A64" s="882">
        <v>4</v>
      </c>
      <c r="B64" s="3281"/>
      <c r="C64" s="818" t="s">
        <v>621</v>
      </c>
      <c r="D64" s="818" t="s">
        <v>622</v>
      </c>
      <c r="E64" s="895">
        <v>0.4</v>
      </c>
      <c r="F64" s="882">
        <v>60</v>
      </c>
    </row>
    <row r="65" spans="1:6" s="878" customFormat="1" ht="48">
      <c r="A65" s="882">
        <v>5</v>
      </c>
      <c r="B65" s="3281"/>
      <c r="C65" s="818" t="s">
        <v>623</v>
      </c>
      <c r="D65" s="818" t="s">
        <v>624</v>
      </c>
      <c r="E65" s="895">
        <v>0.2</v>
      </c>
      <c r="F65" s="882">
        <v>30</v>
      </c>
    </row>
    <row r="66" spans="1:6" s="878" customFormat="1" ht="48">
      <c r="A66" s="882">
        <v>6</v>
      </c>
      <c r="B66" s="3281"/>
      <c r="C66" s="818" t="s">
        <v>625</v>
      </c>
      <c r="D66" s="818" t="s">
        <v>626</v>
      </c>
      <c r="E66" s="895">
        <v>0.3</v>
      </c>
      <c r="F66" s="882">
        <v>50</v>
      </c>
    </row>
    <row r="67" spans="1:6" s="878" customFormat="1" ht="48">
      <c r="A67" s="882">
        <v>7</v>
      </c>
      <c r="B67" s="3281"/>
      <c r="C67" s="818" t="s">
        <v>627</v>
      </c>
      <c r="D67" s="818" t="s">
        <v>628</v>
      </c>
      <c r="E67" s="895">
        <v>0.2</v>
      </c>
      <c r="F67" s="882">
        <v>30</v>
      </c>
    </row>
    <row r="68" spans="1:6" s="878" customFormat="1" ht="48">
      <c r="A68" s="882">
        <v>8</v>
      </c>
      <c r="B68" s="3281"/>
      <c r="C68" s="818" t="s">
        <v>629</v>
      </c>
      <c r="D68" s="818" t="s">
        <v>630</v>
      </c>
      <c r="E68" s="895">
        <v>0.2</v>
      </c>
      <c r="F68" s="882">
        <v>30</v>
      </c>
    </row>
    <row r="69" spans="1:6" s="878" customFormat="1" ht="48">
      <c r="A69" s="882">
        <v>9</v>
      </c>
      <c r="B69" s="3281"/>
      <c r="C69" s="818" t="s">
        <v>631</v>
      </c>
      <c r="D69" s="818" t="s">
        <v>632</v>
      </c>
      <c r="E69" s="895">
        <v>0.2</v>
      </c>
      <c r="F69" s="882">
        <v>30</v>
      </c>
    </row>
    <row r="70" spans="1:6" s="878" customFormat="1" ht="60">
      <c r="A70" s="882">
        <v>10</v>
      </c>
      <c r="B70" s="3281"/>
      <c r="C70" s="818" t="s">
        <v>633</v>
      </c>
      <c r="D70" s="818" t="s">
        <v>634</v>
      </c>
      <c r="E70" s="895">
        <v>0.2</v>
      </c>
      <c r="F70" s="882">
        <v>30</v>
      </c>
    </row>
    <row r="71" spans="1:6" s="878" customFormat="1" ht="60">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36">
      <c r="A73" s="882">
        <v>13</v>
      </c>
      <c r="B73" s="3281"/>
      <c r="C73" s="818" t="s">
        <v>639</v>
      </c>
      <c r="D73" s="818" t="s">
        <v>640</v>
      </c>
      <c r="E73" s="895">
        <v>0.4</v>
      </c>
      <c r="F73" s="882">
        <v>60</v>
      </c>
    </row>
    <row r="74" spans="1:6" s="878" customFormat="1" ht="36">
      <c r="A74" s="882">
        <v>14</v>
      </c>
      <c r="B74" s="3281"/>
      <c r="C74" s="818" t="s">
        <v>641</v>
      </c>
      <c r="D74" s="818" t="s">
        <v>642</v>
      </c>
      <c r="E74" s="895">
        <v>0.2</v>
      </c>
      <c r="F74" s="882">
        <v>30</v>
      </c>
    </row>
    <row r="75" spans="1:6" s="878" customFormat="1" ht="36">
      <c r="A75" s="882">
        <v>15</v>
      </c>
      <c r="B75" s="3281"/>
      <c r="C75" s="818" t="s">
        <v>643</v>
      </c>
      <c r="D75" s="818" t="s">
        <v>644</v>
      </c>
      <c r="E75" s="895">
        <v>0.2</v>
      </c>
      <c r="F75" s="882">
        <v>30</v>
      </c>
    </row>
    <row r="76" spans="1:6" s="878" customFormat="1" ht="36">
      <c r="A76" s="882">
        <v>16</v>
      </c>
      <c r="B76" s="3281" t="s">
        <v>645</v>
      </c>
      <c r="C76" s="818" t="s">
        <v>646</v>
      </c>
      <c r="D76" s="818" t="s">
        <v>647</v>
      </c>
      <c r="E76" s="895">
        <v>0.5</v>
      </c>
      <c r="F76" s="882">
        <v>80</v>
      </c>
    </row>
    <row r="77" spans="1:6" s="878" customFormat="1" ht="36">
      <c r="A77" s="882">
        <v>17</v>
      </c>
      <c r="B77" s="3281"/>
      <c r="C77" s="818" t="s">
        <v>648</v>
      </c>
      <c r="D77" s="818" t="s">
        <v>649</v>
      </c>
      <c r="E77" s="895">
        <v>0.5</v>
      </c>
      <c r="F77" s="882">
        <v>80</v>
      </c>
    </row>
    <row r="78" spans="1:6" s="878" customFormat="1" ht="36">
      <c r="A78" s="882">
        <v>18</v>
      </c>
      <c r="B78" s="3281"/>
      <c r="C78" s="818" t="s">
        <v>650</v>
      </c>
      <c r="D78" s="818" t="s">
        <v>651</v>
      </c>
      <c r="E78" s="895">
        <v>0.2</v>
      </c>
      <c r="F78" s="882">
        <v>30</v>
      </c>
    </row>
    <row r="79" spans="1:6" s="878" customFormat="1" ht="36">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60">
      <c r="A82" s="882">
        <v>22</v>
      </c>
      <c r="B82" s="3281"/>
      <c r="C82" s="818" t="s">
        <v>658</v>
      </c>
      <c r="D82" s="818" t="s">
        <v>659</v>
      </c>
      <c r="E82" s="895">
        <v>0.2</v>
      </c>
      <c r="F82" s="882">
        <v>30</v>
      </c>
    </row>
    <row r="83" spans="1:6" s="878" customFormat="1" ht="60">
      <c r="A83" s="882">
        <v>23</v>
      </c>
      <c r="B83" s="3281"/>
      <c r="C83" s="818" t="s">
        <v>660</v>
      </c>
      <c r="D83" s="818" t="s">
        <v>661</v>
      </c>
      <c r="E83" s="895">
        <v>0.2</v>
      </c>
      <c r="F83" s="882">
        <v>30</v>
      </c>
    </row>
    <row r="84" spans="1:6" s="878" customFormat="1" ht="48">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36">
      <c r="A89" s="882">
        <v>29</v>
      </c>
      <c r="B89" s="3281"/>
      <c r="C89" s="818" t="s">
        <v>672</v>
      </c>
      <c r="D89" s="818" t="s">
        <v>673</v>
      </c>
      <c r="E89" s="895">
        <v>0.2</v>
      </c>
      <c r="F89" s="882">
        <v>30</v>
      </c>
    </row>
    <row r="90" spans="1:6" s="878" customFormat="1" ht="36">
      <c r="A90" s="882">
        <v>30</v>
      </c>
      <c r="B90" s="3281"/>
      <c r="C90" s="818" t="s">
        <v>674</v>
      </c>
      <c r="D90" s="818" t="s">
        <v>675</v>
      </c>
      <c r="E90" s="895">
        <v>0.2</v>
      </c>
      <c r="F90" s="882">
        <v>30</v>
      </c>
    </row>
    <row r="91" spans="1:6" s="878" customFormat="1" ht="48">
      <c r="A91" s="882">
        <v>31</v>
      </c>
      <c r="B91" s="3281"/>
      <c r="C91" s="818" t="s">
        <v>676</v>
      </c>
      <c r="D91" s="818" t="s">
        <v>677</v>
      </c>
      <c r="E91" s="895">
        <v>0.2</v>
      </c>
      <c r="F91" s="882">
        <v>30</v>
      </c>
    </row>
    <row r="92" spans="1:6" s="878" customFormat="1" ht="36">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60">
      <c r="A94" s="882">
        <v>34</v>
      </c>
      <c r="B94" s="3281"/>
      <c r="C94" s="882" t="s">
        <v>683</v>
      </c>
      <c r="D94" s="818" t="s">
        <v>684</v>
      </c>
      <c r="E94" s="895">
        <v>0.2</v>
      </c>
      <c r="F94" s="882">
        <v>30</v>
      </c>
    </row>
    <row r="95" spans="1:6" s="878" customFormat="1" ht="48">
      <c r="A95" s="882">
        <v>35</v>
      </c>
      <c r="B95" s="3281"/>
      <c r="C95" s="882" t="s">
        <v>685</v>
      </c>
      <c r="D95" s="818" t="s">
        <v>686</v>
      </c>
      <c r="E95" s="895">
        <v>0.2</v>
      </c>
      <c r="F95" s="882">
        <v>30</v>
      </c>
    </row>
    <row r="96" spans="1:6" s="878" customFormat="1" ht="72">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36">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81" t="s">
        <v>708</v>
      </c>
      <c r="C105" s="882" t="s">
        <v>709</v>
      </c>
      <c r="D105" s="818" t="s">
        <v>710</v>
      </c>
      <c r="E105" s="895">
        <v>0.2</v>
      </c>
      <c r="F105" s="882">
        <v>30</v>
      </c>
    </row>
    <row r="106" spans="1:6" s="878" customFormat="1" ht="48">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48">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81" t="s">
        <v>724</v>
      </c>
      <c r="C111" s="882" t="s">
        <v>725</v>
      </c>
      <c r="D111" s="818" t="s">
        <v>726</v>
      </c>
      <c r="E111" s="895">
        <v>0.2</v>
      </c>
      <c r="F111" s="882">
        <v>30</v>
      </c>
    </row>
    <row r="112" spans="1:6" s="878" customFormat="1" ht="36">
      <c r="A112" s="882">
        <v>52</v>
      </c>
      <c r="B112" s="3281"/>
      <c r="C112" s="882" t="s">
        <v>727</v>
      </c>
      <c r="D112" s="818" t="s">
        <v>728</v>
      </c>
      <c r="E112" s="895">
        <v>0.2</v>
      </c>
      <c r="F112" s="882">
        <v>30</v>
      </c>
    </row>
    <row r="113" spans="1:6" s="878" customFormat="1" ht="36">
      <c r="A113" s="882">
        <v>53</v>
      </c>
      <c r="B113" s="328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7" t="s">
        <v>2994</v>
      </c>
    </row>
    <row r="2" spans="1:5" ht="15.6">
      <c r="A2" s="2898" t="s">
        <v>2986</v>
      </c>
      <c r="B2" s="2899">
        <f ca="1">SUMIF(B6:B13,"&lt;&gt;#ref!",B6:B13)</f>
        <v>2643</v>
      </c>
      <c r="C2" s="2898" t="s">
        <v>2987</v>
      </c>
      <c r="D2" s="2898" t="s">
        <v>2988</v>
      </c>
      <c r="E2" s="2899">
        <f ca="1">SUMIF(E6:E13,"&lt;&gt;#ref!",E6:E13)</f>
        <v>15950.36</v>
      </c>
    </row>
    <row r="3" spans="1:5" ht="15.6">
      <c r="A3" s="2898" t="s">
        <v>2989</v>
      </c>
      <c r="B3" s="2899">
        <f ca="1">ROUND(B2*10000/E2,0)</f>
        <v>1657</v>
      </c>
      <c r="C3" s="2898" t="s">
        <v>2995</v>
      </c>
      <c r="D3" s="2900"/>
      <c r="E3" s="2900"/>
    </row>
    <row r="4" spans="1:5" ht="15.6">
      <c r="A4" s="2901"/>
      <c r="B4" s="2900"/>
      <c r="C4" s="2900"/>
      <c r="D4" s="2900"/>
      <c r="E4" s="2900"/>
    </row>
    <row r="5" spans="1:5" ht="31.2">
      <c r="A5" s="2902" t="s">
        <v>2990</v>
      </c>
      <c r="B5" s="2898" t="s">
        <v>2991</v>
      </c>
      <c r="C5" s="2899"/>
      <c r="D5" s="2900"/>
      <c r="E5" s="2898" t="s">
        <v>2992</v>
      </c>
    </row>
    <row r="6" spans="1:5" ht="15.6">
      <c r="A6" s="2903" t="s">
        <v>2993</v>
      </c>
      <c r="B6" s="2899">
        <f ca="1">SUMIF(INDIRECT("'"&amp;A6&amp;"'"&amp;"!A:A"),"总价",INDIRECT("'"&amp;A6&amp;"'"&amp;"!B:B"))</f>
        <v>2643</v>
      </c>
      <c r="C6" s="2898" t="s">
        <v>2987</v>
      </c>
      <c r="D6" s="2900"/>
      <c r="E6" s="2571">
        <f ca="1">SUMIF(INDIRECT("'"&amp;A6&amp;"'"&amp;"!C:C"),"建筑面积",INDIRECT("'"&amp;A6&amp;"'"&amp;"!D:D"))</f>
        <v>15950.36</v>
      </c>
    </row>
    <row r="7" spans="1:5" ht="15.6">
      <c r="A7" s="2903"/>
      <c r="B7" s="2899" t="e">
        <f ca="1">SUMIF(INDIRECT("'"&amp;A7&amp;"'"&amp;"!A:A"),"总价",INDIRECT("'"&amp;A7&amp;"'"&amp;"!B:B"))</f>
        <v>#REF!</v>
      </c>
      <c r="C7" s="2898" t="s">
        <v>2987</v>
      </c>
      <c r="D7" s="2900"/>
      <c r="E7" s="2571" t="e">
        <f t="shared" ref="E7:E13" ca="1" si="0">SUMIF(INDIRECT("'"&amp;A7&amp;"'"&amp;"!C:C"),"建筑面积",INDIRECT("'"&amp;A7&amp;"'"&amp;"!D:D"))</f>
        <v>#REF!</v>
      </c>
    </row>
    <row r="8" spans="1:5" ht="15.6">
      <c r="A8" s="2903"/>
      <c r="B8" s="2899" t="e">
        <f t="shared" ref="B8:B13" ca="1" si="1">SUMIF(INDIRECT("'"&amp;A8&amp;"'"&amp;"!A:A"),"总价",INDIRECT("'"&amp;A8&amp;"'"&amp;"!B:B"))</f>
        <v>#REF!</v>
      </c>
      <c r="C8" s="2898" t="s">
        <v>2987</v>
      </c>
      <c r="D8" s="2900"/>
      <c r="E8" s="2571" t="e">
        <f t="shared" ca="1" si="0"/>
        <v>#REF!</v>
      </c>
    </row>
    <row r="9" spans="1:5" ht="15.6">
      <c r="A9" s="2903"/>
      <c r="B9" s="2899" t="e">
        <f t="shared" ca="1" si="1"/>
        <v>#REF!</v>
      </c>
      <c r="C9" s="2898" t="s">
        <v>2987</v>
      </c>
      <c r="D9" s="2900"/>
      <c r="E9" s="2571" t="e">
        <f t="shared" ca="1" si="0"/>
        <v>#REF!</v>
      </c>
    </row>
    <row r="10" spans="1:5" ht="15.6">
      <c r="A10" s="2903"/>
      <c r="B10" s="2899" t="e">
        <f t="shared" ca="1" si="1"/>
        <v>#REF!</v>
      </c>
      <c r="C10" s="2898" t="s">
        <v>2987</v>
      </c>
      <c r="D10" s="2900"/>
      <c r="E10" s="2571" t="e">
        <f t="shared" ca="1" si="0"/>
        <v>#REF!</v>
      </c>
    </row>
    <row r="11" spans="1:5" ht="15.6">
      <c r="A11" s="2903"/>
      <c r="B11" s="2899" t="e">
        <f t="shared" ca="1" si="1"/>
        <v>#REF!</v>
      </c>
      <c r="C11" s="2898" t="s">
        <v>2987</v>
      </c>
      <c r="D11" s="2900"/>
      <c r="E11" s="2571" t="e">
        <f t="shared" ca="1" si="0"/>
        <v>#REF!</v>
      </c>
    </row>
    <row r="12" spans="1:5" ht="15.6">
      <c r="A12" s="2903"/>
      <c r="B12" s="2899" t="e">
        <f t="shared" ca="1" si="1"/>
        <v>#REF!</v>
      </c>
      <c r="C12" s="2898" t="s">
        <v>2987</v>
      </c>
      <c r="D12" s="2900"/>
      <c r="E12" s="2571" t="e">
        <f t="shared" ca="1" si="0"/>
        <v>#REF!</v>
      </c>
    </row>
    <row r="13" spans="1:5" ht="15.6">
      <c r="A13" s="2903"/>
      <c r="B13" s="2899" t="e">
        <f t="shared" ca="1" si="1"/>
        <v>#REF!</v>
      </c>
      <c r="C13" s="2898" t="s">
        <v>2987</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2"/>
  <sheetViews>
    <sheetView topLeftCell="G1" zoomScale="80" zoomScaleNormal="80" workbookViewId="0">
      <selection activeCell="AB3" sqref="AB3"/>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7" t="s">
        <v>1145</v>
      </c>
      <c r="C1" s="3287"/>
      <c r="D1" s="3287"/>
      <c r="E1" s="3287"/>
      <c r="F1" s="3287"/>
      <c r="G1" s="3286" t="s">
        <v>1146</v>
      </c>
      <c r="H1" s="3286"/>
      <c r="I1" s="3286"/>
      <c r="J1" s="3286"/>
      <c r="K1" s="3286"/>
      <c r="L1" s="3286"/>
      <c r="N1" s="3286" t="s">
        <v>1147</v>
      </c>
      <c r="O1" s="3286"/>
      <c r="P1" s="3286"/>
      <c r="Q1" s="3286"/>
      <c r="R1" s="1446"/>
      <c r="S1" s="3286" t="s">
        <v>1148</v>
      </c>
      <c r="T1" s="3286"/>
      <c r="U1" s="3286"/>
      <c r="V1" s="3286"/>
      <c r="X1" s="3285" t="s">
        <v>1149</v>
      </c>
      <c r="Y1" s="3286"/>
      <c r="Z1" s="3286"/>
      <c r="AA1" s="3286"/>
      <c r="AB1" s="3286"/>
      <c r="AD1" s="3285" t="s">
        <v>1150</v>
      </c>
      <c r="AE1" s="3286"/>
      <c r="AF1" s="3286"/>
      <c r="AG1" s="3286"/>
      <c r="AH1" s="3286"/>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4" customFormat="1" ht="14.4">
      <c r="A3" s="2923" t="s">
        <v>3029</v>
      </c>
      <c r="B3" s="2915"/>
      <c r="C3" s="2915"/>
      <c r="D3" s="2916"/>
      <c r="E3" s="2916"/>
      <c r="F3" s="2915"/>
      <c r="G3" s="2917"/>
      <c r="H3" s="2918"/>
      <c r="I3" s="2919">
        <f>ROUND(AVERAGE($I4:$I29),2)</f>
        <v>1.92</v>
      </c>
      <c r="J3" s="2919">
        <f>ROUND(AVERAGE($J4:$J29),2)</f>
        <v>1.34</v>
      </c>
      <c r="K3" s="2919">
        <f>ROUND(AVERAGE($K4:$K29),2)</f>
        <v>2.1</v>
      </c>
      <c r="L3" s="2919">
        <f>ROUND(AVERAGE($L4:$L29),2)</f>
        <v>1.35</v>
      </c>
      <c r="N3" s="2917"/>
      <c r="O3" s="2920"/>
      <c r="P3" s="2920"/>
      <c r="Q3" s="2920"/>
      <c r="R3" s="2920"/>
      <c r="S3" s="2917"/>
      <c r="T3" s="2920"/>
      <c r="U3" s="2920"/>
      <c r="V3" s="2920"/>
      <c r="W3" s="2912"/>
      <c r="X3" s="2921">
        <f>ROUND(SUMPRODUCT(PRODUCT(1+N3:N$28)),4)</f>
        <v>1.5586</v>
      </c>
      <c r="Y3" s="2921">
        <f>ROUND(SUMPRODUCT(PRODUCT(1+O3:O$28)),4)</f>
        <v>1.3633</v>
      </c>
      <c r="Z3" s="2921">
        <f t="shared" ref="Z3:Z26" si="0">Y3</f>
        <v>1.3633</v>
      </c>
      <c r="AA3" s="2921">
        <f>ROUND(SUMPRODUCT(PRODUCT(1+P3:P$28)),4)</f>
        <v>1.6221000000000001</v>
      </c>
      <c r="AB3" s="2921">
        <f>ROUND(SUMPRODUCT(PRODUCT(1+Q3:Q$28)),4)</f>
        <v>1.3777999999999999</v>
      </c>
      <c r="AD3" s="2922">
        <f>ROUND(AVERAGE(I3:I$29)/100,4)</f>
        <v>1.9199999999999998E-2</v>
      </c>
      <c r="AE3" s="2922">
        <f>ROUND(AVERAGE(J3:J$29)/100,4)</f>
        <v>1.34E-2</v>
      </c>
      <c r="AF3" s="2922">
        <f t="shared" ref="AF3:AF27" si="1">AE3</f>
        <v>1.34E-2</v>
      </c>
      <c r="AG3" s="2922">
        <f>ROUND(AVERAGE(K3:K$29)/100,4)</f>
        <v>2.1000000000000001E-2</v>
      </c>
      <c r="AH3" s="2922">
        <f>ROUND(AVERAGE(L3:L$29)/100,4)</f>
        <v>1.35E-2</v>
      </c>
    </row>
    <row r="4" spans="1:34" s="1453" customFormat="1" ht="14.4">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3048</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48">
        <v>2020</v>
      </c>
      <c r="H5" s="1730">
        <v>1</v>
      </c>
      <c r="I5" s="2910">
        <v>0</v>
      </c>
      <c r="J5" s="2910">
        <v>0</v>
      </c>
      <c r="K5" s="2910">
        <v>0</v>
      </c>
      <c r="L5" s="2910">
        <v>0</v>
      </c>
      <c r="N5" s="1467">
        <f t="shared" ref="N5" si="7">I5/100</f>
        <v>0</v>
      </c>
      <c r="O5" s="1467">
        <f t="shared" ref="O5" si="8">J5/100</f>
        <v>0</v>
      </c>
      <c r="P5" s="1467">
        <f t="shared" ref="P5" si="9">K5/100</f>
        <v>0</v>
      </c>
      <c r="Q5" s="1467">
        <f t="shared" ref="Q5" si="10">L5/100</f>
        <v>0</v>
      </c>
      <c r="R5" s="1732"/>
      <c r="S5" s="1733"/>
      <c r="T5" s="1732"/>
      <c r="U5" s="1732"/>
      <c r="V5" s="1732"/>
      <c r="W5" s="2913" t="s">
        <v>3030</v>
      </c>
      <c r="X5" s="1726">
        <f>ROUND(IF(项目基本情况!B8="出让",SUMPRODUCT(PRODUCT(1+N5:N$29)),SUMPRODUCT(PRODUCT(1+N5:N$28))),4)</f>
        <v>1.5586</v>
      </c>
      <c r="Y5" s="1726">
        <f>ROUND(IF(项目基本情况!B8="出让",SUMPRODUCT(PRODUCT(1+O5:O$29)),SUMPRODUCT(PRODUCT(1+O5:O$28))),4)</f>
        <v>1.3633</v>
      </c>
      <c r="Z5" s="1726">
        <f t="shared" ref="Z5" si="11">Y5</f>
        <v>1.3633</v>
      </c>
      <c r="AA5" s="1726">
        <f>ROUND(IF(项目基本情况!B8="出让",SUMPRODUCT(PRODUCT(1+P5:P$29)),SUMPRODUCT(PRODUCT(1+P5:P$28))),4)</f>
        <v>1.6221000000000001</v>
      </c>
      <c r="AB5" s="1726">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c r="A6" s="1461" t="s">
        <v>3047</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48">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90"/>
      <c r="X6" s="1788">
        <f>ROUND(IF(项目基本情况!B8="出让",SUMPRODUCT(PRODUCT(1+N6:N$29)),SUMPRODUCT(PRODUCT(1+N6:N$28))),4)</f>
        <v>1.5586</v>
      </c>
      <c r="Y6" s="1788">
        <f>ROUND(IF(项目基本情况!B8="出让",SUMPRODUCT(PRODUCT(1+O6:O$29)),SUMPRODUCT(PRODUCT(1+O6:O$28))),4)</f>
        <v>1.3633</v>
      </c>
      <c r="Z6" s="1788">
        <f t="shared" ref="Z6" si="22">Y6</f>
        <v>1.3633</v>
      </c>
      <c r="AA6" s="1788">
        <f>ROUND(IF(项目基本情况!B8="出让",SUMPRODUCT(PRODUCT(1+P6:P$29)),SUMPRODUCT(PRODUCT(1+P6:P$28))),4)</f>
        <v>1.6221000000000001</v>
      </c>
      <c r="AB6" s="1788">
        <f>ROUND(IF(项目基本情况!B8="出让",SUMPRODUCT(PRODUCT(1+Q6:Q$29)),SUMPRODUCT(PRODUCT(1+Q6:Q$28))),4)</f>
        <v>1.3777999999999999</v>
      </c>
      <c r="AC6" s="1790"/>
      <c r="AD6" s="1789">
        <f>ROUND(AVERAGE(I6:I$29)/100,4)</f>
        <v>0.02</v>
      </c>
      <c r="AE6" s="1789">
        <f>ROUND(AVERAGE(J6:J$29)/100,4)</f>
        <v>1.4E-2</v>
      </c>
      <c r="AF6" s="1789">
        <f t="shared" ref="AF6" si="23">AE6</f>
        <v>1.4E-2</v>
      </c>
      <c r="AG6" s="1789">
        <f>ROUND(AVERAGE(K6:K$29)/100,4)</f>
        <v>2.1899999999999999E-2</v>
      </c>
      <c r="AH6" s="1789">
        <f>ROUND(AVERAGE(L6:L$29)/100,4)</f>
        <v>1.4E-2</v>
      </c>
    </row>
    <row r="7" spans="1:34" s="1466" customFormat="1" ht="13.8" thickBot="1">
      <c r="A7" s="1461" t="s">
        <v>3043</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7">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3041</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3">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8" thickBot="1">
      <c r="A9" s="1461" t="s">
        <v>3039</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7">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3042</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283">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3036</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83"/>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3035</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83"/>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3028</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92"/>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3025</v>
      </c>
      <c r="B14" s="1469">
        <v>439</v>
      </c>
      <c r="C14" s="1469">
        <v>327</v>
      </c>
      <c r="D14" s="1469">
        <f>C14</f>
        <v>327</v>
      </c>
      <c r="E14" s="1469">
        <v>627</v>
      </c>
      <c r="F14" s="1470">
        <v>283</v>
      </c>
      <c r="G14" s="3288">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3026</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83"/>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83"/>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92"/>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88">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83"/>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83"/>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8"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84"/>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8" thickBot="1">
      <c r="A22" s="1461" t="s">
        <v>151</v>
      </c>
      <c r="B22" s="1469">
        <v>333</v>
      </c>
      <c r="C22" s="1469">
        <v>277</v>
      </c>
      <c r="D22" s="1469">
        <f t="shared" si="119"/>
        <v>277</v>
      </c>
      <c r="E22" s="1469">
        <v>459</v>
      </c>
      <c r="F22" s="1470">
        <v>249</v>
      </c>
      <c r="G22" s="3282">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83"/>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83"/>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84"/>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8" thickBot="1">
      <c r="A26" s="1461" t="s">
        <v>147</v>
      </c>
      <c r="B26" s="1490">
        <v>318</v>
      </c>
      <c r="C26" s="1490">
        <v>268</v>
      </c>
      <c r="D26" s="1490">
        <f t="shared" si="119"/>
        <v>268</v>
      </c>
      <c r="E26" s="1490">
        <v>437</v>
      </c>
      <c r="F26" s="1491">
        <v>237</v>
      </c>
      <c r="G26" s="3282">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83"/>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8"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83"/>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8"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84"/>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8" thickBot="1">
      <c r="A30" s="1461" t="s">
        <v>1158</v>
      </c>
      <c r="B30" s="1469">
        <v>299</v>
      </c>
      <c r="C30" s="1469">
        <v>252</v>
      </c>
      <c r="D30" s="1469">
        <f t="shared" si="119"/>
        <v>252</v>
      </c>
      <c r="E30" s="1469">
        <v>409</v>
      </c>
      <c r="F30" s="1470">
        <v>227</v>
      </c>
      <c r="G30" s="3289">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90"/>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90"/>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91"/>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8" thickBot="1">
      <c r="A34" s="1461" t="s">
        <v>1162</v>
      </c>
      <c r="B34" s="1511">
        <v>278</v>
      </c>
      <c r="C34" s="1511">
        <v>234</v>
      </c>
      <c r="D34" s="1511">
        <f t="shared" si="119"/>
        <v>234</v>
      </c>
      <c r="E34" s="1511">
        <v>379</v>
      </c>
      <c r="F34" s="1512">
        <v>220</v>
      </c>
      <c r="G34" s="3282">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83"/>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83"/>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8" thickBot="1">
      <c r="A37" s="1461" t="s">
        <v>1165</v>
      </c>
      <c r="B37" s="1477">
        <f>B36/(1+N36)</f>
        <v>275.19025476197027</v>
      </c>
      <c r="C37" s="1513">
        <v>232</v>
      </c>
      <c r="D37" s="1513">
        <f t="shared" si="119"/>
        <v>232</v>
      </c>
      <c r="E37" s="1477">
        <f t="shared" si="130"/>
        <v>375.65990977608692</v>
      </c>
      <c r="F37" s="1477">
        <f t="shared" si="130"/>
        <v>214.12518283971252</v>
      </c>
      <c r="G37" s="3284"/>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8" thickBot="1">
      <c r="A38" s="1461" t="s">
        <v>1166</v>
      </c>
      <c r="B38" s="1469">
        <v>275</v>
      </c>
      <c r="C38" s="1469">
        <v>232</v>
      </c>
      <c r="D38" s="1469">
        <f t="shared" si="119"/>
        <v>232</v>
      </c>
      <c r="E38" s="1469">
        <v>376</v>
      </c>
      <c r="F38" s="1470">
        <v>213</v>
      </c>
      <c r="G38" s="3282">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83">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83">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8"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84">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8" thickBot="1">
      <c r="A42" s="1461" t="s">
        <v>1170</v>
      </c>
      <c r="B42" s="1469">
        <v>269</v>
      </c>
      <c r="C42" s="1469">
        <v>221</v>
      </c>
      <c r="D42" s="1469">
        <f t="shared" si="119"/>
        <v>221</v>
      </c>
      <c r="E42" s="1469">
        <v>373</v>
      </c>
      <c r="F42" s="1470">
        <v>196</v>
      </c>
      <c r="G42" s="3282">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83">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83">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8"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84">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8" thickBot="1">
      <c r="A46" s="1461" t="s">
        <v>1174</v>
      </c>
      <c r="B46" s="1469">
        <v>220</v>
      </c>
      <c r="C46" s="1469">
        <v>187</v>
      </c>
      <c r="D46" s="1469">
        <f t="shared" si="119"/>
        <v>187</v>
      </c>
      <c r="E46" s="1469">
        <v>301</v>
      </c>
      <c r="F46" s="1470">
        <v>168</v>
      </c>
      <c r="G46" s="3282">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83">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83">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84">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8" thickBot="1">
      <c r="A50" s="1461" t="s">
        <v>1178</v>
      </c>
      <c r="B50" s="1511">
        <v>214</v>
      </c>
      <c r="C50" s="1511">
        <v>188</v>
      </c>
      <c r="D50" s="1511">
        <f t="shared" si="119"/>
        <v>188</v>
      </c>
      <c r="E50" s="1511">
        <v>289</v>
      </c>
      <c r="F50" s="1512">
        <v>166</v>
      </c>
      <c r="G50" s="3282">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83">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83">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8"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84">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8" thickBot="1">
      <c r="A54" s="1461" t="s">
        <v>1182</v>
      </c>
      <c r="B54" s="1469">
        <v>188</v>
      </c>
      <c r="C54" s="1469">
        <v>165</v>
      </c>
      <c r="D54" s="1469">
        <f t="shared" si="119"/>
        <v>165</v>
      </c>
      <c r="E54" s="1469">
        <v>254</v>
      </c>
      <c r="F54" s="1470">
        <v>148</v>
      </c>
      <c r="G54" s="3282">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83">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83">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84">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8" thickBot="1">
      <c r="A58" s="1461" t="s">
        <v>1186</v>
      </c>
      <c r="B58" s="1490">
        <v>159</v>
      </c>
      <c r="C58" s="1490">
        <v>141</v>
      </c>
      <c r="D58" s="1490">
        <f t="shared" si="119"/>
        <v>141</v>
      </c>
      <c r="E58" s="1490">
        <v>195</v>
      </c>
      <c r="F58" s="1491">
        <v>122</v>
      </c>
      <c r="G58" s="3282">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83">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83">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84">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8" thickBot="1">
      <c r="A62" s="1461" t="s">
        <v>1190</v>
      </c>
      <c r="B62" s="1490">
        <v>138</v>
      </c>
      <c r="C62" s="1490">
        <v>131</v>
      </c>
      <c r="D62" s="1490">
        <f t="shared" si="119"/>
        <v>131</v>
      </c>
      <c r="E62" s="1490">
        <v>155</v>
      </c>
      <c r="F62" s="1491">
        <v>114</v>
      </c>
      <c r="G62" s="3282">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83">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83">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84">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8" thickBot="1">
      <c r="A66" s="1461" t="s">
        <v>1194</v>
      </c>
      <c r="B66" s="1511">
        <v>121</v>
      </c>
      <c r="C66" s="1511">
        <v>122</v>
      </c>
      <c r="D66" s="1511">
        <f t="shared" si="119"/>
        <v>122</v>
      </c>
      <c r="E66" s="1511">
        <v>124</v>
      </c>
      <c r="F66" s="1512">
        <v>107</v>
      </c>
      <c r="G66" s="3282">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83">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83">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8"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84">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8" thickBot="1">
      <c r="A70" s="1461" t="s">
        <v>1198</v>
      </c>
      <c r="B70" s="1532">
        <v>111</v>
      </c>
      <c r="C70" s="1532">
        <v>114</v>
      </c>
      <c r="D70" s="1532">
        <f t="shared" si="119"/>
        <v>114</v>
      </c>
      <c r="E70" s="1532">
        <v>108</v>
      </c>
      <c r="F70" s="1533">
        <v>104</v>
      </c>
      <c r="G70" s="3282">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83">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83">
        <v>2003</v>
      </c>
      <c r="H72" s="1465">
        <v>2</v>
      </c>
      <c r="I72" s="1534"/>
      <c r="J72" s="1534"/>
      <c r="K72" s="1534"/>
      <c r="L72" s="1534"/>
      <c r="X72" s="1526"/>
      <c r="Y72" s="1526"/>
      <c r="Z72" s="1526"/>
    </row>
    <row r="73" spans="1:26" ht="13.8" thickBot="1">
      <c r="A73" s="1461" t="s">
        <v>1201</v>
      </c>
      <c r="B73" s="1536">
        <f t="shared" si="155"/>
        <v>107.25</v>
      </c>
      <c r="C73" s="1536">
        <f t="shared" si="155"/>
        <v>108.75</v>
      </c>
      <c r="D73" s="1536">
        <f t="shared" si="119"/>
        <v>108.75</v>
      </c>
      <c r="E73" s="1536">
        <f t="shared" si="156"/>
        <v>105.75</v>
      </c>
      <c r="F73" s="1536">
        <f t="shared" si="156"/>
        <v>102.5</v>
      </c>
      <c r="G73" s="3284">
        <v>2003</v>
      </c>
      <c r="H73" s="1537">
        <v>1</v>
      </c>
      <c r="I73" s="1534"/>
      <c r="J73" s="1534"/>
      <c r="K73" s="1534"/>
      <c r="L73" s="1534"/>
      <c r="S73" s="1472"/>
      <c r="T73" s="1473"/>
      <c r="U73" s="1473"/>
      <c r="X73" s="1526"/>
      <c r="Y73" s="1526"/>
      <c r="Z73" s="1526"/>
    </row>
    <row r="74" spans="1:26" ht="13.8" thickBot="1">
      <c r="A74" s="1461" t="s">
        <v>1202</v>
      </c>
      <c r="B74" s="1538">
        <v>106</v>
      </c>
      <c r="C74" s="1538">
        <v>107</v>
      </c>
      <c r="D74" s="1538">
        <f t="shared" si="119"/>
        <v>107</v>
      </c>
      <c r="E74" s="1538">
        <v>105</v>
      </c>
      <c r="F74" s="1539">
        <v>102</v>
      </c>
      <c r="G74" s="3282">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83">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83">
        <v>2002</v>
      </c>
      <c r="H76" s="1465">
        <v>2</v>
      </c>
      <c r="I76" s="1534"/>
      <c r="J76" s="1534"/>
      <c r="K76" s="1534"/>
      <c r="L76" s="1534"/>
      <c r="X76" s="1526"/>
      <c r="Y76" s="1526"/>
      <c r="Z76" s="1526"/>
    </row>
    <row r="77" spans="1:26" s="1498" customFormat="1" ht="13.8" thickBot="1">
      <c r="A77" s="1494" t="s">
        <v>1205</v>
      </c>
      <c r="B77" s="1540">
        <f t="shared" si="157"/>
        <v>103</v>
      </c>
      <c r="C77" s="1540">
        <f t="shared" si="157"/>
        <v>104</v>
      </c>
      <c r="D77" s="1540">
        <f t="shared" si="119"/>
        <v>104</v>
      </c>
      <c r="E77" s="1540">
        <f t="shared" si="158"/>
        <v>103.5</v>
      </c>
      <c r="F77" s="1540">
        <f t="shared" si="158"/>
        <v>100.5</v>
      </c>
      <c r="G77" s="3284">
        <v>2002</v>
      </c>
      <c r="H77" s="1541">
        <v>1</v>
      </c>
      <c r="I77" s="1542"/>
      <c r="J77" s="1542"/>
      <c r="K77" s="1542"/>
      <c r="L77" s="1542"/>
      <c r="N77" s="1543"/>
      <c r="S77" s="1543"/>
      <c r="X77" s="1544"/>
      <c r="Y77" s="1544"/>
      <c r="Z77" s="1544"/>
    </row>
    <row r="78" spans="1:26" ht="13.8"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8"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8"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1615</v>
      </c>
      <c r="B1" s="1958"/>
      <c r="C1" s="1958"/>
      <c r="D1" s="1958"/>
      <c r="E1" s="1958"/>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7.399999999999999">
      <c r="A3" s="2978" t="str">
        <f>IF(项目基本情况!B9="房地产市场价值","估价结果一览表（市场价值不需“结果表-1”）","估价结果一览表")</f>
        <v>估价结果一览表</v>
      </c>
      <c r="B3" s="2978"/>
      <c r="C3" s="2978"/>
      <c r="D3" s="2978"/>
      <c r="E3" s="2978"/>
    </row>
    <row r="4" spans="1:5" ht="18" thickBot="1">
      <c r="A4" s="1960"/>
      <c r="B4" s="2976" t="s">
        <v>1624</v>
      </c>
      <c r="C4" s="2976"/>
      <c r="D4" s="2976"/>
      <c r="E4" s="1960"/>
    </row>
    <row r="5" spans="1:5" ht="16.2" thickTop="1">
      <c r="A5" s="1958"/>
      <c r="B5" s="2974" t="s">
        <v>1616</v>
      </c>
      <c r="C5" s="1961" t="s">
        <v>1617</v>
      </c>
      <c r="D5" s="1040">
        <f ca="1">结果表!H101</f>
        <v>8288</v>
      </c>
      <c r="E5" s="1958"/>
    </row>
    <row r="6" spans="1:5" ht="15.6">
      <c r="A6" s="1958"/>
      <c r="B6" s="2974"/>
      <c r="C6" s="1961" t="s">
        <v>1618</v>
      </c>
      <c r="D6" s="1040" t="str">
        <f ca="1">NUMBERSTRING(INT(D5*10000),2)&amp;"元整"</f>
        <v>捌仟贰佰捌拾捌万元整</v>
      </c>
      <c r="E6" s="1958"/>
    </row>
    <row r="7" spans="1:5" ht="15.6">
      <c r="A7" s="1958"/>
      <c r="B7" s="2979"/>
      <c r="C7" s="1962" t="s">
        <v>1619</v>
      </c>
      <c r="D7" s="1041">
        <f ca="1">结果表!H102</f>
        <v>5196</v>
      </c>
      <c r="E7" s="1958"/>
    </row>
    <row r="8" spans="1:5" ht="15.6">
      <c r="A8" s="1958"/>
      <c r="B8" s="2980" t="str">
        <f>结果表!E103</f>
        <v>2.估价师知悉的法定优先受偿款</v>
      </c>
      <c r="C8" s="1963" t="s">
        <v>1620</v>
      </c>
      <c r="D8" s="1041">
        <f>结果表!H103</f>
        <v>0</v>
      </c>
      <c r="E8" s="1958"/>
    </row>
    <row r="9" spans="1:5" ht="15.6">
      <c r="A9" s="1958"/>
      <c r="B9" s="2982"/>
      <c r="C9" s="1961" t="s">
        <v>1618</v>
      </c>
      <c r="D9" s="1040" t="str">
        <f>NUMBERSTRING(INT(D8*10000),2)&amp;"元整"</f>
        <v>零元整</v>
      </c>
      <c r="E9" s="1958"/>
    </row>
    <row r="10" spans="1:5" ht="15.6">
      <c r="A10" s="1958"/>
      <c r="B10" s="1964" t="s">
        <v>1623</v>
      </c>
      <c r="C10" s="1965" t="s">
        <v>1621</v>
      </c>
      <c r="D10" s="1042">
        <f>结果表!H104</f>
        <v>0</v>
      </c>
      <c r="E10" s="1958"/>
    </row>
    <row r="11" spans="1:5" ht="15.6">
      <c r="A11" s="1958"/>
      <c r="B11" s="1964" t="s">
        <v>1625</v>
      </c>
      <c r="C11" s="1965" t="s">
        <v>1626</v>
      </c>
      <c r="D11" s="1042">
        <f>结果表!H105</f>
        <v>0</v>
      </c>
      <c r="E11" s="1958"/>
    </row>
    <row r="12" spans="1:5" ht="15.6">
      <c r="A12" s="1958"/>
      <c r="B12" s="1964" t="s">
        <v>1627</v>
      </c>
      <c r="C12" s="1965" t="s">
        <v>1626</v>
      </c>
      <c r="D12" s="1042">
        <f>结果表!H106</f>
        <v>0</v>
      </c>
      <c r="E12" s="1958"/>
    </row>
    <row r="13" spans="1:5" ht="15.6">
      <c r="A13" s="1958"/>
      <c r="B13" s="2973" t="str">
        <f>结果表!E107</f>
        <v>3.房地产抵押价值</v>
      </c>
      <c r="C13" s="1966" t="s">
        <v>1617</v>
      </c>
      <c r="D13" s="1043">
        <f ca="1">结果表!H107</f>
        <v>8288</v>
      </c>
      <c r="E13" s="1958"/>
    </row>
    <row r="14" spans="1:5" ht="15.6">
      <c r="A14" s="1958"/>
      <c r="B14" s="2974"/>
      <c r="C14" s="1961" t="s">
        <v>1618</v>
      </c>
      <c r="D14" s="1040" t="str">
        <f ca="1">NUMBERSTRING(INT(D13*10000),2)&amp;"元整"</f>
        <v>捌仟贰佰捌拾捌万元整</v>
      </c>
      <c r="E14" s="1958"/>
    </row>
    <row r="15" spans="1:5" ht="15.6">
      <c r="A15" s="1958"/>
      <c r="B15" s="2979"/>
      <c r="C15" s="1962" t="s">
        <v>1628</v>
      </c>
      <c r="D15" s="1052">
        <f ca="1">结果表!H108</f>
        <v>5196</v>
      </c>
      <c r="E15" s="1958"/>
    </row>
    <row r="16" spans="1:5" ht="15.6">
      <c r="A16" s="1958"/>
      <c r="B16" s="2980" t="str">
        <f>结果表!E109</f>
        <v>——</v>
      </c>
      <c r="C16" s="1966" t="s">
        <v>1629</v>
      </c>
      <c r="D16" s="1967" t="str">
        <f>结果表!H109</f>
        <v>——</v>
      </c>
      <c r="E16" s="1958"/>
    </row>
    <row r="17" spans="1:5" ht="15.6">
      <c r="A17" s="1958"/>
      <c r="B17" s="2981"/>
      <c r="C17" s="1961" t="s">
        <v>1630</v>
      </c>
      <c r="D17" s="1040" t="e">
        <f>NUMBERSTRING(INT(D16*10000),2)&amp;"元整"</f>
        <v>#VALUE!</v>
      </c>
      <c r="E17" s="1958"/>
    </row>
    <row r="18" spans="1:5" ht="15.6">
      <c r="A18" s="1958"/>
      <c r="B18" s="2982"/>
      <c r="C18" s="1962" t="s">
        <v>1619</v>
      </c>
      <c r="D18" s="1052" t="str">
        <f>结果表!H110</f>
        <v>——</v>
      </c>
      <c r="E18" s="1958"/>
    </row>
    <row r="19" spans="1:5" ht="15.6">
      <c r="A19" s="1958"/>
      <c r="B19" s="2973" t="str">
        <f>结果表!E111</f>
        <v>——</v>
      </c>
      <c r="C19" s="1966" t="s">
        <v>1617</v>
      </c>
      <c r="D19" s="1041" t="str">
        <f>结果表!H111</f>
        <v>——</v>
      </c>
      <c r="E19" s="1958"/>
    </row>
    <row r="20" spans="1:5" ht="15.6">
      <c r="A20" s="1958"/>
      <c r="B20" s="2974"/>
      <c r="C20" s="1961" t="s">
        <v>1630</v>
      </c>
      <c r="D20" s="1040" t="e">
        <f>NUMBERSTRING(INT(D19*10000),2)&amp;"元整"</f>
        <v>#VALUE!</v>
      </c>
      <c r="E20" s="1958"/>
    </row>
    <row r="21" spans="1:5" ht="16.2" thickBot="1">
      <c r="A21" s="1958"/>
      <c r="B21" s="2975"/>
      <c r="C21" s="1968" t="s">
        <v>1628</v>
      </c>
      <c r="D21" s="1053" t="str">
        <f>结果表!H112</f>
        <v>——</v>
      </c>
      <c r="E21" s="1958"/>
    </row>
    <row r="22" spans="1:5" ht="14.4" thickTop="1">
      <c r="A22" s="1958"/>
      <c r="B22" s="1969" t="s">
        <v>1631</v>
      </c>
      <c r="C22" s="1958"/>
      <c r="D22" s="1958"/>
      <c r="E22" s="1958"/>
    </row>
    <row r="23" spans="1:5">
      <c r="A23" s="1958"/>
      <c r="B23" s="1958"/>
      <c r="C23" s="1958"/>
      <c r="D23" s="1958"/>
      <c r="E23" s="1958"/>
    </row>
    <row r="24" spans="1:5" ht="17.399999999999999">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94" t="s">
        <v>2997</v>
      </c>
      <c r="D1" s="3295"/>
      <c r="E1" s="3295"/>
      <c r="F1" s="3295"/>
      <c r="G1" s="3295"/>
      <c r="H1" s="3295"/>
      <c r="I1" s="3295"/>
      <c r="J1" s="3295"/>
      <c r="K1" s="3295"/>
      <c r="L1" s="3295"/>
      <c r="M1" s="3295"/>
      <c r="N1" s="3295"/>
      <c r="O1" s="3295"/>
      <c r="P1" s="3295"/>
      <c r="Q1" s="3295"/>
      <c r="R1" s="3295"/>
      <c r="S1" s="3296"/>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3006</v>
      </c>
      <c r="B17" s="2905"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3008</v>
      </c>
      <c r="E19" s="1792"/>
      <c r="F19" s="1792"/>
      <c r="G19" s="1792"/>
      <c r="H19" s="1280"/>
      <c r="I19" s="168"/>
      <c r="J19" s="168"/>
      <c r="K19" s="168"/>
      <c r="L19" s="168"/>
      <c r="M19" s="168"/>
      <c r="N19" s="168"/>
      <c r="O19" s="168"/>
      <c r="P19" s="168"/>
      <c r="Q19" s="168"/>
      <c r="R19" s="788"/>
      <c r="S19" s="138"/>
    </row>
    <row r="20" spans="1:45" ht="16.2" thickBot="1">
      <c r="A20" s="715" t="s">
        <v>3009</v>
      </c>
      <c r="B20" s="338" t="e">
        <f ca="1">IF(D20="——",S22,S22-F20)</f>
        <v>#REF!</v>
      </c>
      <c r="C20" s="168"/>
      <c r="D20" s="2907" t="s">
        <v>3010</v>
      </c>
      <c r="E20" s="1793"/>
      <c r="F20" s="1204" t="e">
        <f ca="1">SUMIF(INDIRECT("'"&amp;H20&amp;"'"&amp;"!A:A"),"承租人权益价值",INDIRECT("'"&amp;H20&amp;"'"&amp;"!c:c"))</f>
        <v>#REF!</v>
      </c>
      <c r="G20" s="1204" t="s">
        <v>3011</v>
      </c>
      <c r="H20" s="2908"/>
      <c r="I20" s="168"/>
      <c r="J20" s="168"/>
      <c r="K20" s="168"/>
      <c r="L20" s="168"/>
      <c r="M20" s="168"/>
      <c r="N20" s="168"/>
      <c r="O20" s="168"/>
      <c r="P20" s="168"/>
      <c r="Q20" s="168"/>
      <c r="R20" s="788"/>
      <c r="S20" s="138"/>
    </row>
    <row r="21" spans="1:45" ht="15.6">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53" t="s">
        <v>33</v>
      </c>
      <c r="D22" s="3154"/>
      <c r="E22" s="3154"/>
      <c r="F22" s="3154"/>
      <c r="G22" s="3154"/>
      <c r="H22" s="3154"/>
      <c r="I22" s="3154"/>
      <c r="J22" s="3154"/>
      <c r="K22" s="3154"/>
      <c r="L22" s="3154"/>
      <c r="M22" s="3154"/>
      <c r="N22" s="3154"/>
      <c r="O22" s="3154"/>
      <c r="P22" s="3154"/>
      <c r="Q22" s="3293"/>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30451</v>
      </c>
      <c r="C2" s="2" t="s">
        <v>133</v>
      </c>
      <c r="D2" s="243"/>
      <c r="E2" s="243"/>
      <c r="F2" s="243"/>
      <c r="G2" s="243"/>
    </row>
    <row r="3" spans="1:7" s="244" customFormat="1" ht="18" customHeight="1" thickBot="1">
      <c r="A3" s="247" t="s">
        <v>85</v>
      </c>
      <c r="B3" s="248">
        <f ca="1">ROUND(B2*10000/'数据-汇总表'!E3,0)</f>
        <v>19091</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80</v>
      </c>
      <c r="F9" s="265"/>
      <c r="G9" s="270"/>
    </row>
    <row r="10" spans="1:7" s="258" customFormat="1" ht="13.5" customHeight="1">
      <c r="A10" s="950" t="s">
        <v>801</v>
      </c>
      <c r="B10" s="268" t="s">
        <v>94</v>
      </c>
      <c r="C10" s="269">
        <f>ROUND(D10*E10/10000,0)</f>
        <v>191</v>
      </c>
      <c r="D10" s="1032">
        <f>'数据-汇总表'!E6</f>
        <v>15950.36</v>
      </c>
      <c r="E10" s="269">
        <f>'数据-取费表'!B28</f>
        <v>120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319</v>
      </c>
      <c r="D19" s="1036">
        <f>'数据-汇总表'!E3</f>
        <v>15950.36</v>
      </c>
      <c r="E19" s="255">
        <f>'数据-取费表'!B31</f>
        <v>200</v>
      </c>
      <c r="F19" s="275"/>
      <c r="G19" s="1" t="s">
        <v>1070</v>
      </c>
    </row>
    <row r="20" spans="1:7" s="258" customFormat="1" ht="13.5" customHeight="1">
      <c r="A20" s="948" t="s">
        <v>1053</v>
      </c>
      <c r="B20" s="254" t="s">
        <v>104</v>
      </c>
      <c r="C20" s="276">
        <f>ROUND((C5+C19)*F20,0)</f>
        <v>419</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920</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14</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6.4">
      <c r="A27" s="948" t="s">
        <v>787</v>
      </c>
      <c r="B27" s="288" t="s">
        <v>112</v>
      </c>
      <c r="C27" s="289">
        <f>C28</f>
        <v>2135</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2135</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26375</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4210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3723</v>
      </c>
      <c r="D34" s="261"/>
      <c r="E34" s="264"/>
      <c r="F34" s="301">
        <f>IF('数据-取费表'!B24=0,1,'数据-取费表'!N16)</f>
        <v>1</v>
      </c>
      <c r="G34" s="263" t="s">
        <v>116</v>
      </c>
    </row>
    <row r="35" spans="1:7" ht="13.5" customHeight="1">
      <c r="A35" s="951" t="s">
        <v>796</v>
      </c>
      <c r="B35" s="259" t="s">
        <v>60</v>
      </c>
      <c r="C35" s="264">
        <f>ROUND(C34*F35,0)</f>
        <v>112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319</v>
      </c>
      <c r="D37" s="261">
        <f>'数据-汇总表'!E3</f>
        <v>15950.36</v>
      </c>
      <c r="E37" s="293">
        <f>'数据-取费表'!B35</f>
        <v>200</v>
      </c>
      <c r="F37" s="303"/>
      <c r="G37" s="305" t="s">
        <v>119</v>
      </c>
    </row>
    <row r="38" spans="1:7" ht="13.5" customHeight="1">
      <c r="A38" s="951" t="s">
        <v>799</v>
      </c>
      <c r="B38" s="259" t="s">
        <v>63</v>
      </c>
      <c r="C38" s="264">
        <f>ROUND(C34*F38,0)</f>
        <v>56</v>
      </c>
      <c r="D38" s="264"/>
      <c r="E38" s="264"/>
      <c r="F38" s="303">
        <f>'数据-取费表'!B36</f>
        <v>1.4999999999999999E-2</v>
      </c>
      <c r="G38" s="263" t="s">
        <v>117</v>
      </c>
    </row>
    <row r="39" spans="1:7" s="258" customFormat="1" ht="13.5" customHeight="1">
      <c r="A39" s="948" t="s">
        <v>783</v>
      </c>
      <c r="B39" s="254" t="s">
        <v>104</v>
      </c>
      <c r="C39" s="276">
        <f>ROUND(C33*F20,0)</f>
        <v>84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94</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92</v>
      </c>
      <c r="D42" s="282"/>
      <c r="E42" s="282"/>
      <c r="F42" s="283"/>
      <c r="G42" s="3158" t="s">
        <v>121</v>
      </c>
    </row>
    <row r="43" spans="1:7" ht="13.5" customHeight="1">
      <c r="A43" s="951" t="s">
        <v>792</v>
      </c>
      <c r="B43" s="259" t="s">
        <v>1060</v>
      </c>
      <c r="C43" s="282">
        <f ca="1">ROUND(IF('数据-取费表'!B22&lt;=1,C39*F22*'数据-取费表'!B21/2,C39*(POWER((1+F22),'数据-取费表'!B21/2)-1)),0)</f>
        <v>2</v>
      </c>
      <c r="D43" s="282"/>
      <c r="E43" s="282"/>
      <c r="F43" s="283"/>
      <c r="G43" s="3159"/>
    </row>
    <row r="44" spans="1:7" ht="13.5" customHeight="1">
      <c r="A44" s="951" t="s">
        <v>793</v>
      </c>
      <c r="B44" s="259" t="s">
        <v>1062</v>
      </c>
      <c r="C44" s="282">
        <f ca="1">ROUND(IF('数据-取费表'!B22&lt;=1,C40*F22*'数据-取费表'!B21/2,C40*(POWER((1+F22),'数据-取费表'!B21/2)-1)),4)</f>
        <v>4.0000000000000002E-4</v>
      </c>
      <c r="D44" s="282"/>
      <c r="E44" s="282"/>
      <c r="F44" s="283"/>
      <c r="G44" s="3160"/>
    </row>
    <row r="45" spans="1:7" s="258" customFormat="1" ht="13.5" customHeight="1">
      <c r="A45" s="948" t="s">
        <v>786</v>
      </c>
      <c r="B45" s="288" t="s">
        <v>112</v>
      </c>
      <c r="C45" s="289">
        <f>C46</f>
        <v>429</v>
      </c>
      <c r="D45" s="279">
        <f>C47</f>
        <v>2E-3</v>
      </c>
      <c r="E45" s="280" t="s">
        <v>129</v>
      </c>
      <c r="F45" s="290"/>
      <c r="G45" s="291" t="s">
        <v>1068</v>
      </c>
    </row>
    <row r="46" spans="1:7" s="258" customFormat="1" ht="13.5" customHeight="1">
      <c r="A46" s="951" t="s">
        <v>794</v>
      </c>
      <c r="B46" s="292" t="s">
        <v>1061</v>
      </c>
      <c r="C46" s="293">
        <f>ROUND((C33+C39)*F27,0)</f>
        <v>429</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5206</v>
      </c>
      <c r="D49" s="276"/>
      <c r="E49" s="276"/>
      <c r="F49" s="308"/>
      <c r="G49" s="278" t="s">
        <v>1069</v>
      </c>
    </row>
    <row r="50" spans="1:7" s="302" customFormat="1" ht="24">
      <c r="A50" s="948" t="s">
        <v>789</v>
      </c>
      <c r="B50" s="254" t="s">
        <v>124</v>
      </c>
      <c r="C50" s="276"/>
      <c r="D50" s="276"/>
      <c r="E50" s="276"/>
      <c r="F50" s="308">
        <f>IF('数据-取费表'!B24=0,'数据-取费表'!N16,1)</f>
        <v>0.78300000000000003</v>
      </c>
      <c r="G50" s="291" t="s">
        <v>125</v>
      </c>
    </row>
    <row r="51" spans="1:7" ht="16.5" customHeight="1">
      <c r="A51" s="948" t="s">
        <v>790</v>
      </c>
      <c r="B51" s="254" t="s">
        <v>132</v>
      </c>
      <c r="C51" s="276">
        <f ca="1">ROUND(C49*F50,0)</f>
        <v>4076</v>
      </c>
      <c r="D51" s="276"/>
      <c r="E51" s="276"/>
      <c r="F51" s="308"/>
      <c r="G51" s="278" t="s">
        <v>64</v>
      </c>
    </row>
    <row r="52" spans="1:7" s="252" customFormat="1" ht="16.8" thickBot="1">
      <c r="A52" s="309" t="s">
        <v>65</v>
      </c>
      <c r="B52" s="310"/>
      <c r="C52" s="311">
        <f ca="1">C31+C51</f>
        <v>30451</v>
      </c>
      <c r="D52" s="310"/>
      <c r="E52" s="310"/>
      <c r="F52" s="310"/>
      <c r="G52" s="312"/>
    </row>
    <row r="55" spans="1:7" ht="15">
      <c r="B55" s="314" t="s">
        <v>66</v>
      </c>
      <c r="C55" s="315"/>
    </row>
    <row r="56" spans="1:7">
      <c r="B56" s="317" t="s">
        <v>67</v>
      </c>
      <c r="C56" s="318">
        <f ca="1">ROUND(C51/C52,3)</f>
        <v>0.13400000000000001</v>
      </c>
    </row>
    <row r="57" spans="1:7">
      <c r="B57" s="317" t="s">
        <v>68</v>
      </c>
      <c r="C57" s="319">
        <f ca="1">1-C56</f>
        <v>0.86599999999999999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7" t="s">
        <v>867</v>
      </c>
      <c r="B1" s="3297"/>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43921</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782" t="s">
        <v>1367</v>
      </c>
      <c r="E1" s="1776" t="s">
        <v>1371</v>
      </c>
      <c r="F1" s="1777" t="s">
        <v>1375</v>
      </c>
    </row>
    <row r="2" spans="1:13" ht="19.8">
      <c r="A2" s="1783" t="s">
        <v>1368</v>
      </c>
    </row>
    <row r="3" spans="1:13" ht="15.6">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F59:K68"/>
  <sheetViews>
    <sheetView topLeftCell="A46" zoomScale="90" zoomScaleNormal="90" workbookViewId="0">
      <selection activeCell="K62" sqref="K62"/>
    </sheetView>
  </sheetViews>
  <sheetFormatPr defaultRowHeight="14.4"/>
  <cols>
    <col min="11" max="11" width="21.6640625" bestFit="1" customWidth="1"/>
  </cols>
  <sheetData>
    <row r="59" spans="6:11" ht="15" thickBot="1"/>
    <row r="60" spans="6:11" ht="22.8">
      <c r="F60" s="2967" t="s">
        <v>3114</v>
      </c>
      <c r="G60" s="3301" t="s">
        <v>3116</v>
      </c>
      <c r="H60" s="3301" t="s">
        <v>3117</v>
      </c>
      <c r="I60" s="3301" t="s">
        <v>3118</v>
      </c>
      <c r="J60" s="3301" t="s">
        <v>3119</v>
      </c>
    </row>
    <row r="61" spans="6:11" ht="15" thickBot="1">
      <c r="F61" s="2968" t="s">
        <v>3115</v>
      </c>
      <c r="G61" s="3302"/>
      <c r="H61" s="3302"/>
      <c r="I61" s="3302"/>
      <c r="J61" s="3302"/>
    </row>
    <row r="62" spans="6:11" ht="15" thickBot="1">
      <c r="F62" s="2969">
        <v>2014</v>
      </c>
      <c r="G62" s="2970">
        <v>1.3599999999999999E-2</v>
      </c>
      <c r="H62" s="2970">
        <v>1.52E-2</v>
      </c>
      <c r="I62" s="2970">
        <v>7.1999999999999998E-3</v>
      </c>
      <c r="J62" s="2970">
        <v>8.8999999999999999E-3</v>
      </c>
      <c r="K62" s="2971"/>
    </row>
    <row r="63" spans="6:11" ht="15" thickBot="1">
      <c r="F63" s="2969">
        <v>2015</v>
      </c>
      <c r="G63" s="2970">
        <v>9.2999999999999992E-3</v>
      </c>
      <c r="H63" s="2970">
        <v>8.8000000000000005E-3</v>
      </c>
      <c r="I63" s="2970">
        <v>1.26E-2</v>
      </c>
      <c r="J63" s="2970">
        <v>1.89E-2</v>
      </c>
      <c r="K63" s="2971"/>
    </row>
    <row r="64" spans="6:11" ht="15" thickBot="1">
      <c r="F64" s="2969">
        <v>2016</v>
      </c>
      <c r="G64" s="2970">
        <v>1.4800000000000001E-2</v>
      </c>
      <c r="H64" s="2970">
        <v>1.41E-2</v>
      </c>
      <c r="I64" s="2970">
        <v>1.9699999999999999E-2</v>
      </c>
      <c r="J64" s="2970">
        <v>1.5699999999999999E-2</v>
      </c>
      <c r="K64" s="2971"/>
    </row>
    <row r="65" spans="6:11" ht="15" thickBot="1">
      <c r="F65" s="2969">
        <v>2017</v>
      </c>
      <c r="G65" s="2970">
        <v>1.5800000000000002E-2</v>
      </c>
      <c r="H65" s="2970">
        <v>1.6799999999999999E-2</v>
      </c>
      <c r="I65" s="2970">
        <v>1.72E-2</v>
      </c>
      <c r="J65" s="2970">
        <v>1.43E-2</v>
      </c>
      <c r="K65" s="2971"/>
    </row>
    <row r="66" spans="6:11" ht="15" thickBot="1">
      <c r="F66" s="2969">
        <v>2018</v>
      </c>
      <c r="G66" s="2970">
        <v>2.01E-2</v>
      </c>
      <c r="H66" s="2970">
        <v>2.4400000000000002E-2</v>
      </c>
      <c r="I66" s="2970">
        <v>1.7399999999999999E-2</v>
      </c>
      <c r="J66" s="2970">
        <v>1.29E-2</v>
      </c>
      <c r="K66" s="2971"/>
    </row>
    <row r="67" spans="6:11" ht="15" thickBot="1">
      <c r="F67" s="2969">
        <v>2019</v>
      </c>
      <c r="G67" s="2970">
        <v>1.1299999999999999E-2</v>
      </c>
      <c r="H67" s="2970">
        <v>1.2500000000000001E-2</v>
      </c>
      <c r="I67" s="2970">
        <v>1.03E-2</v>
      </c>
      <c r="J67" s="2970">
        <v>4.7999999999999996E-3</v>
      </c>
      <c r="K67" s="2971"/>
    </row>
    <row r="68" spans="6:11">
      <c r="K68" s="2971"/>
    </row>
  </sheetData>
  <mergeCells count="4">
    <mergeCell ref="G60:G61"/>
    <mergeCell ref="H60:H61"/>
    <mergeCell ref="I60:I61"/>
    <mergeCell ref="J60:J61"/>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1635</v>
      </c>
      <c r="B2" s="2993" t="s">
        <v>1636</v>
      </c>
      <c r="C2" s="2993" t="s">
        <v>1637</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6">
      <c r="A3" s="2987"/>
      <c r="B3" s="2987"/>
      <c r="C3" s="2987"/>
      <c r="D3" s="1044" t="s">
        <v>1632</v>
      </c>
      <c r="E3" s="1044" t="s">
        <v>1638</v>
      </c>
      <c r="F3" s="1044" t="s">
        <v>1632</v>
      </c>
      <c r="G3" s="1044" t="s">
        <v>1633</v>
      </c>
      <c r="H3" s="1044" t="s">
        <v>1632</v>
      </c>
      <c r="I3" s="1044" t="s">
        <v>1633</v>
      </c>
    </row>
    <row r="4" spans="1:9" ht="45">
      <c r="A4" s="1972" t="str">
        <f>项目基本情况!S2</f>
        <v>北京市怀柔区雁栖经济开发区雁栖路2号1幢等3幢房地产</v>
      </c>
      <c r="B4" s="1044">
        <f>项目基本情况!C17</f>
        <v>15950.36</v>
      </c>
      <c r="C4" s="1044">
        <f>项目基本情况!C18</f>
        <v>24215.7</v>
      </c>
      <c r="D4" s="1044">
        <f ca="1">结果表!D118</f>
        <v>3929</v>
      </c>
      <c r="E4" s="1044">
        <f ca="1">结果表!E118</f>
        <v>2463</v>
      </c>
      <c r="F4" s="1044">
        <f ca="1">结果表!F118</f>
        <v>4359</v>
      </c>
      <c r="G4" s="1044">
        <f ca="1">结果表!G118</f>
        <v>2733</v>
      </c>
      <c r="H4" s="1044">
        <f ca="1">结果表!H118</f>
        <v>8288</v>
      </c>
      <c r="I4" s="1044">
        <f ca="1">结果表!I118</f>
        <v>5196</v>
      </c>
    </row>
    <row r="5" spans="1:9" ht="30" customHeight="1">
      <c r="A5" s="2987" t="s">
        <v>1634</v>
      </c>
      <c r="B5" s="2987"/>
      <c r="C5" s="2987"/>
      <c r="D5" s="2988" t="str">
        <f ca="1">结果表!D119</f>
        <v>叁仟玖佰贰拾玖万元整</v>
      </c>
      <c r="E5" s="2988"/>
      <c r="F5" s="2988" t="str">
        <f ca="1">结果表!F119</f>
        <v>肆仟叁佰伍拾玖万元整</v>
      </c>
      <c r="G5" s="2988"/>
      <c r="H5" s="2988" t="str">
        <f ca="1">结果表!H119</f>
        <v>捌仟贰佰捌拾捌万元整</v>
      </c>
      <c r="I5" s="2988"/>
    </row>
    <row r="6" spans="1:9" ht="15.6">
      <c r="A6" s="2986" t="str">
        <f>结果表!A120</f>
        <v>估价师知悉的法定优先受偿款</v>
      </c>
      <c r="B6" s="2986"/>
      <c r="C6" s="2986"/>
      <c r="D6" s="2986">
        <f>结果表!D120</f>
        <v>0</v>
      </c>
      <c r="E6" s="2986"/>
      <c r="F6" s="2986"/>
      <c r="G6" s="2986"/>
      <c r="H6" s="2986"/>
      <c r="I6" s="2986"/>
    </row>
    <row r="7" spans="1:9" ht="15">
      <c r="A7" s="2987" t="s">
        <v>1634</v>
      </c>
      <c r="B7" s="2987"/>
      <c r="C7" s="2987"/>
      <c r="D7" s="2989" t="str">
        <f>结果表!D121</f>
        <v>零元整</v>
      </c>
      <c r="E7" s="2990"/>
      <c r="F7" s="2990"/>
      <c r="G7" s="2990"/>
      <c r="H7" s="2990"/>
      <c r="I7" s="2991"/>
    </row>
    <row r="8" spans="1:9" ht="15.6">
      <c r="A8" s="2986" t="str">
        <f>结果表!A122</f>
        <v>房地产抵押价值</v>
      </c>
      <c r="B8" s="2986"/>
      <c r="C8" s="2986"/>
      <c r="D8" s="2986">
        <f ca="1">结果表!D122</f>
        <v>8288</v>
      </c>
      <c r="E8" s="2986"/>
      <c r="F8" s="2986"/>
      <c r="G8" s="2986"/>
      <c r="H8" s="2986"/>
      <c r="I8" s="2986"/>
    </row>
    <row r="9" spans="1:9" ht="15">
      <c r="A9" s="2987" t="s">
        <v>1634</v>
      </c>
      <c r="B9" s="2987"/>
      <c r="C9" s="2987"/>
      <c r="D9" s="2988" t="str">
        <f ca="1">结果表!D123</f>
        <v>捌仟贰佰捌拾捌万元整</v>
      </c>
      <c r="E9" s="2988"/>
      <c r="F9" s="2988"/>
      <c r="G9" s="2988"/>
      <c r="H9" s="2988"/>
      <c r="I9" s="2988"/>
    </row>
    <row r="10" spans="1:9" ht="15.6">
      <c r="A10" s="2986" t="str">
        <f>结果表!A124</f>
        <v/>
      </c>
      <c r="B10" s="2986"/>
      <c r="C10" s="2986"/>
      <c r="D10" s="2986" t="str">
        <f>结果表!D124</f>
        <v>——</v>
      </c>
      <c r="E10" s="2986"/>
      <c r="F10" s="2986"/>
      <c r="G10" s="2986"/>
      <c r="H10" s="2986"/>
      <c r="I10" s="2986"/>
    </row>
    <row r="11" spans="1:9" ht="15">
      <c r="A11" s="2987" t="s">
        <v>1634</v>
      </c>
      <c r="B11" s="2987"/>
      <c r="C11" s="2987"/>
      <c r="D11" s="2988" t="e">
        <f>结果表!D125</f>
        <v>#VALUE!</v>
      </c>
      <c r="E11" s="2988"/>
      <c r="F11" s="2988"/>
      <c r="G11" s="2988"/>
      <c r="H11" s="2988"/>
      <c r="I11" s="2988"/>
    </row>
    <row r="12" spans="1:9" ht="15.6">
      <c r="A12" s="2986" t="str">
        <f>结果表!A126</f>
        <v/>
      </c>
      <c r="B12" s="2986"/>
      <c r="C12" s="2986"/>
      <c r="D12" s="2986" t="str">
        <f>结果表!D126</f>
        <v>——</v>
      </c>
      <c r="E12" s="2986"/>
      <c r="F12" s="2986"/>
      <c r="G12" s="2986"/>
      <c r="H12" s="2986"/>
      <c r="I12" s="2986"/>
    </row>
    <row r="13" spans="1:9" ht="15.6" thickBot="1">
      <c r="A13" s="2983" t="s">
        <v>1634</v>
      </c>
      <c r="B13" s="2983"/>
      <c r="C13" s="2983"/>
      <c r="D13" s="2984" t="e">
        <f>结果表!D127</f>
        <v>#VALUE!</v>
      </c>
      <c r="E13" s="2984"/>
      <c r="F13" s="2984"/>
      <c r="G13" s="2984"/>
      <c r="H13" s="2984"/>
      <c r="I13" s="2984"/>
    </row>
    <row r="14" spans="1:9" ht="14.4" thickTop="1">
      <c r="A14" s="2985" t="s">
        <v>1639</v>
      </c>
      <c r="B14" s="2985"/>
      <c r="C14" s="2985"/>
      <c r="D14" s="2985"/>
      <c r="E14" s="2985"/>
      <c r="F14" s="2985"/>
      <c r="G14" s="2985"/>
      <c r="H14" s="2985"/>
      <c r="I14" s="2985"/>
    </row>
    <row r="16" spans="1:9" ht="17.399999999999999">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00" t="s">
        <v>1656</v>
      </c>
      <c r="B1" s="3000"/>
      <c r="C1" s="3000"/>
      <c r="D1" s="3000"/>
    </row>
    <row r="2" spans="1:4" ht="17.399999999999999">
      <c r="A2" s="3001" t="s">
        <v>1640</v>
      </c>
      <c r="B2" s="3001"/>
      <c r="C2" s="3001"/>
      <c r="D2" s="3001"/>
    </row>
    <row r="3" spans="1:4" ht="17.399999999999999">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吴薇</v>
      </c>
      <c r="B5" s="1978">
        <f ca="1">项目基本情况!E4</f>
        <v>1419970001</v>
      </c>
      <c r="C5" s="1981"/>
      <c r="D5" s="1980" t="s">
        <v>1645</v>
      </c>
    </row>
    <row r="6" spans="1:4" ht="17.399999999999999">
      <c r="A6" s="3001" t="s">
        <v>1646</v>
      </c>
      <c r="B6" s="3001"/>
      <c r="C6" s="3001"/>
      <c r="D6" s="3001"/>
    </row>
    <row r="7" spans="1:4" ht="17.399999999999999">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7.399999999999999">
      <c r="A10" s="1983" t="s">
        <v>1648</v>
      </c>
      <c r="B10" s="728"/>
      <c r="C10" s="728"/>
      <c r="D10" s="728"/>
    </row>
    <row r="11" spans="1:4" ht="30" customHeight="1">
      <c r="A11" s="3002" t="s">
        <v>1649</v>
      </c>
      <c r="B11" s="2994"/>
      <c r="C11" s="2994"/>
      <c r="D11" s="2994"/>
    </row>
    <row r="12" spans="1:4" ht="15.6">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2994"/>
      <c r="C15" s="2994"/>
      <c r="D15" s="2994"/>
    </row>
    <row r="16" spans="1:4" ht="30" customHeight="1">
      <c r="A16" s="2996" t="s">
        <v>1650</v>
      </c>
      <c r="B16" s="2996"/>
      <c r="C16" s="2996"/>
      <c r="D16" s="2996"/>
    </row>
    <row r="17" spans="1:4" ht="144" customHeight="1">
      <c r="A17" s="2996" t="s">
        <v>1651</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1652</v>
      </c>
      <c r="B22" s="2998"/>
      <c r="C22" s="2998"/>
      <c r="D22" s="2998"/>
    </row>
    <row r="23" spans="1:4">
      <c r="A23" s="1984"/>
      <c r="B23" s="1956"/>
      <c r="C23" s="1956"/>
      <c r="D23" s="1956"/>
    </row>
    <row r="24" spans="1:4">
      <c r="A24" s="1984"/>
      <c r="B24" s="1956"/>
      <c r="C24" s="1956"/>
      <c r="D24" s="1956"/>
    </row>
    <row r="25" spans="1:4" ht="17.399999999999999">
      <c r="A25" s="1985" t="s">
        <v>1653</v>
      </c>
    </row>
    <row r="26" spans="1:4" ht="17.399999999999999">
      <c r="A26" s="1954"/>
    </row>
    <row r="27" spans="1:4" ht="17.399999999999999">
      <c r="A27" s="1954" t="s">
        <v>1654</v>
      </c>
    </row>
    <row r="30" spans="1:4" ht="17.399999999999999">
      <c r="D30" s="1985" t="s">
        <v>1655</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4">
      <c r="A15" s="3008" t="s">
        <v>1663</v>
      </c>
      <c r="B15" s="3003" t="s">
        <v>136</v>
      </c>
      <c r="C15" s="3004"/>
    </row>
    <row r="16" spans="1:7" ht="14.4">
      <c r="A16" s="3009"/>
      <c r="B16" s="3003" t="s">
        <v>69</v>
      </c>
      <c r="C16" s="3004"/>
    </row>
    <row r="17" spans="1:3" ht="14.4">
      <c r="A17" s="3009"/>
      <c r="B17" s="3006" t="s">
        <v>1664</v>
      </c>
      <c r="C17" s="1999" t="s">
        <v>1663</v>
      </c>
    </row>
    <row r="18" spans="1:3" ht="14.4">
      <c r="A18" s="3009"/>
      <c r="B18" s="3006"/>
      <c r="C18" s="1999" t="s">
        <v>1665</v>
      </c>
    </row>
    <row r="19" spans="1:3" ht="14.4">
      <c r="A19" s="3009"/>
      <c r="B19" s="3006"/>
      <c r="C19" s="1999" t="s">
        <v>1666</v>
      </c>
    </row>
    <row r="20" spans="1:3" ht="14.4">
      <c r="A20" s="3010"/>
      <c r="B20" s="3005" t="s">
        <v>1667</v>
      </c>
      <c r="C20" s="3004"/>
    </row>
    <row r="21" spans="1:3" ht="14.4">
      <c r="A21" s="2000" t="s">
        <v>1668</v>
      </c>
      <c r="B21" s="2001"/>
      <c r="C21" s="2002"/>
    </row>
    <row r="22" spans="1:3" ht="14.4">
      <c r="A22" s="3007" t="s">
        <v>1669</v>
      </c>
      <c r="B22" s="3005" t="s">
        <v>1670</v>
      </c>
      <c r="C22" s="3004"/>
    </row>
    <row r="23" spans="1:3" ht="14.4">
      <c r="A23" s="3007"/>
      <c r="B23" s="3005" t="s">
        <v>1671</v>
      </c>
      <c r="C23" s="3004"/>
    </row>
    <row r="24" spans="1:3" ht="14.4">
      <c r="A24" s="3007"/>
      <c r="B24" s="3005" t="s">
        <v>1672</v>
      </c>
      <c r="C24" s="3004"/>
    </row>
    <row r="25" spans="1:3" ht="14.4">
      <c r="A25" s="3007"/>
      <c r="B25" s="3006" t="s">
        <v>1673</v>
      </c>
      <c r="C25" s="1999" t="s">
        <v>1674</v>
      </c>
    </row>
    <row r="26" spans="1:3" ht="14.4">
      <c r="A26" s="3007"/>
      <c r="B26" s="3006"/>
      <c r="C26" s="1999" t="s">
        <v>1675</v>
      </c>
    </row>
    <row r="27" spans="1:3" ht="14.4">
      <c r="A27" s="3007"/>
      <c r="B27" s="3006"/>
      <c r="C27" s="1999" t="s">
        <v>1676</v>
      </c>
    </row>
    <row r="28" spans="1:3" ht="14.4">
      <c r="A28" s="3007"/>
      <c r="B28" s="3006"/>
      <c r="C28" s="1999" t="s">
        <v>1677</v>
      </c>
    </row>
    <row r="29" spans="1:3" ht="14.4">
      <c r="A29" s="3007"/>
      <c r="B29" s="3006"/>
      <c r="C29" s="1999" t="s">
        <v>1678</v>
      </c>
    </row>
    <row r="30" spans="1:3" ht="14.4">
      <c r="A30" s="3007"/>
      <c r="B30" s="3006"/>
      <c r="C30" s="1999" t="s">
        <v>1679</v>
      </c>
    </row>
    <row r="31" spans="1:3" ht="14.4">
      <c r="A31" s="3007"/>
      <c r="B31" s="3006"/>
      <c r="C31" s="1999" t="s">
        <v>1680</v>
      </c>
    </row>
    <row r="32" spans="1:3" ht="14.4">
      <c r="A32" s="3007"/>
      <c r="B32" s="3006"/>
      <c r="C32" s="1999" t="s">
        <v>1681</v>
      </c>
    </row>
    <row r="33" spans="1:3" ht="14.4">
      <c r="A33" s="3007"/>
      <c r="B33" s="3006"/>
      <c r="C33" s="1999" t="s">
        <v>1682</v>
      </c>
    </row>
    <row r="34" spans="1:3">
      <c r="A34" s="2003" t="s">
        <v>76</v>
      </c>
    </row>
    <row r="37" spans="1:3">
      <c r="A37" s="2003" t="s">
        <v>1683</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43923</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924">
        <v>44876</v>
      </c>
      <c r="D4" s="2347" t="s">
        <v>832</v>
      </c>
      <c r="E4" s="1022">
        <f ca="1">IF(F4&lt;B2,"已过期",96010014)</f>
        <v>96010014</v>
      </c>
      <c r="F4" s="1030">
        <v>47118</v>
      </c>
    </row>
    <row r="5" spans="1:6" ht="24" customHeight="1">
      <c r="A5" s="1702"/>
      <c r="B5" s="1022"/>
      <c r="C5" s="2344"/>
      <c r="D5" s="2347"/>
      <c r="E5" s="1022"/>
      <c r="F5" s="1030"/>
    </row>
    <row r="6" spans="1:6" ht="24" customHeight="1">
      <c r="A6" s="1702" t="s">
        <v>833</v>
      </c>
      <c r="B6" s="1022">
        <f ca="1">IF(C6&lt;B2,"已过期",1119970111)</f>
        <v>1119970111</v>
      </c>
      <c r="C6" s="2344">
        <v>44876</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924">
        <v>44876</v>
      </c>
      <c r="D8" s="2347" t="s">
        <v>835</v>
      </c>
      <c r="E8" s="1022">
        <f ca="1">IF(F8&lt;B2,"已过期",2000110082)</f>
        <v>2000110082</v>
      </c>
      <c r="F8" s="1030">
        <v>46387</v>
      </c>
    </row>
    <row r="9" spans="1:6" ht="24" customHeight="1">
      <c r="A9" s="1702" t="s">
        <v>836</v>
      </c>
      <c r="B9" s="1022">
        <f ca="1">IF(C9&lt;B2,"已过期",1419970001)</f>
        <v>1419970001</v>
      </c>
      <c r="C9" s="2924">
        <v>44899</v>
      </c>
      <c r="D9" s="2347" t="s">
        <v>836</v>
      </c>
      <c r="E9" s="1022">
        <f ca="1">IF(F9&lt;B2,"已过期",2002110125)</f>
        <v>2002110125</v>
      </c>
      <c r="F9" s="1030">
        <v>47118</v>
      </c>
    </row>
    <row r="10" spans="1:6" ht="24" customHeight="1">
      <c r="A10" s="1702" t="s">
        <v>837</v>
      </c>
      <c r="B10" s="1022">
        <f ca="1">IF(C10&lt;B2,"已过期",1120060040)</f>
        <v>1120060040</v>
      </c>
      <c r="C10" s="2344">
        <v>44554</v>
      </c>
      <c r="D10" s="2347" t="s">
        <v>837</v>
      </c>
      <c r="E10" s="1022">
        <f ca="1">IF(F10&lt;B2,"已过期",2004110096)</f>
        <v>2004110096</v>
      </c>
      <c r="F10" s="1030">
        <v>47118</v>
      </c>
    </row>
    <row r="11" spans="1:6" ht="24" customHeight="1">
      <c r="A11" s="1702" t="s">
        <v>838</v>
      </c>
      <c r="B11" s="1022">
        <f ca="1">IF(C11&lt;B2,"已过期",1120100036)</f>
        <v>1120100036</v>
      </c>
      <c r="C11" s="2344">
        <v>44675</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44849</v>
      </c>
      <c r="D13" s="2347" t="s">
        <v>839</v>
      </c>
      <c r="E13" s="1022">
        <f ca="1">IF(F13&lt;B2,"已过期",2014110011)</f>
        <v>2014110011</v>
      </c>
      <c r="F13" s="1030">
        <v>49302</v>
      </c>
    </row>
    <row r="14" spans="1:6" ht="24" customHeight="1">
      <c r="A14" s="1702" t="s">
        <v>3037</v>
      </c>
      <c r="B14" s="1022">
        <f ca="1">IF(C14&lt;B2,"已过期",1120040230)</f>
        <v>1120040230</v>
      </c>
      <c r="C14" s="2344">
        <v>44864</v>
      </c>
      <c r="D14" s="2347" t="s">
        <v>3037</v>
      </c>
      <c r="E14" s="1022">
        <f ca="1">IF(F14&lt;B2,"已过期",98030020)</f>
        <v>98030020</v>
      </c>
      <c r="F14" s="1030">
        <v>47118</v>
      </c>
    </row>
    <row r="15" spans="1:6" ht="24" customHeight="1">
      <c r="A15" s="1703"/>
      <c r="B15" s="1022"/>
      <c r="C15" s="2344"/>
      <c r="D15" s="2348"/>
      <c r="E15" s="1022"/>
      <c r="F15" s="1023"/>
    </row>
    <row r="16" spans="1:6" ht="24" customHeight="1">
      <c r="A16" s="1702"/>
      <c r="B16" s="1022"/>
      <c r="C16" s="2924"/>
      <c r="D16" s="2347"/>
      <c r="E16" s="1022"/>
      <c r="F16" s="1030"/>
    </row>
    <row r="17" spans="1:7" ht="24" customHeight="1">
      <c r="A17" s="1702"/>
      <c r="B17" s="1022"/>
      <c r="C17" s="2344"/>
      <c r="D17" s="2347"/>
      <c r="E17" s="1022"/>
      <c r="F17" s="1030"/>
    </row>
    <row r="18" spans="1:7" ht="24" customHeight="1">
      <c r="A18" s="1702" t="s">
        <v>3044</v>
      </c>
      <c r="B18" s="1022">
        <v>1120190079</v>
      </c>
      <c r="C18" s="2924">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t="s">
        <v>3046</v>
      </c>
      <c r="B23" s="1022">
        <v>1119980106</v>
      </c>
      <c r="C23" s="2344">
        <v>44969</v>
      </c>
      <c r="D23" s="2347"/>
      <c r="E23" s="1022"/>
      <c r="F23" s="1022"/>
    </row>
    <row r="24" spans="1:7" s="1024" customFormat="1" ht="24" customHeight="1">
      <c r="A24" s="1703" t="s">
        <v>1328</v>
      </c>
      <c r="B24" s="1703" t="s">
        <v>1328</v>
      </c>
      <c r="C24" s="2345" t="s">
        <v>1328</v>
      </c>
      <c r="D24" s="2348" t="s">
        <v>1328</v>
      </c>
      <c r="E24" s="1703" t="s">
        <v>1328</v>
      </c>
      <c r="F24" s="1703" t="s">
        <v>1328</v>
      </c>
    </row>
    <row r="25" spans="1:7" ht="24" customHeight="1">
      <c r="A25" s="3011" t="s">
        <v>842</v>
      </c>
      <c r="B25" s="3011"/>
      <c r="C25" s="3011"/>
      <c r="D25" s="3011"/>
      <c r="E25" s="3011"/>
      <c r="F25" s="3011"/>
      <c r="G25" s="3011"/>
    </row>
    <row r="26" spans="1:7" s="1025" customFormat="1" ht="24" customHeight="1">
      <c r="A26" s="3012" t="s">
        <v>843</v>
      </c>
      <c r="B26" s="3012"/>
      <c r="C26" s="3013"/>
      <c r="D26" s="3014" t="s">
        <v>844</v>
      </c>
      <c r="E26" s="3012"/>
      <c r="F26" s="3012"/>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3045</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(配套办公)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(配套办公)'!Print_Area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2017-03-01T09:15:43Z</cp:lastPrinted>
  <dcterms:created xsi:type="dcterms:W3CDTF">2015-07-13T07:17:23Z</dcterms:created>
  <dcterms:modified xsi:type="dcterms:W3CDTF">2020-04-02T03:32:42Z</dcterms:modified>
</cp:coreProperties>
</file>