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N6" i="1" l="1"/>
  <c r="O26" i="1"/>
  <c r="L6" i="1"/>
  <c r="O25" i="1"/>
  <c r="N24" i="1"/>
  <c r="O24" i="1" s="1"/>
  <c r="O23" i="1"/>
  <c r="M23" i="1"/>
  <c r="M26" i="1" s="1"/>
  <c r="K24" i="1"/>
  <c r="K23" i="1"/>
  <c r="K26" i="1" l="1"/>
  <c r="L26" i="1" s="1"/>
  <c r="M24" i="1"/>
  <c r="B21" i="1"/>
  <c r="A3" i="3"/>
  <c r="F19" i="6"/>
  <c r="I15" i="3"/>
  <c r="I14" i="3"/>
  <c r="I13" i="3"/>
  <c r="C15" i="3"/>
  <c r="C14" i="3"/>
  <c r="C13" i="3"/>
  <c r="J23" i="1" s="1"/>
  <c r="C36" i="77" l="1"/>
  <c r="C34" i="77"/>
  <c r="M12" i="77"/>
  <c r="P10" i="77"/>
  <c r="P11" i="77" s="1"/>
  <c r="P12" i="77" s="1"/>
  <c r="P13" i="77" s="1"/>
  <c r="O10" i="77"/>
  <c r="O11" i="77" s="1"/>
  <c r="N9" i="77"/>
  <c r="R9" i="77" s="1"/>
  <c r="R8" i="77"/>
  <c r="R7" i="77"/>
  <c r="D117" i="39"/>
  <c r="E117" i="39" s="1"/>
  <c r="F117" i="39" s="1"/>
  <c r="E70" i="39"/>
  <c r="F70" i="39" s="1"/>
  <c r="G70" i="39" s="1"/>
  <c r="H70" i="39" s="1"/>
  <c r="I70" i="39" s="1"/>
  <c r="J70" i="39" s="1"/>
  <c r="K70" i="39" s="1"/>
  <c r="L70" i="39" s="1"/>
  <c r="M70" i="39" s="1"/>
  <c r="N70" i="39" s="1"/>
  <c r="O70" i="39" s="1"/>
  <c r="D70" i="39"/>
  <c r="I7" i="39"/>
  <c r="G7" i="39"/>
  <c r="E7" i="39"/>
  <c r="I5" i="39"/>
  <c r="G5" i="39"/>
  <c r="E5" i="39"/>
  <c r="D41" i="81"/>
  <c r="C41" i="81"/>
  <c r="D6" i="81"/>
  <c r="C6" i="81"/>
  <c r="O12" i="77" l="1"/>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D6" i="77"/>
  <c r="V12" i="71"/>
  <c r="U12" i="71"/>
  <c r="T12" i="71"/>
  <c r="S12" i="71"/>
  <c r="D18" i="77" l="1"/>
  <c r="D17" i="77"/>
  <c r="D16" i="77"/>
  <c r="D10" i="77"/>
  <c r="C23" i="77"/>
  <c r="D15" i="77"/>
  <c r="D9"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F8" i="67"/>
  <c r="E13" i="76"/>
  <c r="F42" i="67"/>
  <c r="F6" i="67"/>
  <c r="B10" i="76"/>
  <c r="J15" i="15"/>
  <c r="F13" i="15"/>
  <c r="F9" i="15"/>
  <c r="M29" i="15"/>
  <c r="M26" i="15"/>
  <c r="B11" i="76"/>
  <c r="AO13" i="1"/>
  <c r="F7" i="73"/>
  <c r="D5" i="73"/>
  <c r="M22" i="67"/>
  <c r="F37" i="67"/>
  <c r="F16" i="15"/>
  <c r="F4" i="73"/>
  <c r="F26" i="15"/>
  <c r="C76" i="15"/>
  <c r="F36" i="15"/>
  <c r="F3" i="73"/>
  <c r="B9" i="76"/>
  <c r="M23" i="15"/>
  <c r="F6" i="73"/>
  <c r="F37" i="15"/>
  <c r="B8" i="76"/>
  <c r="E2" i="69"/>
  <c r="F38" i="15"/>
  <c r="F38" i="67"/>
  <c r="F9" i="67"/>
  <c r="F42" i="15"/>
  <c r="F20" i="31"/>
  <c r="D4" i="73"/>
  <c r="M24" i="15"/>
  <c r="D3" i="73"/>
  <c r="F43" i="15"/>
  <c r="M6" i="15"/>
  <c r="M8" i="67"/>
  <c r="E10" i="76"/>
  <c r="D6" i="73"/>
  <c r="E12" i="76"/>
  <c r="M22" i="15"/>
  <c r="M8" i="15"/>
  <c r="F8" i="15"/>
  <c r="B7" i="76"/>
  <c r="E9" i="76"/>
  <c r="F5" i="73"/>
  <c r="F7" i="15"/>
  <c r="M23" i="67"/>
  <c r="F7" i="67"/>
  <c r="B12" i="76"/>
  <c r="M9" i="67"/>
  <c r="L48" i="67"/>
  <c r="F43" i="67"/>
  <c r="F40" i="15"/>
  <c r="F36" i="67"/>
  <c r="F40" i="67"/>
  <c r="M24" i="67"/>
  <c r="B13" i="76"/>
  <c r="F26" i="67"/>
  <c r="L47" i="15"/>
  <c r="M6" i="67"/>
  <c r="E11" i="76"/>
  <c r="E8" i="76"/>
  <c r="M28" i="15"/>
  <c r="C76" i="67"/>
  <c r="F13" i="67"/>
  <c r="E7" i="76"/>
  <c r="M29" i="67"/>
  <c r="D7" i="73"/>
  <c r="M9" i="15"/>
  <c r="L48" i="15"/>
  <c r="M28" i="67"/>
  <c r="J15" i="67"/>
  <c r="L47" i="67"/>
  <c r="E2" i="68"/>
  <c r="F16" i="67"/>
  <c r="F6" i="15"/>
  <c r="F34" i="15" l="1"/>
  <c r="F62" i="15" s="1"/>
  <c r="F34" i="67"/>
  <c r="F62" i="67" s="1"/>
  <c r="BL5" i="3"/>
  <c r="AZ15" i="3"/>
  <c r="A4" i="52"/>
  <c r="B41" i="72" s="1"/>
  <c r="W27" i="39"/>
  <c r="F90" i="39"/>
  <c r="G90" i="39" s="1"/>
  <c r="F17" i="39"/>
  <c r="J17" i="39"/>
  <c r="H17" i="39"/>
  <c r="W40" i="39"/>
  <c r="U41" i="39"/>
  <c r="S11" i="39"/>
  <c r="B77" i="43"/>
  <c r="U40" i="39"/>
  <c r="W9" i="39"/>
  <c r="G28" i="6"/>
  <c r="E28" i="6" s="1"/>
  <c r="K14" i="1" s="1"/>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BF1" i="80"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G1" i="73"/>
  <c r="C36" i="68"/>
  <c r="C16" i="67"/>
  <c r="D9" i="68"/>
  <c r="BF12" i="80" l="1"/>
  <c r="G46" i="39" s="1"/>
  <c r="BF6" i="80"/>
  <c r="E46" i="39" s="1"/>
  <c r="BF13" i="80"/>
  <c r="I46" i="39" s="1"/>
  <c r="AB17" i="39"/>
  <c r="U17" i="39"/>
  <c r="AA17" i="39"/>
  <c r="S17" i="39"/>
  <c r="W17" i="39"/>
  <c r="AC17" i="39"/>
  <c r="K16" i="1"/>
  <c r="B29" i="1"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B4" i="77" s="1"/>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F27" i="68"/>
  <c r="AE6" i="1"/>
  <c r="E65" i="39" l="1"/>
  <c r="V46" i="39"/>
  <c r="I53" i="39"/>
  <c r="J53" i="39" s="1"/>
  <c r="R46" i="39"/>
  <c r="E53" i="39"/>
  <c r="F53" i="39" s="1"/>
  <c r="G53" i="39"/>
  <c r="H53" i="39" s="1"/>
  <c r="T46" i="39"/>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C14" i="67"/>
  <c r="D10" i="68"/>
  <c r="C17" i="67"/>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C5" i="69" s="1"/>
  <c r="D19" i="69"/>
  <c r="F50" i="69"/>
  <c r="F50" i="11"/>
  <c r="F50" i="68"/>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C41" i="11"/>
  <c r="C49" i="11" s="1"/>
  <c r="C51" i="11" s="1"/>
  <c r="C52" i="11" s="1"/>
  <c r="B2" i="11" s="1"/>
  <c r="B3" i="11" s="1"/>
  <c r="J22" i="15"/>
  <c r="C61" i="15"/>
  <c r="C64" i="15"/>
  <c r="C37" i="15"/>
  <c r="C56" i="15"/>
  <c r="C65" i="15" s="1"/>
  <c r="C75" i="15"/>
  <c r="C57" i="69"/>
  <c r="C56" i="69" s="1"/>
  <c r="M69" i="39"/>
  <c r="N67" i="39"/>
  <c r="R39" i="35"/>
  <c r="E38" i="35"/>
  <c r="M63" i="40"/>
  <c r="L65" i="40"/>
  <c r="D2" i="21"/>
  <c r="C56" i="11" l="1"/>
  <c r="C57" i="11" s="1"/>
  <c r="B2" i="21"/>
  <c r="B3" i="21" s="1"/>
  <c r="O67" i="39"/>
  <c r="O69" i="39" s="1"/>
  <c r="N69" i="39"/>
  <c r="F7" i="39"/>
  <c r="C39" i="35"/>
  <c r="C38" i="35"/>
  <c r="N63" i="40"/>
  <c r="M65" i="40"/>
  <c r="E43" i="35"/>
  <c r="F43" i="35" s="1"/>
  <c r="E42" i="35"/>
  <c r="F42" i="35" s="1"/>
  <c r="I43" i="35"/>
  <c r="J43" i="35" s="1"/>
  <c r="D2" i="33"/>
  <c r="B2" i="33" l="1"/>
  <c r="B3" i="33" s="1"/>
  <c r="H7" i="39"/>
  <c r="J7" i="39"/>
  <c r="S7" i="39"/>
  <c r="AA7" i="39"/>
  <c r="R47" i="39" s="1"/>
  <c r="O63" i="40"/>
  <c r="O65" i="40" s="1"/>
  <c r="N65" i="40"/>
  <c r="D2" i="34"/>
  <c r="D2" i="35"/>
  <c r="D2" i="37"/>
  <c r="D2" i="36"/>
  <c r="B2" i="36" l="1"/>
  <c r="B3" i="36" s="1"/>
  <c r="B2" i="35"/>
  <c r="B3" i="35" s="1"/>
  <c r="M3" i="35"/>
  <c r="B2" i="37"/>
  <c r="B3" i="37" s="1"/>
  <c r="B2" i="34"/>
  <c r="B3" i="34" s="1"/>
  <c r="W7" i="39"/>
  <c r="AC7" i="39"/>
  <c r="V47" i="39" s="1"/>
  <c r="I47" i="39" s="1"/>
  <c r="E47" i="39"/>
  <c r="U7" i="39"/>
  <c r="AB7" i="39"/>
  <c r="T47" i="39" s="1"/>
  <c r="G47" i="39" s="1"/>
  <c r="J7" i="40"/>
  <c r="F7" i="40"/>
  <c r="H7" i="40"/>
  <c r="AO10" i="1"/>
  <c r="AO11" i="1"/>
  <c r="AO9" i="1"/>
  <c r="AO7" i="1"/>
  <c r="AO8" i="1"/>
  <c r="AO12" i="1"/>
  <c r="R48" i="39" l="1"/>
  <c r="C47" i="39" s="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I46" i="40"/>
  <c r="J46" i="40" s="1"/>
  <c r="R43" i="40"/>
  <c r="E42" i="40"/>
  <c r="G47" i="40"/>
  <c r="H47" i="40" s="1"/>
  <c r="G46" i="40"/>
  <c r="H46" i="40" s="1"/>
  <c r="B56" i="39" l="1"/>
  <c r="F56" i="39" s="1"/>
  <c r="C6" i="68" s="1"/>
  <c r="C7" i="68" s="1"/>
  <c r="C5" i="68" s="1"/>
  <c r="B59" i="39"/>
  <c r="F59" i="39" s="1"/>
  <c r="B61" i="39"/>
  <c r="F61" i="39" s="1"/>
  <c r="B58" i="39"/>
  <c r="F58" i="39" s="1"/>
  <c r="B64" i="39"/>
  <c r="F64" i="39" s="1"/>
  <c r="B62" i="39"/>
  <c r="F62" i="39" s="1"/>
  <c r="B57" i="39"/>
  <c r="F57" i="39" s="1"/>
  <c r="B60" i="39"/>
  <c r="F60" i="39" s="1"/>
  <c r="C42" i="40"/>
  <c r="C43" i="40"/>
  <c r="E47" i="40"/>
  <c r="F47" i="40" s="1"/>
  <c r="E46" i="40"/>
  <c r="F46" i="40" s="1"/>
  <c r="I47" i="40"/>
  <c r="J47" i="40" s="1"/>
  <c r="C23" i="68" l="1"/>
  <c r="C20" i="68"/>
  <c r="F65" i="39"/>
  <c r="B2" i="39" s="1"/>
  <c r="B3" i="39" s="1"/>
  <c r="B58" i="40"/>
  <c r="F58" i="40" s="1"/>
  <c r="B54" i="40"/>
  <c r="F54" i="40" s="1"/>
  <c r="B53" i="40"/>
  <c r="F53" i="40" s="1"/>
  <c r="B59" i="40"/>
  <c r="F59" i="40" s="1"/>
  <c r="B52" i="40"/>
  <c r="F52" i="40" s="1"/>
  <c r="B56" i="40"/>
  <c r="F56" i="40" s="1"/>
  <c r="B60" i="40"/>
  <c r="F60" i="40" s="1"/>
  <c r="B57" i="40"/>
  <c r="F57" i="40" s="1"/>
  <c r="B51" i="40"/>
  <c r="F51" i="40" s="1"/>
  <c r="C28" i="68" l="1"/>
  <c r="C27" i="68" s="1"/>
  <c r="C25" i="68"/>
  <c r="C22" i="68" s="1"/>
  <c r="C31" i="68" l="1"/>
  <c r="C52" i="68" s="1"/>
  <c r="R7" i="1"/>
  <c r="R8" i="1"/>
  <c r="R9" i="1"/>
  <c r="R10" i="1"/>
  <c r="R11" i="1"/>
  <c r="R12" i="1"/>
  <c r="G3" i="43"/>
  <c r="E26" i="43" s="1"/>
  <c r="F35" i="67"/>
  <c r="M21" i="67"/>
  <c r="B2" i="68" l="1"/>
  <c r="C57" i="68"/>
  <c r="C56" i="68" s="1"/>
  <c r="F63" i="67"/>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L51" i="67"/>
  <c r="C19" i="9"/>
  <c r="B3" i="68"/>
  <c r="D35" i="9"/>
  <c r="D34" i="9"/>
  <c r="C102" i="9" l="1"/>
  <c r="Q67" i="67"/>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B2" i="74"/>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V13" i="3"/>
  <c r="C20" i="9"/>
  <c r="E6" i="76"/>
  <c r="D7" i="74" l="1"/>
  <c r="D8" i="74"/>
  <c r="C103" i="9"/>
  <c r="L46" i="67"/>
  <c r="D2" i="67" s="1"/>
  <c r="Q57" i="67"/>
  <c r="Q66" i="67"/>
  <c r="C45" i="67"/>
  <c r="C46" i="67" s="1"/>
  <c r="Q47" i="67"/>
  <c r="Q53" i="67" s="1"/>
  <c r="Q56" i="67"/>
  <c r="Q62" i="67" s="1"/>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V14" i="3"/>
  <c r="D3" i="6"/>
  <c r="B5" i="77" s="1"/>
  <c r="D14" i="77" s="1"/>
  <c r="D11" i="77" s="1"/>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B6" i="76"/>
  <c r="D7" i="77" l="1"/>
  <c r="C26" i="77" s="1"/>
  <c r="C32" i="77" s="1"/>
  <c r="C38" i="77" s="1"/>
  <c r="C39" i="77" s="1"/>
  <c r="C40" i="77" s="1"/>
  <c r="C41" i="77" s="1"/>
  <c r="E11" i="77"/>
  <c r="E7" i="77" s="1"/>
  <c r="C27" i="77" s="1"/>
  <c r="Q75" i="67"/>
  <c r="B2" i="67"/>
  <c r="B3" i="67"/>
  <c r="B2" i="76"/>
  <c r="B3" i="76" s="1"/>
  <c r="B3" i="43"/>
  <c r="D10" i="6"/>
  <c r="H24" i="6"/>
  <c r="H22" i="6"/>
  <c r="H23" i="6"/>
  <c r="D5" i="6"/>
  <c r="D14" i="6"/>
  <c r="H26" i="6"/>
  <c r="D29" i="6"/>
  <c r="D11" i="6"/>
  <c r="D9" i="6"/>
  <c r="H25" i="6"/>
  <c r="D12" i="6"/>
  <c r="D13" i="6"/>
  <c r="H20" i="6"/>
  <c r="D15" i="6"/>
  <c r="H21" i="6"/>
  <c r="D6" i="6"/>
  <c r="D21" i="6"/>
  <c r="R21" i="6" s="1"/>
  <c r="D24" i="6"/>
  <c r="D28" i="6"/>
  <c r="D26" i="6"/>
  <c r="D20" i="6"/>
  <c r="R20" i="6" s="1"/>
  <c r="H19" i="6"/>
  <c r="D23" i="6"/>
  <c r="D8" i="6"/>
  <c r="D22" i="6"/>
  <c r="D25" i="6"/>
  <c r="D19" i="6"/>
  <c r="M19" i="9" s="1"/>
  <c r="C118" i="9" s="1"/>
  <c r="C18" i="4"/>
  <c r="E61" i="40"/>
  <c r="F61" i="40" s="1"/>
  <c r="B2" i="40" s="1"/>
  <c r="B3" i="40" s="1"/>
  <c r="D16" i="6" l="1"/>
  <c r="R24" i="6"/>
  <c r="R23" i="6"/>
  <c r="L19" i="9"/>
  <c r="C21" i="9" s="1"/>
  <c r="H27" i="6"/>
  <c r="R25" i="6"/>
  <c r="D30" i="6"/>
  <c r="A7" i="51"/>
  <c r="B7" i="72" s="1"/>
  <c r="C4" i="52"/>
  <c r="B45" i="72" s="1"/>
  <c r="A10" i="51"/>
  <c r="B9" i="72" s="1"/>
  <c r="R19" i="6"/>
  <c r="D27" i="6"/>
  <c r="D31" i="6" s="1"/>
  <c r="R22" i="6"/>
  <c r="R26" i="6"/>
  <c r="R27" i="6" l="1"/>
  <c r="R6" i="1"/>
  <c r="I6" i="6"/>
  <c r="I5" i="6"/>
  <c r="M21" i="15"/>
  <c r="F35"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E2" i="77"/>
  <c r="B2" i="77" s="1"/>
  <c r="Q75" i="15"/>
  <c r="Q62" i="15"/>
  <c r="AO6" i="1"/>
  <c r="D19" i="9"/>
  <c r="B6" i="70" l="1"/>
  <c r="B2" i="70" s="1"/>
  <c r="B3" i="70" s="1"/>
  <c r="B3" i="15"/>
  <c r="D22" i="9"/>
  <c r="D102" i="9"/>
  <c r="G19" i="9"/>
  <c r="G21" i="9" s="1"/>
  <c r="D21" i="9"/>
  <c r="B3" i="77"/>
  <c r="D20" i="9"/>
  <c r="G20" i="9" l="1"/>
  <c r="C32" i="9" s="1"/>
  <c r="C35" i="9" s="1"/>
  <c r="C34" i="9" s="1"/>
  <c r="D103" i="9"/>
  <c r="F118" i="9" l="1"/>
  <c r="F119" i="9" s="1"/>
  <c r="F5" i="52" s="1"/>
  <c r="B53" i="72" s="1"/>
  <c r="D118" i="9"/>
  <c r="D119" i="9" s="1"/>
  <c r="D5" i="52" s="1"/>
  <c r="B49" i="72" s="1"/>
  <c r="H118" i="9"/>
  <c r="C104" i="9" l="1"/>
  <c r="D14" i="74"/>
  <c r="D4" i="52"/>
  <c r="B47" i="72" s="1"/>
  <c r="H101" i="9"/>
  <c r="M48" i="9" s="1"/>
  <c r="I118" i="9"/>
  <c r="C105" i="9" s="1"/>
  <c r="G118" i="9"/>
  <c r="G4" i="52" s="1"/>
  <c r="B52" i="72" s="1"/>
  <c r="F4" i="52"/>
  <c r="B51" i="72" s="1"/>
  <c r="H107" i="9"/>
  <c r="D5" i="53"/>
  <c r="H119" i="9"/>
  <c r="H5" i="52" s="1"/>
  <c r="I4" i="52"/>
  <c r="H4" i="52"/>
  <c r="H102" i="9"/>
  <c r="B6" i="74" l="1"/>
  <c r="D6" i="74" s="1"/>
  <c r="E14" i="74"/>
  <c r="B5" i="74"/>
  <c r="D5" i="74" s="1"/>
  <c r="F14" i="74"/>
  <c r="D45" i="9"/>
  <c r="D53" i="9" s="1"/>
  <c r="E118" i="9"/>
  <c r="E4" i="52" s="1"/>
  <c r="B48" i="72" s="1"/>
  <c r="C5" i="74"/>
  <c r="D7" i="53"/>
  <c r="B21" i="72" s="1"/>
  <c r="D52" i="9"/>
  <c r="C93" i="9"/>
  <c r="C86" i="9" s="1"/>
  <c r="C72" i="9"/>
  <c r="D55" i="9"/>
  <c r="M53" i="9" s="1"/>
  <c r="B20" i="72"/>
  <c r="D6" i="53"/>
  <c r="B22" i="72" s="1"/>
  <c r="D13" i="53"/>
  <c r="D122" i="9"/>
  <c r="H108" i="9"/>
  <c r="C64" i="9" l="1"/>
  <c r="C63" i="9" s="1"/>
  <c r="C67" i="9" s="1"/>
  <c r="D59" i="9" s="1"/>
  <c r="M55" i="9" s="1"/>
  <c r="C78" i="9"/>
  <c r="C73" i="9" s="1"/>
  <c r="C85" i="9"/>
  <c r="C95" i="9" s="1"/>
  <c r="C79" i="9"/>
  <c r="C68" i="9"/>
  <c r="D54" i="9" s="1"/>
  <c r="D8" i="52"/>
  <c r="D123" i="9"/>
  <c r="D9" i="52" s="1"/>
  <c r="C6" i="74"/>
  <c r="D15" i="53"/>
  <c r="B31" i="72" s="1"/>
  <c r="B30" i="72"/>
  <c r="D14" i="53"/>
  <c r="B32" i="72" s="1"/>
  <c r="C80" i="9"/>
  <c r="E80" i="9" s="1"/>
  <c r="E81" i="9" s="1"/>
  <c r="C81" i="9" l="1"/>
  <c r="C96" i="9"/>
  <c r="E96" i="9" s="1"/>
  <c r="E97" i="9" s="1"/>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<sst xmlns="http://schemas.openxmlformats.org/spreadsheetml/2006/main" count="8638" uniqueCount="3673">
  <si>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</si>
  <si>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</si>
  <si>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</si>
  <si>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</si>
  <si>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</si>
  <si>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</si>
  <si>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</si>
  <si>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</si>
  <si>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</si>
  <si>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</si>
  <si>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</si>
  <si>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</si>
  <si>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</si>
  <si>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</si>
  <si>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</si>
  <si>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</si>
  <si>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</si>
  <si>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</si>
  <si>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</si>
  <si>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</si>
  <si>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</si>
  <si>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</si>
  <si>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</si>
  <si>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</si>
  <si>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</si>
  <si>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</si>
  <si>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</si>
  <si>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</si>
  <si>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</si>
  <si>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</si>
  <si>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</si>
  <si>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</si>
  <si>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</si>
  <si>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</si>
  <si>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</si>
  <si>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</si>
  <si>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</si>
  <si>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</si>
  <si>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</si>
  <si>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</si>
  <si>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</si>
  <si>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</si>
  <si>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</si>
  <si>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</si>
  <si>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</si>
  <si>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</si>
  <si>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</si>
  <si>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</si>
  <si>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</si>
  <si>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</si>
  <si>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</si>
  <si>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</si>
  <si>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</si>
  <si>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</si>
  <si>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</si>
  <si>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</si>
  <si>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</si>
  <si>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</si>
  <si>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</si>
  <si>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</si>
  <si>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</si>
  <si>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</si>
  <si>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</si>
  <si>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</si>
  <si>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</si>
  <si>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</si>
  <si>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</si>
  <si>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</si>
  <si>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</si>
  <si>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</si>
  <si>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</si>
  <si>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</si>
  <si>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</si>
  <si>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</si>
  <si>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</si>
  <si>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</si>
  <si>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</si>
  <si>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</si>
  <si>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</si>
  <si>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</si>
  <si>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</si>
  <si>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</si>
  <si>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</si>
  <si>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</si>
  <si>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</si>
  <si>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</si>
  <si>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</si>
  <si>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</si>
  <si>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</si>
  <si>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</si>
  <si>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</si>
  <si>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</si>
  <si>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</si>
  <si>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</si>
  <si>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</si>
  <si>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</si>
  <si>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</si>
  <si>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</si>
  <si>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</si>
  <si>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</si>
  <si>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</si>
  <si>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</si>
  <si>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</si>
  <si>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</si>
  <si>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</si>
  <si>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</si>
  <si>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</si>
  <si>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</si>
  <si>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</si>
  <si>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</si>
  <si>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</si>
  <si>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</si>
  <si>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</si>
  <si>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</si>
  <si>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</si>
  <si>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</si>
  <si>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</si>
  <si>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</si>
  <si>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</si>
  <si>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</si>
  <si>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</si>
  <si>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</si>
  <si>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</si>
  <si>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</si>
  <si>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</si>
  <si>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</si>
  <si>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</si>
  <si>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</si>
  <si>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</si>
  <si>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</si>
  <si>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</si>
  <si>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</si>
  <si>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</si>
  <si>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</si>
  <si>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</si>
  <si>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</si>
  <si>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</si>
  <si>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</si>
  <si>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</si>
  <si>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</si>
  <si>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</si>
  <si>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</si>
  <si>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</si>
  <si>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</si>
  <si>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</si>
  <si>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</si>
  <si>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</si>
  <si>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</si>
  <si>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</si>
  <si>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</si>
  <si>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</si>
  <si>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</si>
  <si>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</si>
  <si>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</si>
  <si>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</si>
  <si>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</si>
  <si>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</si>
  <si>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</si>
  <si>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</si>
  <si>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</si>
  <si>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</si>
  <si>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</si>
  <si>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</si>
  <si>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</si>
  <si>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</si>
  <si>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</si>
  <si>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</si>
  <si>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</si>
  <si>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</si>
  <si>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</si>
  <si>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</si>
  <si>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</si>
  <si>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</si>
  <si>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</si>
  <si>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</si>
  <si>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</si>
  <si>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</si>
  <si>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</si>
  <si>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</si>
  <si>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</si>
  <si>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</si>
  <si>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</si>
  <si>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</si>
  <si>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</si>
  <si>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</si>
  <si>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</si>
  <si>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</si>
  <si>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</si>
  <si>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</si>
  <si>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</si>
  <si>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</si>
  <si>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</si>
  <si>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</si>
  <si>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</si>
  <si>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</si>
  <si>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</si>
  <si>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</si>
  <si>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</si>
  <si>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</si>
  <si>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</si>
  <si>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</si>
  <si>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</si>
  <si>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</si>
  <si>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</si>
  <si>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</si>
  <si>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</si>
  <si>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</si>
  <si>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</si>
  <si>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</si>
  <si>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</si>
  <si>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</si>
  <si>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</si>
  <si>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</si>
  <si>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</si>
  <si>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</si>
  <si>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</si>
  <si>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</si>
  <si>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</si>
  <si>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</si>
  <si>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</si>
  <si>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</si>
  <si>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</si>
  <si>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</si>
  <si>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</si>
  <si>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</si>
  <si>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</si>
  <si>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</si>
  <si>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</si>
  <si>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</si>
  <si>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</si>
  <si>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</si>
  <si>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</si>
  <si>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</si>
  <si>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</si>
  <si>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</si>
  <si>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</si>
  <si>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</si>
  <si>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</si>
  <si>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</si>
  <si>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</si>
  <si>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</si>
  <si>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</si>
  <si>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</si>
  <si>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</si>
  <si>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</si>
  <si>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</si>
  <si>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</si>
  <si>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</si>
  <si>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</si>
  <si>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</si>
  <si>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</si>
  <si>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</si>
  <si>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</si>
  <si>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</si>
  <si>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</si>
  <si>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</si>
  <si>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</si>
  <si>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</si>
  <si>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</si>
  <si>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</si>
  <si>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</si>
  <si>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</si>
  <si>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</si>
  <si>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</si>
  <si>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</si>
  <si>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</si>
  <si>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</si>
  <si>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</si>
  <si>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</si>
  <si>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</si>
  <si>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</si>
  <si>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</si>
  <si>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</si>
  <si>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</si>
  <si>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</si>
  <si>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</si>
  <si>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</si>
  <si>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</si>
  <si>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</si>
  <si>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</si>
  <si>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</si>
  <si>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</si>
  <si>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</si>
  <si>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</si>
  <si>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</si>
  <si>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</si>
  <si>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</si>
  <si>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</si>
  <si>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</si>
  <si>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</si>
  <si>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</si>
  <si>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</si>
  <si>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</si>
  <si>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</si>
  <si>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</si>
  <si>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</si>
  <si>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</si>
  <si>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</si>
  <si>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</si>
  <si>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</si>
  <si>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</si>
  <si>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</si>
  <si>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</si>
  <si>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</si>
  <si>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</si>
  <si>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</si>
  <si>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</si>
  <si>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</si>
  <si>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</si>
  <si>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</si>
  <si>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</si>
  <si>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</si>
  <si>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</si>
  <si>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</si>
  <si>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</si>
  <si>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</si>
  <si>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</si>
  <si>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</si>
  <si>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</si>
  <si>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</si>
  <si>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</si>
  <si>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</si>
  <si>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</si>
  <si>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</si>
  <si>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</si>
  <si>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</si>
  <si>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</si>
  <si>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</si>
  <si>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</si>
  <si>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</si>
  <si>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</si>
  <si>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</si>
  <si>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</si>
  <si>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</si>
  <si>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</si>
  <si>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</si>
  <si>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</si>
  <si>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</si>
  <si>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</si>
  <si>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</si>
  <si>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</si>
  <si>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</si>
  <si>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</si>
  <si>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</si>
  <si>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</si>
  <si>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</si>
  <si>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</si>
  <si>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</si>
  <si>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</si>
  <si>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</si>
  <si>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</si>
  <si>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</si>
  <si>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</si>
  <si>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</si>
  <si>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</si>
  <si>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</si>
  <si>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</si>
  <si>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</si>
  <si>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</si>
  <si>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</si>
  <si>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</si>
  <si>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</si>
  <si>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</si>
  <si>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</si>
  <si>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</si>
  <si>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</si>
  <si>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</si>
  <si>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</si>
  <si>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</si>
  <si>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</si>
  <si>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</si>
  <si>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</si>
  <si>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</si>
  <si>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</si>
  <si>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</si>
  <si>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</si>
  <si>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</si>
  <si>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</si>
  <si>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</si>
  <si>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</si>
  <si>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</si>
  <si>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</si>
  <si>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</si>
  <si>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</si>
  <si>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</si>
  <si>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</si>
  <si>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</si>
  <si>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</si>
  <si>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</si>
  <si>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</si>
  <si>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</si>
  <si>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</si>
  <si>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</si>
  <si>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</si>
  <si>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</si>
  <si>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</si>
  <si>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</si>
  <si>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</si>
  <si>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</si>
  <si>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</si>
  <si>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</si>
  <si>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</si>
  <si>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</si>
  <si>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</si>
  <si>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</si>
  <si>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</si>
  <si>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</si>
  <si>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</si>
  <si>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</si>
  <si>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</si>
  <si>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</si>
  <si>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</si>
  <si>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</si>
  <si>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</si>
  <si>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</si>
  <si>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</si>
  <si>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</si>
  <si>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</si>
  <si>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</si>
  <si>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</si>
  <si>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</si>
  <si>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</si>
  <si>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</si>
  <si>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</si>
  <si>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</si>
  <si>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</si>
  <si>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</si>
  <si>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</si>
  <si>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</si>
  <si>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</si>
  <si>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</si>
  <si>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</si>
  <si>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</si>
  <si>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</si>
  <si>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</si>
  <si>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</si>
  <si>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</si>
  <si>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</si>
  <si>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</si>
  <si>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</si>
  <si>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</si>
  <si>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</si>
  <si>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</si>
  <si>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</si>
  <si>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</si>
  <si>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</si>
  <si>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</si>
  <si>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</si>
  <si>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</si>
  <si>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</si>
  <si>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</si>
  <si>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</si>
  <si>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</si>
  <si>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</si>
  <si>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</si>
  <si>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</si>
  <si>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</si>
  <si>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</si>
  <si>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</si>
  <si>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</si>
  <si>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</si>
  <si>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</si>
  <si>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</si>
  <si>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</si>
  <si>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</si>
  <si>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</si>
  <si>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</si>
  <si>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</si>
  <si>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</si>
  <si>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</si>
  <si>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</si>
  <si>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</si>
  <si>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</si>
  <si>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</si>
  <si>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</si>
  <si>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</si>
  <si>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</si>
  <si>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</si>
  <si>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</si>
  <si>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</si>
  <si>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</si>
  <si>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</si>
  <si>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</si>
  <si>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</si>
  <si>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</si>
  <si>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</si>
  <si>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</si>
  <si>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</si>
  <si>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</si>
  <si>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</si>
  <si>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</si>
  <si>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</si>
  <si>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</si>
  <si>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</si>
  <si>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</si>
  <si>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</si>
  <si>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</si>
  <si>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</si>
  <si>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</si>
  <si>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</si>
  <si>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</si>
  <si>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</si>
  <si>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</si>
  <si>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</si>
  <si>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</si>
  <si>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</si>
  <si>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</si>
  <si>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</si>
  <si>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</si>
  <si>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</si>
  <si>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</si>
  <si>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</si>
  <si>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</si>
  <si>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</si>
  <si>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</si>
  <si>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</si>
  <si>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</si>
  <si>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</si>
  <si>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</si>
  <si>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</si>
  <si>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</si>
  <si>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</si>
  <si>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</si>
  <si>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</si>
  <si>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</si>
  <si>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</si>
  <si>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</si>
  <si>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</si>
  <si>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</si>
  <si>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</si>
  <si>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</si>
  <si>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</si>
  <si>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</si>
  <si>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</si>
  <si>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</si>
  <si>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</si>
  <si>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</si>
  <si>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</si>
  <si>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</si>
  <si>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</si>
  <si>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</si>
  <si>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</si>
  <si>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</si>
  <si>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</si>
  <si>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</si>
  <si>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</si>
  <si>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</si>
  <si>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</si>
  <si>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</si>
  <si>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</si>
  <si>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</si>
  <si>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</si>
  <si>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</si>
  <si>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</si>
  <si>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</si>
  <si>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</si>
  <si>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</si>
  <si>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</si>
  <si>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</si>
  <si>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</si>
  <si>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</si>
  <si>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</si>
  <si>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</si>
  <si>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</si>
  <si>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</si>
  <si>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</si>
  <si>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</si>
  <si>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</si>
  <si>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</si>
  <si>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</si>
  <si>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</si>
  <si>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</si>
  <si>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</si>
  <si>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</si>
  <si>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</si>
  <si>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</si>
  <si>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</si>
  <si>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</si>
  <si>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</si>
  <si>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</si>
  <si>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</si>
  <si>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</si>
  <si>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</si>
  <si>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</si>
  <si>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</si>
  <si>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</si>
  <si>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</si>
  <si>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</si>
  <si>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</si>
  <si>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</si>
  <si>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</si>
  <si>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</si>
  <si>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</si>
  <si>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</si>
  <si>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</si>
  <si>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</si>
  <si>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</si>
  <si>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</si>
  <si>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</si>
  <si>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</si>
  <si>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</si>
  <si>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</si>
  <si>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</si>
  <si>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</si>
  <si>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</si>
  <si>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</si>
  <si>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</si>
  <si>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</si>
  <si>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</si>
  <si>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</si>
  <si>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</si>
  <si>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</si>
  <si>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</si>
  <si>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</si>
  <si>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</si>
  <si>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</si>
  <si>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</si>
  <si>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</si>
  <si>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</si>
  <si>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</si>
  <si>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</si>
  <si>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</si>
  <si>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</si>
  <si>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</si>
  <si>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</si>
  <si>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</si>
  <si>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</si>
  <si>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</si>
  <si>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</si>
  <si>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</si>
  <si>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</si>
  <si>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</si>
  <si>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</si>
  <si>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</si>
  <si>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</si>
  <si>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</si>
  <si>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</si>
  <si>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</si>
  <si>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</si>
  <si>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</si>
  <si>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</si>
  <si>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</si>
  <si>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</si>
  <si>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</si>
  <si>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</si>
  <si>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</si>
  <si>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</si>
  <si>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</si>
  <si>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</si>
  <si>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</si>
  <si>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</si>
  <si>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</si>
  <si>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</si>
  <si>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</si>
  <si>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</si>
  <si>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</si>
  <si>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</si>
  <si>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</si>
  <si>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</si>
  <si>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</si>
  <si>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</si>
  <si>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</si>
  <si>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</si>
  <si>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</si>
  <si>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</si>
  <si>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</si>
  <si>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</si>
  <si>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</si>
  <si>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</si>
  <si>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</si>
  <si>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</si>
  <si>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</si>
  <si>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</si>
  <si>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</si>
  <si>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</si>
  <si>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</si>
  <si>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</si>
  <si>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</si>
  <si>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</si>
  <si>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</si>
  <si>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</si>
  <si>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</si>
  <si>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</si>
  <si>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</si>
  <si>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</si>
  <si>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</si>
  <si>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</si>
  <si>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</si>
  <si>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</si>
  <si>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</si>
  <si>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</si>
  <si>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</si>
  <si>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</si>
  <si>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</si>
  <si>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</si>
  <si>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</si>
  <si>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</si>
  <si>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</si>
  <si>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</si>
  <si>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</si>
  <si>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</si>
  <si>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</si>
  <si>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</si>
  <si>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</si>
  <si>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</si>
  <si>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</si>
  <si>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</si>
  <si>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</si>
  <si>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</si>
  <si>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</si>
  <si>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</si>
  <si>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</si>
  <si>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</si>
  <si>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</si>
  <si>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</si>
  <si>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</si>
  <si>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</si>
  <si>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</si>
  <si>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</si>
  <si>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</si>
  <si>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</si>
  <si>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</si>
  <si>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</si>
  <si>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</si>
  <si>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</si>
  <si>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</si>
  <si>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</si>
  <si>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</si>
  <si>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</si>
  <si>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</si>
  <si>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</si>
  <si>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</si>
  <si>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</si>
  <si>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</si>
  <si>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</si>
  <si>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</si>
  <si>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</si>
  <si>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</si>
  <si>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</si>
  <si>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</si>
  <si>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</si>
  <si>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</si>
  <si>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</si>
  <si>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</si>
  <si>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</si>
  <si>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</si>
  <si>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</si>
  <si>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</si>
  <si>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</si>
  <si>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</si>
  <si>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</si>
  <si>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</si>
  <si>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</si>
  <si>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</si>
  <si>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</si>
  <si>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</si>
  <si>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</si>
  <si>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</si>
  <si>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</si>
  <si>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</si>
  <si>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</si>
  <si>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</si>
  <si>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</si>
  <si>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</si>
  <si>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</si>
  <si>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</si>
  <si>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</si>
  <si>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</si>
  <si>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</si>
  <si>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</si>
  <si>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</si>
  <si>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</si>
  <si>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</si>
  <si>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</si>
  <si>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</si>
  <si>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</si>
  <si>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</si>
  <si>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</si>
  <si>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</si>
  <si>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</si>
  <si>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</si>
  <si>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</si>
  <si>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</si>
  <si>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</si>
  <si>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</si>
  <si>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</si>
  <si>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</si>
  <si>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</si>
  <si>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</si>
  <si>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</si>
  <si>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</si>
  <si>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</si>
  <si>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</si>
  <si>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</si>
  <si>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</si>
  <si>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</si>
  <si>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</si>
  <si>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</si>
  <si>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</si>
  <si>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</si>
  <si>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</si>
  <si>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</si>
  <si>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</si>
  <si>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</si>
  <si>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</si>
  <si>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</si>
  <si>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</si>
  <si>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</si>
  <si>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</si>
  <si>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</si>
  <si>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</si>
  <si>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</si>
  <si>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</si>
  <si>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</si>
  <si>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</si>
  <si>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</si>
  <si>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</si>
  <si>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</si>
  <si>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</si>
  <si>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</si>
  <si>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</si>
  <si>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</si>
  <si>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</si>
  <si>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</si>
  <si>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</si>
  <si>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</si>
  <si>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</si>
  <si>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</si>
  <si>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</si>
  <si>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</si>
  <si>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</si>
  <si>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</si>
  <si>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</si>
  <si>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</si>
  <si>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</si>
  <si>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</si>
  <si>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</si>
  <si>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</si>
  <si>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</si>
  <si>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</si>
  <si>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</si>
  <si>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</si>
  <si>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</si>
  <si>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</si>
  <si>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</si>
  <si>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</si>
  <si>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</si>
  <si>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</si>
  <si>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</si>
  <si>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</si>
  <si>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</si>
  <si>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</si>
  <si>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</si>
  <si>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</si>
  <si>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</si>
  <si>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</si>
  <si>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</si>
  <si>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</si>
  <si>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</si>
  <si>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</si>
  <si>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</si>
  <si>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</si>
  <si>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</si>
  <si>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</si>
  <si>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</si>
  <si>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</si>
  <si>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</si>
  <si>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</si>
  <si>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</si>
  <si>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</si>
  <si>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</si>
  <si>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</si>
  <si>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</si>
  <si>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</si>
  <si>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</si>
  <si>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</si>
  <si>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</si>
  <si>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</si>
  <si>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</si>
  <si>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</si>
  <si>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</si>
  <si>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</si>
  <si>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</si>
  <si>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</si>
  <si>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</si>
  <si>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</si>
  <si>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</si>
  <si>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</si>
  <si>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</si>
  <si>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</si>
  <si>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</si>
  <si>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</si>
  <si>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</si>
  <si>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</si>
  <si>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</si>
  <si>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</si>
  <si>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</si>
  <si>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</si>
  <si>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</si>
  <si>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</si>
  <si>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</si>
  <si>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</si>
  <si>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</si>
  <si>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</si>
  <si>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</si>
  <si>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</si>
  <si>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</si>
  <si>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</si>
  <si>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</si>
  <si>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</si>
  <si>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</si>
  <si>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</si>
  <si>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</si>
  <si>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</si>
  <si>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</si>
  <si>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</si>
  <si>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</si>
  <si>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</si>
  <si>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</si>
  <si>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</si>
  <si>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</si>
  <si>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</si>
  <si>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</si>
  <si>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</si>
  <si>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</si>
  <si>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</si>
  <si>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</si>
  <si>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</si>
  <si>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</si>
  <si>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</si>
  <si>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</si>
  <si>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</si>
  <si>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</si>
  <si>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</si>
  <si>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</si>
  <si>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</si>
  <si>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</si>
  <si>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</si>
  <si>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</si>
  <si>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</si>
  <si>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</si>
  <si>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</si>
  <si>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</si>
  <si>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</si>
  <si>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</si>
  <si>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</si>
  <si>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</si>
  <si>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</si>
  <si>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</si>
  <si>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</si>
  <si>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</si>
  <si>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</si>
  <si>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</si>
  <si>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</si>
  <si>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</si>
  <si>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</si>
  <si>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</si>
  <si>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</si>
  <si>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</si>
  <si>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</si>
  <si>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</si>
  <si>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</si>
  <si>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</si>
  <si>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</si>
  <si>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</si>
  <si>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</si>
  <si>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</si>
  <si>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</si>
  <si>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</si>
  <si>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</si>
  <si>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</si>
  <si>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</si>
  <si>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</si>
  <si>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</si>
  <si>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</si>
  <si>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</si>
  <si>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</si>
  <si>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</si>
  <si>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</si>
  <si>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</si>
  <si>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</si>
  <si>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</si>
  <si>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</si>
  <si>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</si>
  <si>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</si>
  <si>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</si>
  <si>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</si>
  <si>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</si>
  <si>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</si>
  <si>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</si>
  <si>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</si>
  <si>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</si>
  <si>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</si>
  <si>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</si>
  <si>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</si>
  <si>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</si>
  <si>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</si>
  <si>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</si>
  <si>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</si>
  <si>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</si>
  <si>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</si>
  <si>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</si>
  <si>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</si>
  <si>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</si>
  <si>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</si>
  <si>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</si>
  <si>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</si>
  <si>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</si>
  <si>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</si>
  <si>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</si>
  <si>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</si>
  <si>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</si>
  <si>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</si>
  <si>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</si>
  <si>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</si>
  <si>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</si>
  <si>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</si>
  <si>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</si>
  <si>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</si>
  <si>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</si>
  <si>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</si>
  <si>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</si>
  <si>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</si>
  <si>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</si>
  <si>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</si>
  <si>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</si>
  <si>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</si>
  <si>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</si>
  <si>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</si>
  <si>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</si>
  <si>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</si>
  <si>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</si>
  <si>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</si>
  <si>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</si>
  <si>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</si>
  <si>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</si>
  <si>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</si>
  <si>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</si>
  <si>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</si>
  <si>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</si>
  <si>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</si>
  <si>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</si>
  <si>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</si>
  <si>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</si>
  <si>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</si>
  <si>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</si>
  <si>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</si>
  <si>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</si>
  <si>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</si>
  <si>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</si>
  <si>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</si>
  <si>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</si>
  <si>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</si>
  <si>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</si>
  <si>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</si>
  <si>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</si>
  <si>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</si>
  <si>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</si>
  <si>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</si>
  <si>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</si>
  <si>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</si>
  <si>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</si>
  <si>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</si>
  <si>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</si>
  <si>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</si>
  <si>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</si>
  <si>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</si>
  <si>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</si>
  <si>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</si>
  <si>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</si>
  <si>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</si>
  <si>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</si>
  <si>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</si>
  <si>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</si>
  <si>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</si>
  <si>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</si>
  <si>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</si>
  <si>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</si>
  <si>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</si>
  <si>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</si>
  <si>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</si>
  <si>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</si>
  <si>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</si>
  <si>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</si>
  <si>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</si>
  <si>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</si>
  <si>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</si>
  <si>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</si>
  <si>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</si>
  <si>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</si>
  <si>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</si>
  <si>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</si>
  <si>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</si>
  <si>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</si>
  <si>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</si>
  <si>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</si>
  <si>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</si>
  <si>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</si>
  <si>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</si>
  <si>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</si>
  <si>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</si>
  <si>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</si>
  <si>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</si>
  <si>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</si>
  <si>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</si>
  <si>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</si>
  <si>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</si>
  <si>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</si>
  <si>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</si>
  <si>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</si>
  <si>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</si>
  <si>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</si>
  <si>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</si>
  <si>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</si>
  <si>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</si>
  <si>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</si>
  <si>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</si>
  <si>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</si>
  <si>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</si>
  <si>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</si>
  <si>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</si>
  <si>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</si>
  <si>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</si>
  <si>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</si>
  <si>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</si>
  <si>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</si>
  <si>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</si>
  <si>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</si>
  <si>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</si>
  <si>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</si>
  <si>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</si>
  <si>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</si>
  <si>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</si>
  <si>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</si>
  <si>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</si>
  <si>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</si>
  <si>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</si>
  <si>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</si>
  <si>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</si>
  <si>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</si>
  <si>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</si>
  <si>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</si>
  <si>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</si>
  <si>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</si>
  <si>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</si>
  <si>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</si>
  <si>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</si>
  <si>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</si>
  <si>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</si>
  <si>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</si>
  <si>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</si>
  <si>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</si>
  <si>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</si>
  <si>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</si>
  <si>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</si>
  <si>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</si>
  <si>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</si>
  <si>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</si>
  <si>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</si>
  <si>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</si>
  <si>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</si>
  <si>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</si>
  <si>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</si>
  <si>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</si>
  <si>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</si>
  <si>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</si>
  <si>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</si>
  <si>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</si>
  <si>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</si>
  <si>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</si>
  <si>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</si>
  <si>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</si>
  <si>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</si>
  <si>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</si>
  <si>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</si>
  <si>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</si>
  <si>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</si>
  <si>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</si>
  <si>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</si>
  <si>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</si>
  <si>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</si>
  <si>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</si>
  <si>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</si>
  <si>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</si>
  <si>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</si>
  <si>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</si>
  <si>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</si>
  <si>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</si>
  <si>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</si>
  <si>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</si>
  <si>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</si>
  <si>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</si>
  <si>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</si>
  <si>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</si>
  <si>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</si>
  <si>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</si>
  <si>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</si>
  <si>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</si>
  <si>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</si>
  <si>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</si>
  <si>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</si>
  <si>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</si>
  <si>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</si>
  <si>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</si>
  <si>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</si>
  <si>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</si>
  <si>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</si>
  <si>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</si>
  <si>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</si>
  <si>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</si>
  <si>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</si>
  <si>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</si>
  <si>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</si>
  <si>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</si>
  <si>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</si>
  <si>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</si>
  <si>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</si>
  <si>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</si>
  <si>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</si>
  <si>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</si>
  <si>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</si>
  <si>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</si>
  <si>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</si>
  <si>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</si>
  <si>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</si>
  <si>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</si>
  <si>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</si>
  <si>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</si>
  <si>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</si>
  <si>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</si>
  <si>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</si>
  <si>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</si>
  <si>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</si>
  <si>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</si>
  <si>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</si>
  <si>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</si>
  <si>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</si>
  <si>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</si>
  <si>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</si>
  <si>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</si>
  <si>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</si>
  <si>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</si>
  <si>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</si>
  <si>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</si>
  <si>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</si>
  <si>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</si>
  <si>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</si>
  <si>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</si>
  <si>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</si>
  <si>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</si>
  <si>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</si>
  <si>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</si>
  <si>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</si>
  <si>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</si>
  <si>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</si>
  <si>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</si>
  <si>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</si>
  <si>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</si>
  <si>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</si>
  <si>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</si>
  <si>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</si>
  <si>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</si>
  <si>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</si>
  <si>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</si>
  <si>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</si>
  <si>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</si>
  <si>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</si>
  <si>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</si>
  <si>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</si>
  <si>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</si>
  <si>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</si>
  <si>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</si>
  <si>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</si>
  <si>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</si>
  <si>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</si>
  <si>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</si>
  <si>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</si>
  <si>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</si>
  <si>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</si>
  <si>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</si>
  <si>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</si>
  <si>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</si>
  <si>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</si>
  <si>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</si>
  <si>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</si>
  <si>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</si>
  <si>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</si>
  <si>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</si>
  <si>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</si>
  <si>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</si>
  <si>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</si>
  <si>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</si>
  <si>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</si>
  <si>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</si>
  <si>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</si>
  <si>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</si>
  <si>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</si>
  <si>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</si>
  <si>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</si>
  <si>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</si>
  <si>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</si>
  <si>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</si>
  <si>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</si>
  <si>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</si>
  <si>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</si>
  <si>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</si>
  <si>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</si>
  <si>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</si>
  <si>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</si>
  <si>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</si>
  <si>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</si>
  <si>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</si>
  <si>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</si>
  <si>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</si>
  <si>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</si>
  <si>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</si>
  <si>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</si>
  <si>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</si>
  <si>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</si>
  <si>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</si>
  <si>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</si>
  <si>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</si>
  <si>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</si>
  <si>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</si>
  <si>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</si>
  <si>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</si>
  <si>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</si>
  <si>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</si>
  <si>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</si>
  <si>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</si>
  <si>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</si>
  <si>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</si>
  <si>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</si>
  <si>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</si>
  <si>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</si>
  <si>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</si>
  <si>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</si>
  <si>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</si>
  <si>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</si>
  <si>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</si>
  <si>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</si>
  <si>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</si>
  <si>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</si>
  <si>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</si>
  <si>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</si>
  <si>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</si>
  <si>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</si>
  <si>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</si>
  <si>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</si>
  <si>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</si>
  <si>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</si>
  <si>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</si>
  <si>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</si>
  <si>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</si>
  <si>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</si>
  <si>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</si>
  <si>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</si>
  <si>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</si>
  <si>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</si>
  <si>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</si>
  <si>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</si>
  <si>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</si>
  <si>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</si>
  <si>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</si>
  <si>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</si>
  <si>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</si>
  <si>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</si>
  <si>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</si>
  <si>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</si>
  <si>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</si>
  <si>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</si>
  <si>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</si>
  <si>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</si>
  <si>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</si>
  <si>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</si>
  <si>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</si>
  <si>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</si>
  <si>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</si>
  <si>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</si>
  <si>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</si>
  <si>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</si>
  <si>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</si>
  <si>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</si>
  <si>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</si>
  <si>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</si>
  <si>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</si>
  <si>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</si>
  <si>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</si>
  <si>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</si>
  <si>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</si>
  <si>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</si>
  <si>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</si>
  <si>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</si>
  <si>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</si>
  <si>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</si>
  <si>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</si>
  <si>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</si>
  <si>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</si>
  <si>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</si>
  <si>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</si>
  <si>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</si>
  <si>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</si>
  <si>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</si>
  <si>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</si>
  <si>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</si>
  <si>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</si>
  <si>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</si>
  <si>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</si>
  <si>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</si>
  <si>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</si>
  <si>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</si>
  <si>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</si>
  <si>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</si>
  <si>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</si>
  <si>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</si>
  <si>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</si>
  <si>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</si>
  <si>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</si>
  <si>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</si>
  <si>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</si>
  <si>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</si>
  <si>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</si>
  <si>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</si>
  <si>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</si>
  <si>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</si>
  <si>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</si>
  <si>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</si>
  <si>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</si>
  <si>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</si>
  <si>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</si>
  <si>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</si>
  <si>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</si>
  <si>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</si>
  <si>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</si>
  <si>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</si>
  <si>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</si>
  <si>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</si>
  <si>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</si>
  <si>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</si>
  <si>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</si>
  <si>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</si>
  <si>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</si>
  <si>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</si>
  <si>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</si>
  <si>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</si>
  <si>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</si>
  <si>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</si>
  <si>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</si>
  <si>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</si>
  <si>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</si>
  <si>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</si>
  <si>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</si>
  <si>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</si>
  <si>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</si>
  <si>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</si>
  <si>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</si>
  <si>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</si>
  <si>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</si>
  <si>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</si>
  <si>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</si>
  <si>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</si>
  <si>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</si>
  <si>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</si>
  <si>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</si>
  <si>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</si>
  <si>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</si>
  <si>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</si>
  <si>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</si>
  <si>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</si>
  <si>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</si>
  <si>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</si>
  <si>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</si>
  <si>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</si>
  <si>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</si>
  <si>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</si>
  <si>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</si>
  <si>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</si>
  <si>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</si>
  <si>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</si>
  <si>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</si>
  <si>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</si>
  <si>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</si>
  <si>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</si>
  <si>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</si>
  <si>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</si>
  <si>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</si>
  <si>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</si>
  <si>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</si>
  <si>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</si>
  <si>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</si>
  <si>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</si>
  <si>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</si>
  <si>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</si>
  <si>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</si>
  <si>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</si>
  <si>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</si>
  <si>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</si>
  <si>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</si>
  <si>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</si>
  <si>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</si>
  <si>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</si>
  <si>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</si>
  <si>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</si>
  <si>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</si>
  <si>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</si>
  <si>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</si>
  <si>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</si>
  <si>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</si>
  <si>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</si>
  <si>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</si>
  <si>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</si>
  <si>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</si>
  <si>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</si>
  <si>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</si>
  <si>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</si>
  <si>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</si>
  <si>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</si>
  <si>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</si>
  <si>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</si>
  <si>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</si>
  <si>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</si>
  <si>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</si>
  <si>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</si>
  <si>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</si>
  <si>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</si>
  <si>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</si>
  <si>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</si>
  <si>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</si>
  <si>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</si>
  <si>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</si>
  <si>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</si>
  <si>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</si>
  <si>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</si>
  <si>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</si>
  <si>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</si>
  <si>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</si>
  <si>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</si>
  <si>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</si>
  <si>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</si>
  <si>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</si>
  <si>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</si>
  <si>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</si>
  <si>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</si>
  <si>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</si>
  <si>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</si>
  <si>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</si>
  <si>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</si>
  <si>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</si>
  <si>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</si>
  <si>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</si>
  <si>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</si>
  <si>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</si>
  <si>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</si>
  <si>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</si>
  <si>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</si>
  <si>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</si>
  <si>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</si>
  <si>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</si>
  <si>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</si>
  <si>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</si>
  <si>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</si>
  <si>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</si>
  <si>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</si>
  <si>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</si>
  <si>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</si>
  <si>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</si>
  <si>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</si>
  <si>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</si>
  <si>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</si>
  <si>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</si>
  <si>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</si>
  <si>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</si>
  <si>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</si>
  <si>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</si>
  <si>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</si>
  <si>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</si>
  <si>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</si>
  <si>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</si>
  <si>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</si>
  <si>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</si>
  <si>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</si>
  <si>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</si>
  <si>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</si>
  <si>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</si>
  <si>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</si>
  <si>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</si>
  <si>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</si>
  <si>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</si>
  <si>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</si>
  <si>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</si>
  <si>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</si>
  <si>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</si>
  <si>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</si>
  <si>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</si>
  <si>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</si>
  <si>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</si>
  <si>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</si>
  <si>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</si>
  <si>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</si>
  <si>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</si>
  <si>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</si>
  <si>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</si>
  <si>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</si>
  <si>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</si>
  <si>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</si>
  <si>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</si>
  <si>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</si>
  <si>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</si>
  <si>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</si>
  <si>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</si>
  <si>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</si>
  <si>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</si>
  <si>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</si>
  <si>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</si>
  <si>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</si>
  <si>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</si>
  <si>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</si>
  <si>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</si>
  <si>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</si>
  <si>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</si>
  <si>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</si>
  <si>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</si>
  <si>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</si>
  <si>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</si>
  <si>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</si>
  <si>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</si>
  <si>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</si>
  <si>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</si>
  <si>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</si>
  <si>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</si>
  <si>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</si>
  <si>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</si>
  <si>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</si>
  <si>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</si>
  <si>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</si>
  <si>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</si>
  <si>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</si>
  <si>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</si>
  <si>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</si>
  <si>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</si>
  <si>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</si>
  <si>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</si>
  <si>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</si>
  <si>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</si>
  <si>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</si>
  <si>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</si>
  <si>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</si>
  <si>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</si>
  <si>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</si>
  <si>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</si>
  <si>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</si>
  <si>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</si>
  <si>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</si>
  <si>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</si>
  <si>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</si>
  <si>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</si>
  <si>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</si>
  <si>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</si>
  <si>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</si>
  <si>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</si>
  <si>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</si>
  <si>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</si>
  <si>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</si>
  <si>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</si>
  <si>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</si>
  <si>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</si>
  <si>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</si>
  <si>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</si>
  <si>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</si>
  <si>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</si>
  <si>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</si>
  <si>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</si>
  <si>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</si>
  <si>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</si>
  <si>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</si>
  <si>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</si>
  <si>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</si>
  <si>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</si>
  <si>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</si>
  <si>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</si>
  <si>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</si>
  <si>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</si>
  <si>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</si>
  <si>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</si>
  <si>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</si>
  <si>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</si>
  <si>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</si>
  <si>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</si>
  <si>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</si>
  <si>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</si>
  <si>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</si>
  <si>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</si>
  <si>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</si>
  <si>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</si>
  <si>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</si>
  <si>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</si>
  <si>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</si>
  <si>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</si>
  <si>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</si>
  <si>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</si>
  <si>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</si>
  <si>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</si>
  <si>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</si>
  <si>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</si>
  <si>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</si>
  <si>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</si>
  <si>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</si>
  <si>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</si>
  <si>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</si>
  <si>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</si>
  <si>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</si>
  <si>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</si>
  <si>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</si>
  <si>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</si>
  <si>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</si>
  <si>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</si>
  <si>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</si>
  <si>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</si>
  <si>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</si>
  <si>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</si>
  <si>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</si>
  <si>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</si>
  <si>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</si>
  <si>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</si>
  <si>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</si>
  <si>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</si>
  <si>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</si>
  <si>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</si>
  <si>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</si>
  <si>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</si>
  <si>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</si>
  <si>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</si>
  <si>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</si>
  <si>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</si>
  <si>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</si>
  <si>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</si>
  <si>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</si>
  <si>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</si>
  <si>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</si>
  <si>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</si>
  <si>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</si>
  <si>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</si>
  <si>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</si>
  <si>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</si>
  <si>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</si>
  <si>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</si>
  <si>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</si>
  <si>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</si>
  <si>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</si>
  <si>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</si>
  <si>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</si>
  <si>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</si>
  <si>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</si>
  <si>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</si>
  <si>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</si>
  <si>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</si>
  <si>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</si>
  <si>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</si>
  <si>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</si>
  <si>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</si>
  <si>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</si>
  <si>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</si>
  <si>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</si>
  <si>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</si>
  <si>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</si>
  <si>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</si>
  <si>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</si>
  <si>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</si>
  <si>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</si>
  <si>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</si>
  <si>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</si>
  <si>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</si>
  <si>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</si>
  <si>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</si>
  <si>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</si>
  <si>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</si>
  <si>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</si>
  <si>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</si>
  <si>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</si>
  <si>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</si>
  <si>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</si>
  <si>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</si>
  <si>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</si>
  <si>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</si>
  <si>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</si>
  <si>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</si>
  <si>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</si>
  <si>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</si>
  <si>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</si>
  <si>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</si>
  <si>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</si>
  <si>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</si>
  <si>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</si>
  <si>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</si>
  <si>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</si>
  <si>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</si>
  <si>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</si>
  <si>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</si>
  <si>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</si>
  <si>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</si>
  <si>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</si>
  <si>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</si>
  <si>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</si>
  <si>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</si>
  <si>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</si>
  <si>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</si>
  <si>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</si>
  <si>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</si>
  <si>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</si>
  <si>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</si>
  <si>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</si>
  <si>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</si>
  <si>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</si>
  <si>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</si>
  <si>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</si>
  <si>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</si>
  <si>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</si>
  <si>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</si>
  <si>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</si>
  <si>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</si>
  <si>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</si>
  <si>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</si>
  <si>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</si>
  <si>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</si>
  <si>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</si>
  <si>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</si>
  <si>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</si>
  <si>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</si>
  <si>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</si>
  <si>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</si>
  <si>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</si>
  <si>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</si>
  <si>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</si>
  <si>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</si>
  <si>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</si>
  <si>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</si>
  <si>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</si>
  <si>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</si>
  <si>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</si>
  <si>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</si>
  <si>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</si>
  <si>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</si>
  <si>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</si>
  <si>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</si>
  <si>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</si>
  <si>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</si>
  <si>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</si>
  <si>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</si>
  <si>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</si>
  <si>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</si>
  <si>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</si>
  <si>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</si>
  <si>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</si>
  <si>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</si>
  <si>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</si>
  <si>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</si>
  <si>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</si>
  <si>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</si>
  <si>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</si>
  <si>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</si>
  <si>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</si>
  <si>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</si>
  <si>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</si>
  <si>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</si>
  <si>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</si>
  <si>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</si>
  <si>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</si>
  <si>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</si>
  <si>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</si>
  <si>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</si>
  <si>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</si>
  <si>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</si>
  <si>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</si>
  <si>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</si>
  <si>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</si>
  <si>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</si>
  <si>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</si>
  <si>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</si>
  <si>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</si>
  <si>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</si>
  <si>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</si>
  <si>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</si>
  <si>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</si>
  <si>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</si>
  <si>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</si>
  <si>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</si>
  <si>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</si>
  <si>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</si>
  <si>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</si>
  <si>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</si>
  <si>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</si>
  <si>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</si>
  <si>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</si>
  <si>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</si>
  <si>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</si>
  <si>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</si>
  <si>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</si>
  <si>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</si>
  <si>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</si>
  <si>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</si>
  <si>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</si>
  <si>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</si>
  <si>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</si>
  <si>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</si>
  <si>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</si>
  <si>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</si>
  <si>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</si>
  <si>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</si>
  <si>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</si>
  <si>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</si>
  <si>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</si>
  <si>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</si>
  <si>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</si>
  <si>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</si>
  <si>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</si>
  <si>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</si>
  <si>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</si>
  <si>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</si>
  <si>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</si>
  <si>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</si>
  <si>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</si>
  <si>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</si>
  <si>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</si>
  <si>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</si>
  <si>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</si>
  <si>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</si>
  <si>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</si>
  <si>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</si>
  <si>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</si>
  <si>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</si>
  <si>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</si>
  <si>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</si>
  <si>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</si>
  <si>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</si>
  <si>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</si>
  <si>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</si>
  <si>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</si>
  <si>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</si>
  <si>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</si>
  <si>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</si>
  <si>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</si>
  <si>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</si>
  <si>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</si>
  <si>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</si>
  <si>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</si>
  <si>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</si>
  <si>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</si>
  <si>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</si>
  <si>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</si>
  <si>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</si>
  <si>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</si>
  <si>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</si>
  <si>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</si>
  <si>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</si>
  <si>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</si>
  <si>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</si>
  <si>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</si>
  <si>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</si>
  <si>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</si>
  <si>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</si>
  <si>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</si>
  <si>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</si>
  <si>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</si>
  <si>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</si>
  <si>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</si>
  <si>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</si>
  <si>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</si>
  <si>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</si>
  <si>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</si>
  <si>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</si>
  <si>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</si>
  <si>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</si>
  <si>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</si>
  <si>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</si>
  <si>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</si>
  <si>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</si>
  <si>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</si>
  <si>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</si>
  <si>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</si>
  <si>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</si>
  <si>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</si>
  <si>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</si>
  <si>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</si>
  <si>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</si>
  <si>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</si>
  <si>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</si>
  <si>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</si>
  <si>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</si>
  <si>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</si>
  <si>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</si>
  <si>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</si>
  <si>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</si>
  <si>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</si>
  <si>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</si>
  <si>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</si>
  <si>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</si>
  <si>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</si>
  <si>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</si>
  <si>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</si>
  <si>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</si>
  <si>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</si>
  <si>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</si>
  <si>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</si>
  <si>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</si>
  <si>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</si>
  <si>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</si>
  <si>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</si>
  <si>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</si>
  <si>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</si>
  <si>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</si>
  <si>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</si>
  <si>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</si>
  <si>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</si>
  <si>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</si>
  <si>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</si>
  <si>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</si>
  <si>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</si>
  <si>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</si>
  <si>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</si>
  <si>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</si>
  <si>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</si>
  <si>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</si>
  <si>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</si>
  <si>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</si>
  <si>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</si>
  <si>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</si>
  <si>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</si>
  <si>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</si>
  <si>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</si>
  <si>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</si>
  <si>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</si>
  <si>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</si>
  <si>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</si>
  <si>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</si>
  <si>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</si>
  <si>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</si>
  <si>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</si>
  <si>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</si>
  <si>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</si>
  <si>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</si>
  <si>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</si>
  <si>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</si>
  <si>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</si>
  <si>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</si>
  <si>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</si>
  <si>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</si>
  <si>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</si>
  <si>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</si>
  <si>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</si>
  <si>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</si>
  <si>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</si>
  <si>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</si>
  <si>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</si>
  <si>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</si>
  <si>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</si>
  <si>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</si>
  <si>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</si>
  <si>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</si>
  <si>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</si>
  <si>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</si>
  <si>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</si>
  <si>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</si>
  <si>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</si>
  <si>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</si>
  <si>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</si>
  <si>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</si>
  <si>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</si>
  <si>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</si>
  <si>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</si>
  <si>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</si>
  <si>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</si>
  <si>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</si>
  <si>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</si>
  <si>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</si>
  <si>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</si>
  <si>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</si>
  <si>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</si>
  <si>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</si>
  <si>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</si>
  <si>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</si>
  <si>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</si>
  <si>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</si>
  <si>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</si>
  <si>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</si>
  <si>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</si>
  <si>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</si>
  <si>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</si>
  <si>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</si>
  <si>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</si>
  <si>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</si>
  <si>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</si>
  <si>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</si>
  <si>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</si>
  <si>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</si>
  <si>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</si>
  <si>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</si>
  <si>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</si>
  <si>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</si>
  <si>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</si>
  <si>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</si>
  <si>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</si>
  <si>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</si>
  <si>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</si>
  <si>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</si>
  <si>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</si>
  <si>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</si>
  <si>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</si>
  <si>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</si>
  <si>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</si>
  <si>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</si>
  <si>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</si>
  <si>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</si>
  <si>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</si>
  <si>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</si>
  <si>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</si>
  <si>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</si>
  <si>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</si>
  <si>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</si>
  <si>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</si>
  <si>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</si>
  <si>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</si>
  <si>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</si>
  <si>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</si>
  <si>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</si>
  <si>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</si>
  <si>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</si>
  <si>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</si>
  <si>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</si>
  <si>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</si>
  <si>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</si>
  <si>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</si>
  <si>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</si>
  <si>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</si>
  <si>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</si>
  <si>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</si>
  <si>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</si>
  <si>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</si>
  <si>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</si>
  <si>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</si>
  <si>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</si>
  <si>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</si>
  <si>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</si>
  <si>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</si>
  <si>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</si>
  <si>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</si>
  <si>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</si>
  <si>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</si>
  <si>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</si>
  <si>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</si>
  <si>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</si>
  <si>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</si>
  <si>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</si>
  <si>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</si>
  <si>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</si>
  <si>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</si>
  <si>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</si>
  <si>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</si>
  <si>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</si>
  <si>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</si>
  <si>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</si>
  <si>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</si>
  <si>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</si>
  <si>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</si>
  <si>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</si>
  <si>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</si>
  <si>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</si>
  <si>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</si>
  <si>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</si>
  <si>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</si>
  <si>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</si>
  <si>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</si>
  <si>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</si>
  <si>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</si>
  <si>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</si>
  <si>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</si>
  <si>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</si>
  <si>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</si>
  <si>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</si>
  <si>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</si>
  <si>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</si>
  <si>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</si>
  <si>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</si>
  <si>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</si>
  <si>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</si>
  <si>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</si>
  <si>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</si>
  <si>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</si>
  <si>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</si>
  <si>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</si>
  <si>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</si>
  <si>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</si>
  <si>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</si>
  <si>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</si>
  <si>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</si>
  <si>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</si>
  <si>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</si>
  <si>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</si>
  <si>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</si>
  <si>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</si>
  <si>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</si>
  <si>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</si>
  <si>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</si>
  <si>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</si>
  <si>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</si>
  <si>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</si>
  <si>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</si>
  <si>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</si>
  <si>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</si>
  <si>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</si>
  <si>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</si>
  <si>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</si>
  <si>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</si>
  <si>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</si>
  <si>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</si>
  <si>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</si>
  <si>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</si>
  <si>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</si>
  <si>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</si>
  <si>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</si>
  <si>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</si>
  <si>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</si>
  <si>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</si>
  <si>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</si>
  <si>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</si>
  <si>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</si>
  <si>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</si>
  <si>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</si>
  <si>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</si>
  <si>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</si>
  <si>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</si>
  <si>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</si>
  <si>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</si>
  <si>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</si>
  <si>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</si>
  <si>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</si>
  <si>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</si>
  <si>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</si>
  <si>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</si>
  <si>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</si>
  <si>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</si>
  <si>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</si>
  <si>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</si>
  <si>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</si>
  <si>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</si>
  <si>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</si>
  <si>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</si>
  <si>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</si>
  <si>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</si>
  <si>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</si>
  <si>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</si>
  <si>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</si>
  <si>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</si>
  <si>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</si>
  <si>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</si>
  <si>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</si>
  <si>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</si>
  <si>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</si>
  <si>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</si>
  <si>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</si>
  <si>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</si>
  <si>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</si>
  <si>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</si>
  <si>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</si>
  <si>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</si>
  <si>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</si>
  <si>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</si>
  <si>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</si>
  <si>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</si>
  <si>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</si>
  <si>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</si>
  <si>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</si>
  <si>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</si>
  <si>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</si>
  <si>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</si>
  <si>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</si>
  <si>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</si>
  <si>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</si>
  <si>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</si>
  <si>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</si>
  <si>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</si>
  <si>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</si>
  <si>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</si>
  <si>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</si>
  <si>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</si>
  <si>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</si>
  <si>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</si>
  <si>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</si>
  <si>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</si>
  <si>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</si>
  <si>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</si>
  <si>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</si>
  <si>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</si>
  <si>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</si>
  <si>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</si>
  <si>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</si>
  <si>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</si>
  <si>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</si>
  <si>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</si>
  <si>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</si>
  <si>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</si>
  <si>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</si>
  <si>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</si>
  <si>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</si>
  <si>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</si>
  <si>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</si>
  <si>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</si>
  <si>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</si>
  <si>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</si>
  <si>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</si>
  <si>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</si>
  <si>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</si>
  <si>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</si>
  <si>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</si>
  <si>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</si>
  <si>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</si>
  <si>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</si>
  <si>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</si>
  <si>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</si>
  <si>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</si>
  <si>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</si>
  <si>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</si>
  <si>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</si>
  <si>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</si>
  <si>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</si>
  <si>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</si>
  <si>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</si>
  <si>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</si>
  <si>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</si>
  <si>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</si>
  <si>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</si>
  <si>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</si>
  <si>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</si>
  <si>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</si>
  <si>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</si>
  <si>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</si>
  <si>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</si>
  <si>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</si>
  <si>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</si>
  <si>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</si>
  <si>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</si>
  <si>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</si>
  <si>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</si>
  <si>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</si>
  <si>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</si>
  <si>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</si>
  <si>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</si>
  <si>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</si>
  <si>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</si>
  <si>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</si>
  <si>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</si>
  <si>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</si>
  <si>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</si>
  <si>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</si>
  <si>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</si>
  <si>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</si>
  <si>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</si>
  <si>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</si>
  <si>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</si>
  <si>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</si>
  <si>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</si>
  <si>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</si>
  <si>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</si>
  <si>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</si>
  <si>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</si>
  <si>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</si>
  <si>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</si>
  <si>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</si>
  <si>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</si>
  <si>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</si>
  <si>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</si>
  <si>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</si>
  <si>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</si>
  <si>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</si>
  <si>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</si>
  <si>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</si>
  <si>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</si>
  <si>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</si>
  <si>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</si>
  <si>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</si>
  <si>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</si>
  <si>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</si>
  <si>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</si>
  <si>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</si>
  <si>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</si>
  <si>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</si>
  <si>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</si>
  <si>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</si>
  <si>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</si>
  <si>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</si>
  <si>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</si>
  <si>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</si>
  <si>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</si>
  <si>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</si>
  <si>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</si>
  <si>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</si>
  <si>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</si>
  <si>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</si>
  <si>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</si>
  <si>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</si>
  <si>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</si>
  <si>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</si>
  <si>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</si>
  <si>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</si>
  <si>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</si>
  <si>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</si>
  <si>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</si>
  <si>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</si>
  <si>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</si>
  <si>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</si>
  <si>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</si>
  <si>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</si>
  <si>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</si>
  <si>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</si>
  <si>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</si>
  <si>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</si>
  <si>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</si>
  <si>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</si>
  <si>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</si>
  <si>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</si>
  <si>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</si>
  <si>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</si>
  <si>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</si>
  <si>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</si>
  <si>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</si>
  <si>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</si>
  <si>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</si>
  <si>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</si>
  <si>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</si>
  <si>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</si>
  <si>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</si>
  <si>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</si>
  <si>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</si>
  <si>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</si>
  <si>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</si>
  <si>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</si>
  <si>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</si>
  <si>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</si>
  <si>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</si>
  <si>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</si>
  <si>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</si>
  <si>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</si>
  <si>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</si>
  <si>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</si>
  <si>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</si>
  <si>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</si>
  <si>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</si>
  <si>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</si>
  <si>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</si>
  <si>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</si>
  <si>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</si>
  <si>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</si>
  <si>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</si>
  <si>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</si>
  <si>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</si>
  <si>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</si>
  <si>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</si>
  <si>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</si>
  <si>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</si>
  <si>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</si>
  <si>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</si>
  <si>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</si>
  <si>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</si>
  <si>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</si>
  <si>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</si>
  <si>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</si>
  <si>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</si>
  <si>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</si>
  <si>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</si>
  <si>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</si>
  <si>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</si>
  <si>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</si>
  <si>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</si>
  <si>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</si>
  <si>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</si>
  <si>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</si>
  <si>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</si>
  <si>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</si>
  <si>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</si>
  <si>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</si>
  <si>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</si>
  <si>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</si>
  <si>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</si>
  <si>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</si>
  <si>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</si>
  <si>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</si>
  <si>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</si>
  <si>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</si>
  <si>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</si>
  <si>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</si>
  <si>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</si>
  <si>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</si>
  <si>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</si>
  <si>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</si>
  <si>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</si>
  <si>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</si>
  <si>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</si>
  <si>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</si>
  <si>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</si>
  <si>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</si>
  <si>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</si>
  <si>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</si>
  <si>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</si>
  <si>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</si>
  <si>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</si>
  <si>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</si>
  <si>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</si>
  <si>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</si>
  <si>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</si>
  <si>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</si>
  <si>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</si>
  <si>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</si>
  <si>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</si>
  <si>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</si>
  <si>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</si>
  <si>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</si>
  <si>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</si>
  <si>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</si>
  <si>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</si>
  <si>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</si>
  <si>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</si>
  <si>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</si>
  <si>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</si>
  <si>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</si>
  <si>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</si>
  <si>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</si>
  <si>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</si>
  <si>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</si>
  <si>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</si>
  <si>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</si>
  <si>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</si>
  <si>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</si>
  <si>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</si>
  <si>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</si>
  <si>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</si>
  <si>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</si>
  <si>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</si>
  <si>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</si>
  <si>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</si>
  <si>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</si>
  <si>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</si>
  <si>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</si>
  <si>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</si>
  <si>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</si>
  <si>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</si>
  <si>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</si>
  <si>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</si>
  <si>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</si>
  <si>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</si>
  <si>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</si>
  <si>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</si>
  <si>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</si>
  <si>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</si>
  <si>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</si>
  <si>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</si>
  <si>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</si>
  <si>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</si>
  <si>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</si>
  <si>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</si>
  <si>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</si>
  <si>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</si>
  <si>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</si>
  <si>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</si>
  <si>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</si>
  <si>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</si>
  <si>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</si>
  <si>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</si>
  <si>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</si>
  <si>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</si>
  <si>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</si>
  <si>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</si>
  <si>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</si>
  <si>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</si>
  <si>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</si>
  <si>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</si>
  <si>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</si>
  <si>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</si>
  <si>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</si>
  <si>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</si>
  <si>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</si>
  <si>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</si>
  <si>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</si>
  <si>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</si>
  <si>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</si>
  <si>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</si>
  <si>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</si>
  <si>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</si>
  <si>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</si>
  <si>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</si>
  <si>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</si>
  <si>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</si>
  <si>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</si>
  <si>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</si>
  <si>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</si>
  <si>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</si>
  <si>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</si>
  <si>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</si>
  <si>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</si>
  <si>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</si>
  <si>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</si>
  <si>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</si>
  <si>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</si>
  <si>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</si>
  <si>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</si>
  <si>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</si>
  <si>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</si>
  <si>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</si>
  <si>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</si>
  <si>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</si>
  <si>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</si>
  <si>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</si>
  <si>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</si>
  <si>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</si>
  <si>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</si>
  <si>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</si>
  <si>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</si>
  <si>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</si>
  <si>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</si>
  <si>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</si>
  <si>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</si>
  <si>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</si>
  <si>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</si>
  <si>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</si>
  <si>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</si>
  <si>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</si>
  <si>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</si>
  <si>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</si>
  <si>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</si>
  <si>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</si>
  <si>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</si>
  <si>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</si>
  <si>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</si>
  <si>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</si>
  <si>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</si>
  <si>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</si>
  <si>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</si>
  <si>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</si>
  <si>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</si>
  <si>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</si>
  <si>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</si>
  <si>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</si>
  <si>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</si>
  <si>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</si>
  <si>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</si>
  <si>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</si>
  <si>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</si>
  <si>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</si>
  <si>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</si>
  <si>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</si>
  <si>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</si>
  <si>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</si>
  <si>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</si>
  <si>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</si>
  <si>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</si>
  <si>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</si>
  <si>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</si>
  <si>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</si>
  <si>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</si>
  <si>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</si>
  <si>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</si>
  <si>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</si>
  <si>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</si>
  <si>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</si>
  <si>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</si>
  <si>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</si>
  <si>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</si>
  <si>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</si>
  <si>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</si>
  <si>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</si>
  <si>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</si>
  <si>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</si>
  <si>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</si>
  <si>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</si>
  <si>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</si>
  <si>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</si>
  <si>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</si>
  <si>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</si>
  <si>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</si>
  <si>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</si>
  <si>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</si>
  <si>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</si>
  <si>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</si>
  <si>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</si>
  <si>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</si>
  <si>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</si>
  <si>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</si>
  <si>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</si>
  <si>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</si>
  <si>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</si>
  <si>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</si>
  <si>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</si>
  <si>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</si>
  <si>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</si>
  <si>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</si>
  <si>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</si>
  <si>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</si>
  <si>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</si>
  <si>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</si>
  <si>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</si>
  <si>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</si>
  <si>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</si>
  <si>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</si>
  <si>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</si>
  <si>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</si>
  <si>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</si>
  <si>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</si>
  <si>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</si>
  <si>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</si>
  <si>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</si>
  <si>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</si>
  <si>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</si>
  <si>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</si>
  <si>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</si>
  <si>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</si>
  <si>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</si>
  <si>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</si>
  <si>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</si>
  <si>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</si>
  <si>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</si>
  <si>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</si>
  <si>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</si>
  <si>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</si>
  <si>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</si>
  <si>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</si>
  <si>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</si>
  <si>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</si>
  <si>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</si>
  <si>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</si>
  <si>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</si>
  <si>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</si>
  <si>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</si>
  <si>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</si>
  <si>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</si>
  <si>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</si>
  <si>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</si>
  <si>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</si>
  <si>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</si>
  <si>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</si>
  <si>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</si>
  <si>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</si>
  <si>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</si>
  <si>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</si>
  <si>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</si>
  <si>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</si>
  <si>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</si>
  <si>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</si>
  <si>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</si>
  <si>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</si>
  <si>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</si>
  <si>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</si>
  <si>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</si>
  <si>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</si>
  <si>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</si>
  <si>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</si>
  <si>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</si>
  <si>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</si>
  <si>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</si>
  <si>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</si>
  <si>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</si>
  <si>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</si>
  <si>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</si>
  <si>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</si>
  <si>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</si>
  <si>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</si>
  <si>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</si>
  <si>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</si>
  <si>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</si>
  <si>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</si>
  <si>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</si>
  <si>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</si>
  <si>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</si>
  <si>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</si>
  <si>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</si>
  <si>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</si>
  <si>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</si>
  <si>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</si>
  <si>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</si>
  <si>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</si>
  <si>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</si>
  <si>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</si>
  <si>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</si>
  <si>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</si>
  <si>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</si>
  <si>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</si>
  <si>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</si>
  <si>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</si>
  <si>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</si>
  <si>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</si>
  <si>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</si>
  <si>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</si>
  <si>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</si>
  <si>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</si>
  <si>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</si>
  <si>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</si>
  <si>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</si>
  <si>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</si>
  <si>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</si>
  <si>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</si>
  <si>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</si>
  <si>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</si>
  <si>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</si>
  <si>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</si>
  <si>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</si>
  <si>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</si>
  <si>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</si>
  <si>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</si>
  <si>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</si>
  <si>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</si>
  <si>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</si>
  <si>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</si>
  <si>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</si>
  <si>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</si>
  <si>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</si>
  <si>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</si>
  <si>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</si>
  <si>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</si>
  <si>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</si>
  <si>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</si>
  <si>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</si>
  <si>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</si>
  <si>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</si>
  <si>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</si>
  <si>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</si>
  <si>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</si>
  <si>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</si>
  <si>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</si>
  <si>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</si>
  <si>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</si>
  <si>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</si>
  <si>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</si>
  <si>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</si>
  <si>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</si>
  <si>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</si>
  <si>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</si>
  <si>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</si>
  <si>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</si>
  <si>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</si>
  <si>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</si>
  <si>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</si>
  <si>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</si>
  <si>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</si>
  <si>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</si>
  <si>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</si>
  <si>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</si>
  <si>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</si>
  <si>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</si>
  <si>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</si>
  <si>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</si>
  <si>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</si>
  <si>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</si>
  <si>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</si>
  <si>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</si>
  <si>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</si>
  <si>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</si>
  <si>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</si>
  <si>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</si>
  <si>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</si>
  <si>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</si>
  <si>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</si>
  <si>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</si>
  <si>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</si>
  <si>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</si>
  <si>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</si>
  <si>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</si>
  <si>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</si>
  <si>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</si>
  <si>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</si>
  <si>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</si>
  <si>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</si>
  <si>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</si>
  <si>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</si>
  <si>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</si>
  <si>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</si>
  <si>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</si>
  <si>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</si>
  <si>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</si>
  <si>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</si>
  <si>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</si>
  <si>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</si>
  <si>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</si>
  <si>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</si>
  <si>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</si>
  <si>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</si>
  <si>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</si>
  <si>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</si>
  <si>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</si>
  <si>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</si>
  <si>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</si>
  <si>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</si>
  <si>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</si>
  <si>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</si>
  <si>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</si>
  <si>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</si>
  <si>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</si>
  <si>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</si>
  <si>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</si>
  <si>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</si>
  <si>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</si>
  <si>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</si>
  <si>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</si>
  <si>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</si>
  <si>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</si>
  <si>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</si>
  <si>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</si>
  <si>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</si>
  <si>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</si>
  <si>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</si>
  <si>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</si>
  <si>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</si>
  <si>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</si>
  <si>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</si>
  <si>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</si>
  <si>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</si>
  <si>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</si>
  <si>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</si>
  <si>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</si>
  <si>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</si>
  <si>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</si>
  <si>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</si>
  <si>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</si>
  <si>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</si>
  <si>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</si>
  <si>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</si>
  <si>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</si>
  <si>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</si>
  <si>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</si>
  <si>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</si>
  <si>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</si>
  <si>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</si>
  <si>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</si>
  <si>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</si>
  <si>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</si>
  <si>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</si>
  <si>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</si>
  <si>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</si>
  <si>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</si>
  <si>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</si>
  <si>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</si>
  <si>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</si>
  <si>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</si>
  <si>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</si>
  <si>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</si>
  <si>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</si>
  <si>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</si>
  <si>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</si>
  <si>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</si>
  <si>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</si>
  <si>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</si>
  <si>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</si>
  <si>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</si>
  <si>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</si>
  <si>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</si>
  <si>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</si>
  <si>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</si>
  <si>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</si>
  <si>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</si>
  <si>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</si>
  <si>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</si>
  <si>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</si>
  <si>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</si>
  <si>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</si>
  <si>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</si>
  <si>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</si>
  <si>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</si>
  <si>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</si>
  <si>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</si>
  <si>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</si>
  <si>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</si>
  <si>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</si>
  <si>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</si>
  <si>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</si>
  <si>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</si>
  <si>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</si>
  <si>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</si>
  <si>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</si>
  <si>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</si>
  <si>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</si>
  <si>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</si>
  <si>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</si>
  <si>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</si>
  <si>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</si>
  <si>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</si>
  <si>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</si>
  <si>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</si>
  <si>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</si>
  <si>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</si>
  <si>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</si>
  <si>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</si>
  <si>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</si>
  <si>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</si>
  <si>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</si>
  <si>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</si>
  <si>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</si>
  <si>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</si>
  <si>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</si>
  <si>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</si>
  <si>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</si>
  <si>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</si>
  <si>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</si>
  <si>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</si>
  <si>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</si>
  <si>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</si>
  <si>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</si>
  <si>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</si>
  <si>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</si>
  <si>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</si>
  <si>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</si>
  <si>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</si>
  <si>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</si>
  <si>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</si>
  <si>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</si>
  <si>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</si>
  <si>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</si>
  <si>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</si>
  <si>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</si>
  <si>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</si>
  <si>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</si>
  <si>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</si>
  <si>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</si>
  <si>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</si>
  <si>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</si>
  <si>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</si>
  <si>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</si>
  <si>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</si>
  <si>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</si>
  <si>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</si>
  <si>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</si>
  <si>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</si>
  <si>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</si>
  <si>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</si>
  <si>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</si>
  <si>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</si>
  <si>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</si>
  <si>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</si>
  <si>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</si>
  <si>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</si>
  <si>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</si>
  <si>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</si>
  <si>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</si>
  <si>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</si>
  <si>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</si>
  <si>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</si>
  <si>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</si>
  <si>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</si>
  <si>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</si>
  <si>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</si>
  <si>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</si>
  <si>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</si>
  <si>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</si>
  <si>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</si>
  <si>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</si>
  <si>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</si>
  <si>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</si>
  <si>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</si>
  <si>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</si>
  <si>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</si>
  <si>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</si>
  <si>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</si>
  <si>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</si>
  <si>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</si>
  <si>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</si>
  <si>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</si>
  <si>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</si>
  <si>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</si>
  <si>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</si>
  <si>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</si>
  <si>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</si>
  <si>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</si>
  <si>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</si>
  <si>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</si>
  <si>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</si>
  <si>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</si>
  <si>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</si>
  <si>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</si>
  <si>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</si>
  <si>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</si>
  <si>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</si>
  <si>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</si>
  <si>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</si>
  <si>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</si>
  <si>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</si>
  <si>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</si>
  <si>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</si>
  <si>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</si>
  <si>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</si>
  <si>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</si>
  <si>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</si>
  <si>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</si>
  <si>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</si>
  <si>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</si>
  <si>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</si>
  <si>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</si>
  <si>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</si>
  <si>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</si>
  <si>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</si>
  <si>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</si>
  <si>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</si>
  <si>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</si>
  <si>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</si>
  <si>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</si>
  <si>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</si>
  <si>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</si>
  <si>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</si>
  <si>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</si>
  <si>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</si>
  <si>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</si>
  <si>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</si>
  <si>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</si>
  <si>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</si>
  <si>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</si>
  <si>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</si>
  <si>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</si>
  <si>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</si>
  <si>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</si>
  <si>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</si>
  <si>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</si>
  <si>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</si>
  <si>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</si>
  <si>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</si>
  <si>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</si>
  <si>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</si>
  <si>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</si>
  <si>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</si>
  <si>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</si>
  <si>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</si>
  <si>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</si>
  <si>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</si>
  <si>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</si>
  <si>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</si>
  <si>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</si>
  <si>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</si>
  <si>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</si>
  <si>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</si>
  <si>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</si>
  <si>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</si>
  <si>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</si>
  <si>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</si>
  <si>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</si>
  <si>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</si>
  <si>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</si>
  <si>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</si>
  <si>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</si>
  <si>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</si>
  <si>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</si>
  <si>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</si>
  <si>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</si>
  <si>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</si>
  <si>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</si>
  <si>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</si>
  <si>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</si>
  <si>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</si>
  <si>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</si>
  <si>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</si>
  <si>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</si>
  <si>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</si>
  <si>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</si>
  <si>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</si>
  <si>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</si>
  <si>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</si>
  <si>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</si>
  <si>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</si>
  <si>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</si>
  <si>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</si>
  <si>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</si>
  <si>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</si>
  <si>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</si>
  <si>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</si>
  <si>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</si>
  <si>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</si>
  <si>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</si>
  <si>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</si>
  <si>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</si>
  <si>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</si>
  <si>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</si>
  <si>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</si>
  <si>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</si>
  <si>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</si>
  <si>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</si>
  <si>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</si>
  <si>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</si>
  <si>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</si>
  <si>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</si>
  <si>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</si>
  <si>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</si>
  <si>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</si>
  <si>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</si>
  <si>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</si>
  <si>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</si>
  <si>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</si>
  <si>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</si>
  <si>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</si>
  <si>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</si>
  <si>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</si>
  <si>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</si>
  <si>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</si>
  <si>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</si>
  <si>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</si>
  <si>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</si>
  <si>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</si>
  <si>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</si>
  <si>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</si>
  <si>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</si>
  <si>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</si>
  <si>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</si>
  <si>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</si>
  <si>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</si>
  <si>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</si>
  <si>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</si>
  <si>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</si>
  <si>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</si>
  <si>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</si>
  <si>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</si>
  <si>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</si>
  <si>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</si>
  <si>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</si>
  <si>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</si>
  <si>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</si>
  <si>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</si>
  <si>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</si>
  <si>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</si>
  <si>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</si>
  <si>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</si>
  <si>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</si>
  <si>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</si>
  <si>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</si>
  <si>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</si>
  <si>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</si>
  <si>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</si>
  <si>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</si>
  <si>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</si>
  <si>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</si>
  <si>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</si>
  <si>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</si>
  <si>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</si>
  <si>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</si>
  <si>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</si>
  <si>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</si>
  <si>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</si>
  <si>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</si>
  <si>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</si>
  <si>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</si>
  <si>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</si>
  <si>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</si>
  <si>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</si>
  <si>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</si>
  <si>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</si>
  <si>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</si>
  <si>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</si>
  <si>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</si>
  <si>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</si>
  <si>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</si>
  <si>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</si>
  <si>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</si>
  <si>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</si>
  <si>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</si>
  <si>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</si>
  <si>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</si>
  <si>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</si>
  <si>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</si>
  <si>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</si>
  <si>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</si>
  <si>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</si>
  <si>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</si>
  <si>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</si>
  <si>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</si>
  <si>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</si>
  <si>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</si>
  <si>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</si>
  <si>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</si>
  <si>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</si>
  <si>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</si>
  <si>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</si>
  <si>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</si>
  <si>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</si>
  <si>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</si>
  <si>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</si>
  <si>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</si>
  <si>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</si>
  <si>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</si>
  <si>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</si>
  <si>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</si>
  <si>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</si>
  <si>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</si>
  <si>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</si>
  <si>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</si>
  <si>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</si>
  <si>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</si>
  <si>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</si>
  <si>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</si>
  <si>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</si>
  <si>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</si>
  <si>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</si>
  <si>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</si>
  <si>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</si>
  <si>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</si>
  <si>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</si>
  <si>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</si>
  <si>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</si>
  <si>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</si>
  <si>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</si>
  <si>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</si>
  <si>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</si>
  <si>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</si>
  <si>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</si>
  <si>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</si>
  <si>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</si>
  <si>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</si>
  <si>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</si>
  <si>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</si>
  <si>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</si>
  <si>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</si>
  <si>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</si>
  <si>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</si>
  <si>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</si>
  <si>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</si>
  <si>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</si>
  <si>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</si>
  <si>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</si>
  <si>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</si>
  <si>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</si>
  <si>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</si>
  <si>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</si>
  <si>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</si>
  <si>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</si>
  <si>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</si>
  <si>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</si>
  <si>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</si>
  <si>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</si>
  <si>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</si>
  <si>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</si>
  <si>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</si>
  <si>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</si>
  <si>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</si>
  <si>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</si>
  <si>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</si>
  <si>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</si>
  <si>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</si>
  <si>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</si>
  <si>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</si>
  <si>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</si>
  <si>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</si>
  <si>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</si>
  <si>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</si>
  <si>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</si>
  <si>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</si>
  <si>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</si>
  <si>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</si>
  <si>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</si>
  <si>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</si>
  <si>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</si>
  <si>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</si>
  <si>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</si>
  <si>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</si>
  <si>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</si>
  <si>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</si>
  <si>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</si>
  <si>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</si>
  <si>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</si>
  <si>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</si>
  <si>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</si>
  <si>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</si>
  <si>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</si>
  <si>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</si>
  <si>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</si>
  <si>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</si>
  <si>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</si>
  <si>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</si>
  <si>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</si>
  <si>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</si>
  <si>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</si>
  <si>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</si>
  <si>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</si>
  <si>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</si>
  <si>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</si>
  <si>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</si>
  <si>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</si>
  <si>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</si>
  <si>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</si>
  <si>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</si>
  <si>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</si>
  <si>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</si>
  <si>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</si>
  <si>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</si>
  <si>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</si>
  <si>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</si>
  <si>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</si>
  <si>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</si>
  <si>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</si>
  <si>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</si>
  <si>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</si>
  <si>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</si>
  <si>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</si>
  <si>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</si>
  <si>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</si>
  <si>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</si>
  <si>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</si>
  <si>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</si>
  <si>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</si>
  <si>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</si>
  <si>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</si>
  <si>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</si>
  <si>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</si>
  <si>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</si>
  <si>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</si>
  <si>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</si>
  <si>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</si>
  <si>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</si>
  <si>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</si>
  <si>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</si>
  <si>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</si>
  <si>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</si>
  <si>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</si>
  <si>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</si>
  <si>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</si>
  <si>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</si>
  <si>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</si>
  <si>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</si>
  <si>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</si>
  <si>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</si>
  <si>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</si>
  <si>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</si>
  <si>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</si>
  <si>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</si>
  <si>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</si>
  <si>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</si>
  <si>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</si>
  <si>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</si>
  <si>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</si>
  <si>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</si>
  <si>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</si>
  <si>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</si>
  <si>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</si>
  <si>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</si>
  <si>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</si>
  <si>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</si>
  <si>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</si>
  <si>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</si>
  <si>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</si>
  <si>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</si>
  <si>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</si>
  <si>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</si>
  <si>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</si>
  <si>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</si>
  <si>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</si>
  <si>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</si>
  <si>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</si>
  <si>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</si>
  <si>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</si>
  <si>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</si>
  <si>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</si>
  <si>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</si>
  <si>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</si>
  <si>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</si>
  <si>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</si>
  <si>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</si>
  <si>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</si>
  <si>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</si>
  <si>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</si>
  <si>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</si>
  <si>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</si>
  <si>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</si>
  <si>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</si>
  <si>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</si>
  <si>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</si>
  <si>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</si>
  <si>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</si>
  <si>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</si>
  <si>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</si>
  <si>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</si>
  <si>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</si>
  <si>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</si>
  <si>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</si>
  <si>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</si>
  <si>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</si>
  <si>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</si>
  <si>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</si>
  <si>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</si>
  <si>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</si>
  <si>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</si>
  <si>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</si>
  <si>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</si>
  <si>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</si>
  <si>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</si>
  <si>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</si>
  <si>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</si>
  <si>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</si>
  <si>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</si>
  <si>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</si>
  <si>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</si>
  <si>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</si>
  <si>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</si>
  <si>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</si>
  <si>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</si>
  <si>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</si>
  <si>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</si>
  <si>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</si>
  <si>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</si>
  <si>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</si>
  <si>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</si>
  <si>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</si>
  <si>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</si>
  <si>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</si>
  <si>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</si>
  <si>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</si>
  <si>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</si>
  <si>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</si>
  <si>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</si>
  <si>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</si>
  <si>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</si>
  <si>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</si>
  <si>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</si>
  <si>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</si>
  <si>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</si>
  <si>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</si>
  <si>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</si>
  <si>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</si>
  <si>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</si>
  <si>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</si>
  <si>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</si>
  <si>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</si>
  <si>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</si>
  <si>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</si>
  <si>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</si>
  <si>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</si>
  <si>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</si>
  <si>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</si>
  <si>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</si>
  <si>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</si>
  <si>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</si>
  <si>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</si>
  <si>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</si>
  <si>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</si>
  <si>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</si>
  <si>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</si>
  <si>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</si>
  <si>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</si>
  <si>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</si>
  <si>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</si>
  <si>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</si>
  <si>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</si>
  <si>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</si>
  <si>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</si>
  <si>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</si>
  <si>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</si>
  <si>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</si>
  <si>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</si>
  <si>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</si>
  <si>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</si>
  <si>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</si>
  <si>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</si>
  <si>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</si>
  <si>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</si>
  <si>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</si>
  <si>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</si>
  <si>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</si>
  <si>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</si>
  <si>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</si>
  <si>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</si>
  <si>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</si>
  <si>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</si>
  <si>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</si>
  <si>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</si>
  <si>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</si>
  <si>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</si>
  <si>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</si>
  <si>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</si>
  <si>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</si>
  <si>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</si>
  <si>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</si>
  <si>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</si>
  <si>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</si>
  <si>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</si>
  <si>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</si>
  <si>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</si>
  <si>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</si>
  <si>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</si>
  <si>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</si>
  <si>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</si>
  <si>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</si>
  <si>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</si>
  <si>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</si>
  <si>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</si>
  <si>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</si>
  <si>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</si>
  <si>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</si>
  <si>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</si>
  <si>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</si>
  <si>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</si>
  <si>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</si>
  <si>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</si>
  <si>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</si>
  <si>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</si>
  <si>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</si>
  <si>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</si>
  <si>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</si>
  <si>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</si>
  <si>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</si>
  <si>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</si>
  <si>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</si>
  <si>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</si>
  <si>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</si>
  <si>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</si>
  <si>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</si>
  <si>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</si>
  <si>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</si>
  <si>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</si>
  <si>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</si>
  <si>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</si>
  <si>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</si>
  <si>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</si>
  <si>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</si>
  <si>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</si>
  <si>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</si>
  <si>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</si>
  <si>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</si>
  <si>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</si>
  <si>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</si>
  <si>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</si>
  <si>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</si>
  <si>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</si>
  <si>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</si>
  <si>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</si>
  <si>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</si>
  <si>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</si>
  <si>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</si>
  <si>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</si>
  <si>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</si>
  <si>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</si>
  <si>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</si>
  <si>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</si>
  <si>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</si>
  <si>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</si>
  <si>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</si>
  <si>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</si>
  <si>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</si>
  <si>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</si>
  <si>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</si>
  <si>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</si>
  <si>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</si>
  <si>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</si>
  <si>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</si>
  <si>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</si>
  <si>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</si>
  <si>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</si>
  <si>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</si>
  <si>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</si>
  <si>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</si>
  <si>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</si>
  <si>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</si>
  <si>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</si>
  <si>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</si>
  <si>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</si>
  <si>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</si>
  <si>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</si>
  <si>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</si>
  <si>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</si>
  <si>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</si>
  <si>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</si>
  <si>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</si>
  <si>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</si>
  <si>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</si>
  <si>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</si>
  <si>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钢混</t>
  </si>
  <si>
    <t>非生产用房</t>
  </si>
  <si>
    <t>否</t>
  </si>
  <si>
    <t>收益法</t>
  </si>
  <si>
    <t>德胜门高尔夫</t>
  </si>
  <si>
    <t>德胜门高尔夫</t>
    <phoneticPr fontId="3" type="noConversion"/>
  </si>
  <si>
    <t>押一</t>
  </si>
  <si>
    <t>直线</t>
    <phoneticPr fontId="3" type="noConversion"/>
  </si>
  <si>
    <t>观察</t>
    <phoneticPr fontId="3" type="noConversion"/>
  </si>
  <si>
    <t>高尔夫</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</si>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</sst>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181" fontId="44" fillId="0" borderId="1" xfId="0" applyNumberFormat="1" applyFont="1" applyBorder="1" applyProtection="1">
      <alignment vertical="center"/>
      <protection locked="0"/>
    </xf>
    <xf numFmtId="9" fontId="47" fillId="12" borderId="0" xfId="0" applyNumberFormat="1"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0" fontId="77" fillId="12" borderId="0" xfId="0" applyFont="1" applyFill="1" applyAlignment="1" applyProtection="1">
      <alignment vertical="center"/>
      <protection locked="0"/>
    </xf>
    <xf numFmtId="10" fontId="7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4" fontId="270" fillId="0" borderId="1" xfId="12" applyNumberFormat="1" applyFont="1" applyBorder="1" applyAlignment="1">
      <alignment horizontal="center" vertical="center" wrapText="1"/>
    </xf>
    <xf numFmtId="0" fontId="270" fillId="0" borderId="0" xfId="12" applyFont="1" applyAlignment="1">
      <alignment horizontal="left" wrapText="1"/>
    </xf>
    <xf numFmtId="0" fontId="270" fillId="0" borderId="13" xfId="12" applyFont="1" applyBorder="1" applyAlignment="1">
      <alignment horizontal="center" vertical="center" wrapText="1"/>
    </xf>
    <xf numFmtId="0" fontId="270" fillId="0" borderId="15" xfId="12" applyFont="1" applyBorder="1" applyAlignment="1">
      <alignment horizontal="center" vertical="center" wrapText="1"/>
    </xf>
    <xf numFmtId="0" fontId="270" fillId="0" borderId="2" xfId="12" applyFont="1" applyBorder="1" applyAlignment="1">
      <alignment horizontal="center" vertical="center" wrapText="1"/>
    </xf>
    <xf numFmtId="0" fontId="270" fillId="0" borderId="1" xfId="12" applyFont="1" applyBorder="1" applyAlignment="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 xfId="12" applyFont="1" applyBorder="1" applyAlignment="1">
      <alignment horizontal="center"/>
    </xf>
    <xf numFmtId="0" fontId="270" fillId="5" borderId="1" xfId="12" applyFont="1" applyFill="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24503;&#32988;&#38376;&#39640;&#23572;&#22827;-&#21608;&#24420;-&#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酒店及大水法</v>
          </cell>
        </row>
        <row r="20">
          <cell r="C20"/>
        </row>
        <row r="21">
          <cell r="C21"/>
        </row>
        <row r="22">
          <cell r="C22"/>
        </row>
        <row r="23">
          <cell r="C23"/>
        </row>
        <row r="24">
          <cell r="C24"/>
        </row>
        <row r="25">
          <cell r="C25"/>
        </row>
        <row r="26">
          <cell r="C26"/>
        </row>
      </sheetData>
      <sheetData sheetId="15">
        <row r="6">
          <cell r="F6">
            <v>10.29</v>
          </cell>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cell r="C72" t="str">
            <v>正常</v>
          </cell>
          <cell r="D72"/>
          <cell r="E72"/>
          <cell r="F72"/>
          <cell r="G72"/>
          <cell r="H72"/>
          <cell r="I72"/>
          <cell r="J72"/>
          <cell r="K72"/>
          <cell r="L72"/>
          <cell r="M72"/>
        </row>
        <row r="74">
          <cell r="B74" t="str">
            <v>用途</v>
          </cell>
          <cell r="C74" t="str">
            <v>商业</v>
          </cell>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t="str">
            <v>比例适宜</v>
          </cell>
          <cell r="D120" t="str">
            <v>比例较适宜</v>
          </cell>
          <cell r="E120" t="str">
            <v>比较较不适宜</v>
          </cell>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0"/>
      <sheetData sheetId="21"/>
      <sheetData sheetId="22"/>
      <sheetData sheetId="23"/>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0">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3">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7"/>
      <sheetData sheetId="38"/>
      <sheetData sheetId="39"/>
      <sheetData sheetId="40">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7">
          <cell r="J37" t="str">
            <v>德胜门城楼及会所</v>
          </cell>
        </row>
        <row r="38">
          <cell r="J38" t="str">
            <v>高尔夫练习场</v>
          </cell>
        </row>
        <row r="39">
          <cell r="J39" t="str">
            <v>高尔夫球场办公房</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0" customWidth="1"/>
    <col min="2" max="2" width="81" style="1197" customWidth="1"/>
    <col min="3" max="16384" width="9" style="1195"/>
  </cols>
  <sheetData>
    <row r="1" spans="1:2" s="1183" customFormat="1" ht="16.5" thickBot="1">
      <c r="A1" s="1182" t="s">
        <v>521</v>
      </c>
      <c r="B1" s="1181" t="s">
        <v>600</v>
      </c>
    </row>
    <row r="2" spans="1:2" s="1186" customFormat="1" ht="15"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5" thickBot="1">
      <c r="A5" s="1190" t="s">
        <v>525</v>
      </c>
      <c r="B5" s="1191" t="str">
        <f>'预评函-封皮'!B49</f>
        <v>康正预评字号</v>
      </c>
    </row>
    <row r="6" spans="1:2" s="1186" customFormat="1" ht="15"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估价对象为河北省廊坊市香河开发区第一城内房地产，为所有。根据《国有土地使用证》[]，估价对象（分摊）出让国有建设用地使用权面积为47032平方米，建筑面积为8275.91平方米。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47032平方米，规划建筑面积为8275.91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5" thickBot="1">
      <c r="A18" s="1190" t="s">
        <v>534</v>
      </c>
      <c r="B18" s="1191" t="str">
        <f>'预评函-1'!A24</f>
        <v>本次评估采用的主估价方法为成本法和收益法。</v>
      </c>
    </row>
    <row r="19" spans="1:2" s="1186" customFormat="1" ht="15"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2874</v>
      </c>
    </row>
    <row r="21" spans="1:2" s="1189" customFormat="1">
      <c r="A21" s="1187" t="s">
        <v>537</v>
      </c>
      <c r="B21" s="1188">
        <f ca="1">'预评函-2'!D7</f>
        <v>3473</v>
      </c>
    </row>
    <row r="22" spans="1:2" s="1189" customFormat="1">
      <c r="A22" s="1187" t="s">
        <v>538</v>
      </c>
      <c r="B22" s="1188" t="str">
        <f ca="1">'预评函-2'!D6</f>
        <v>贰仟捌佰柒拾肆万元整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2874</v>
      </c>
    </row>
    <row r="31" spans="1:2" s="1189" customFormat="1">
      <c r="A31" s="1187" t="s">
        <v>576</v>
      </c>
      <c r="B31" s="1188">
        <f ca="1">'预评函-2'!D15</f>
        <v>3473</v>
      </c>
    </row>
    <row r="32" spans="1:2" s="1189" customFormat="1">
      <c r="A32" s="1187" t="s">
        <v>543</v>
      </c>
      <c r="B32" s="1188" t="str">
        <f ca="1">'预评函-2'!D14</f>
        <v>贰仟捌佰柒拾肆万元整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c r="A42" s="1187" t="s">
        <v>590</v>
      </c>
      <c r="B42" s="1188" t="str">
        <f>'预评函-3'!B2</f>
        <v>建筑面积</v>
      </c>
    </row>
    <row r="43" spans="1:2" s="1189" customFormat="1">
      <c r="A43" s="1187" t="s">
        <v>591</v>
      </c>
      <c r="B43" s="1188">
        <f>'预评函-3'!B4</f>
        <v>8275.91</v>
      </c>
    </row>
    <row r="44" spans="1:2" s="1189" customFormat="1">
      <c r="A44" s="1187" t="s">
        <v>575</v>
      </c>
      <c r="B44" s="1188" t="str">
        <f>'预评函-3'!C2</f>
        <v>(分摊)土地面积</v>
      </c>
    </row>
    <row r="45" spans="1:2" s="1189" customFormat="1">
      <c r="A45" s="1187" t="s">
        <v>547</v>
      </c>
      <c r="B45" s="1188">
        <f>'预评函-3'!C4</f>
        <v>47032</v>
      </c>
    </row>
    <row r="46" spans="1:2" s="1189" customFormat="1">
      <c r="A46" s="1187" t="s">
        <v>573</v>
      </c>
      <c r="B46" s="1188" t="str">
        <f>'预评函-3'!D2</f>
        <v>出让国有建设用地使用权价值</v>
      </c>
    </row>
    <row r="47" spans="1:2" s="1189" customFormat="1">
      <c r="A47" s="1187" t="s">
        <v>548</v>
      </c>
      <c r="B47" s="1188">
        <f ca="1">'预评函-3'!D4</f>
        <v>764</v>
      </c>
    </row>
    <row r="48" spans="1:2" s="1189" customFormat="1">
      <c r="A48" s="1187" t="s">
        <v>549</v>
      </c>
      <c r="B48" s="1188">
        <f ca="1">'预评函-3'!E4</f>
        <v>923</v>
      </c>
    </row>
    <row r="49" spans="1:2" s="1189" customFormat="1">
      <c r="A49" s="1187" t="s">
        <v>550</v>
      </c>
      <c r="B49" s="1188" t="str">
        <f ca="1">'预评函-3'!D5</f>
        <v>柒佰陆拾肆万元整</v>
      </c>
    </row>
    <row r="50" spans="1:2" s="1189" customFormat="1">
      <c r="A50" s="1187" t="s">
        <v>574</v>
      </c>
      <c r="B50" s="1188" t="str">
        <f>'预评函-3'!F2</f>
        <v>在建建筑物价值</v>
      </c>
    </row>
    <row r="51" spans="1:2" s="1189" customFormat="1">
      <c r="A51" s="1187" t="s">
        <v>551</v>
      </c>
      <c r="B51" s="1188">
        <f ca="1">'预评函-3'!F4</f>
        <v>2110</v>
      </c>
    </row>
    <row r="52" spans="1:2" s="1189" customFormat="1">
      <c r="A52" s="1187" t="s">
        <v>552</v>
      </c>
      <c r="B52" s="1188">
        <f ca="1">'预评函-3'!G4</f>
        <v>2550</v>
      </c>
    </row>
    <row r="53" spans="1:2" s="1189" customFormat="1">
      <c r="A53" s="1187" t="s">
        <v>580</v>
      </c>
      <c r="B53" s="1188" t="str">
        <f ca="1">'预评函-3'!F5</f>
        <v>贰仟壹佰壹拾万元整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5" thickBot="1">
      <c r="A57" s="1190" t="s">
        <v>599</v>
      </c>
      <c r="B57" s="1191" t="str">
        <f>'预评函-3'!A6</f>
        <v/>
      </c>
    </row>
    <row r="58" spans="1:2" s="1186" customFormat="1" ht="15"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5" thickBot="1">
      <c r="A69" s="1190" t="s">
        <v>561</v>
      </c>
      <c r="B69" s="1192">
        <f>'预评函-4'!C31</f>
        <v>42551</v>
      </c>
    </row>
    <row r="70" spans="1:2" ht="15"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5" thickBot="1">
      <c r="A73" s="1190" t="s">
        <v>565</v>
      </c>
      <c r="B73" s="1191">
        <f ca="1">'预评函-4'!B5</f>
        <v>1419970001</v>
      </c>
    </row>
    <row r="74" spans="1:2" ht="15"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9"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40" t="s">
        <v>385</v>
      </c>
      <c r="C54" s="1537" t="s">
        <v>583</v>
      </c>
    </row>
    <row r="55" spans="1:4">
      <c r="A55" s="3549"/>
      <c r="B55" s="1540" t="s">
        <v>386</v>
      </c>
      <c r="C55" s="1537" t="s">
        <v>584</v>
      </c>
    </row>
    <row r="56" spans="1:4">
      <c r="A56" s="3549"/>
      <c r="B56" s="1540" t="s">
        <v>387</v>
      </c>
      <c r="C56" s="1537" t="s">
        <v>588</v>
      </c>
    </row>
    <row r="57" spans="1:4">
      <c r="A57" s="3549"/>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50" t="s">
        <v>2571</v>
      </c>
      <c r="J2" s="3550"/>
      <c r="K2" s="3550"/>
      <c r="L2" s="3550"/>
      <c r="M2" s="3550"/>
      <c r="N2" s="3550"/>
      <c r="O2" s="3550"/>
      <c r="P2" s="3550"/>
      <c r="Q2" s="3550"/>
      <c r="R2" s="3550"/>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4.25" thickBot="1">
      <c r="A18" s="3005" t="s">
        <v>2507</v>
      </c>
      <c r="B18" s="3006">
        <f>ROUND(B17*F11/F12,2)</f>
        <v>5541.87</v>
      </c>
      <c r="C18" s="3006">
        <f>ROUND(F11/F12,4)</f>
        <v>1.1521999999999999</v>
      </c>
      <c r="D18" s="3007"/>
      <c r="E18" s="3007"/>
      <c r="F18" s="3008"/>
    </row>
    <row r="19" spans="1:13" ht="14.25" thickBot="1"/>
    <row r="20" spans="1:13" s="3043" customFormat="1" ht="14.2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4.2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2" sqref="F22"/>
    </sheetView>
  </sheetViews>
  <sheetFormatPr defaultColWidth="10" defaultRowHeight="12.75"/>
  <cols>
    <col min="1" max="1" width="16.875" style="1731" customWidth="1"/>
    <col min="2" max="2" width="10" style="1731" customWidth="1"/>
    <col min="3" max="3" width="11.5" style="1731" customWidth="1"/>
    <col min="4" max="4" width="10" style="1731" customWidth="1"/>
    <col min="5" max="5" width="12.625" style="1731" customWidth="1"/>
    <col min="6" max="6" width="10" style="1731" customWidth="1"/>
    <col min="7" max="7" width="10.75" style="1731" customWidth="1"/>
    <col min="8" max="8" width="10" style="1731" customWidth="1"/>
    <col min="9" max="9" width="11.12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5" thickBot="1">
      <c r="A1" s="2352" t="s">
        <v>2168</v>
      </c>
      <c r="B1" s="3559" t="str">
        <f>IF(B10="北京市","北京市",C10)&amp;F10&amp;IF(结果表!G1="在建","出让国有建设用地使用权及在建建筑物",IF(结果表!G1="土地","出让国有建设用地使用权",))&amp;B9&amp;"预评估"</f>
        <v>河北省廊坊市香河开发区第一城内房地产市场价值预评估</v>
      </c>
      <c r="C1" s="3560"/>
      <c r="D1" s="3560"/>
      <c r="E1" s="3560"/>
      <c r="F1" s="3560"/>
      <c r="G1" s="3560"/>
      <c r="H1" s="3560"/>
      <c r="I1" s="3561"/>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5"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48.75"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62" t="s">
        <v>2177</v>
      </c>
      <c r="E8" s="2376"/>
      <c r="F8" s="2377"/>
      <c r="G8" s="2644"/>
      <c r="H8" s="2644"/>
      <c r="I8" s="2644"/>
      <c r="J8" s="2423"/>
      <c r="K8" s="2595"/>
      <c r="L8" s="2594"/>
      <c r="M8" s="2594"/>
      <c r="N8" s="2423"/>
      <c r="O8" s="2434"/>
      <c r="P8" s="2423"/>
      <c r="Q8" s="2423"/>
      <c r="R8" s="2423"/>
    </row>
    <row r="9" spans="1:30" ht="13.5" thickBot="1">
      <c r="A9" s="2378" t="s">
        <v>2178</v>
      </c>
      <c r="B9" s="2379" t="s">
        <v>3522</v>
      </c>
      <c r="C9" s="2380"/>
      <c r="D9" s="3563"/>
      <c r="E9" s="2379"/>
      <c r="F9" s="2381"/>
      <c r="G9" s="2646"/>
      <c r="H9" s="2646"/>
      <c r="I9" s="2646"/>
      <c r="J9" s="2423"/>
      <c r="K9" s="2597"/>
      <c r="L9" s="2594"/>
      <c r="M9" s="2594"/>
      <c r="N9" s="2423"/>
      <c r="O9" s="2434"/>
      <c r="P9" s="2423"/>
      <c r="Q9" s="2423"/>
      <c r="R9" s="2423"/>
    </row>
    <row r="10" spans="1:30" ht="13.5"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52775</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20.76</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69"/>
      <c r="C16" s="3570"/>
      <c r="D16" s="3571"/>
      <c r="E16" s="2397" t="s">
        <v>2194</v>
      </c>
      <c r="F16" s="3572"/>
      <c r="G16" s="3573"/>
      <c r="H16" s="3573"/>
      <c r="I16" s="3574"/>
      <c r="J16" s="2423"/>
      <c r="K16" s="2598"/>
      <c r="L16" s="2435"/>
      <c r="M16" s="2435"/>
      <c r="N16" s="2490"/>
      <c r="O16" s="2435"/>
      <c r="P16" s="2490"/>
      <c r="Q16" s="2423"/>
      <c r="R16" s="2423"/>
    </row>
    <row r="17" spans="1:28">
      <c r="A17" s="303" t="s">
        <v>2195</v>
      </c>
      <c r="B17" s="292" t="s">
        <v>2196</v>
      </c>
      <c r="C17" s="8">
        <f>'数据-汇总表'!E3</f>
        <v>8275.91</v>
      </c>
      <c r="D17" s="2308" t="s">
        <v>2197</v>
      </c>
      <c r="E17" s="3575" t="s">
        <v>2198</v>
      </c>
      <c r="F17" s="3576"/>
      <c r="G17" s="3576"/>
      <c r="H17" s="3576"/>
      <c r="I17" s="3577"/>
      <c r="J17" s="2423"/>
      <c r="K17" s="2599"/>
      <c r="L17" s="2435"/>
      <c r="M17" s="2435"/>
      <c r="N17" s="2490"/>
      <c r="O17" s="2435"/>
      <c r="P17" s="2490"/>
      <c r="Q17" s="2423"/>
      <c r="R17" s="2423"/>
      <c r="S17" s="2423"/>
      <c r="T17" s="2423"/>
      <c r="U17" s="2423"/>
      <c r="V17" s="2423"/>
    </row>
    <row r="18" spans="1:28" ht="24.75" thickBot="1">
      <c r="A18" s="2398" t="s">
        <v>2199</v>
      </c>
      <c r="B18" s="1077" t="s">
        <v>2200</v>
      </c>
      <c r="C18" s="2399">
        <f>'数据-汇总表'!D3</f>
        <v>47032</v>
      </c>
      <c r="D18" s="1079" t="s">
        <v>2201</v>
      </c>
      <c r="E18" s="3578" t="s">
        <v>2202</v>
      </c>
      <c r="F18" s="3579"/>
      <c r="G18" s="3579"/>
      <c r="H18" s="3579"/>
      <c r="I18" s="3580"/>
      <c r="J18" s="2423"/>
      <c r="K18" s="2599"/>
      <c r="L18" s="2435"/>
      <c r="M18" s="2435"/>
      <c r="N18" s="2490"/>
      <c r="O18" s="2435"/>
      <c r="P18" s="2490"/>
      <c r="Q18" s="2423"/>
      <c r="R18" s="2423"/>
      <c r="S18" s="2423"/>
      <c r="T18" s="2423"/>
      <c r="U18" s="2423"/>
      <c r="V18" s="2423"/>
    </row>
    <row r="19" spans="1:28" ht="37.5"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65" t="s">
        <v>2206</v>
      </c>
      <c r="C20" s="3566"/>
      <c r="D20" s="3567" t="s">
        <v>2207</v>
      </c>
      <c r="E20" s="3568"/>
      <c r="F20" s="2628" t="s">
        <v>1056</v>
      </c>
      <c r="G20" s="2645"/>
      <c r="H20" s="2645"/>
      <c r="I20" s="2645"/>
      <c r="J20" s="2423"/>
      <c r="K20" s="3564"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24.75" thickBot="1">
      <c r="A21" s="2613"/>
      <c r="B21" s="2614" t="s">
        <v>2209</v>
      </c>
      <c r="C21" s="2615" t="s">
        <v>3527</v>
      </c>
      <c r="D21" s="1554" t="s">
        <v>2210</v>
      </c>
      <c r="E21" s="2616" t="s">
        <v>1057</v>
      </c>
      <c r="F21" s="2629"/>
      <c r="G21" s="2645"/>
      <c r="H21" s="2645"/>
      <c r="I21" s="2645"/>
      <c r="J21" s="2423"/>
      <c r="K21" s="3564"/>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24.75" thickBot="1">
      <c r="A22" s="2613"/>
      <c r="B22" s="2617" t="s">
        <v>2211</v>
      </c>
      <c r="C22" s="2615" t="s">
        <v>1058</v>
      </c>
      <c r="D22" s="2644"/>
      <c r="E22" s="2644"/>
      <c r="F22" s="2644"/>
      <c r="G22" s="2645"/>
      <c r="H22" s="2645"/>
      <c r="I22" s="2645"/>
      <c r="J22" s="2423"/>
      <c r="K22" s="3564"/>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5"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5" thickTop="1">
      <c r="A27" s="3552"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52"/>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52"/>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53"/>
      <c r="B30" s="292" t="s">
        <v>2218</v>
      </c>
      <c r="C30" s="3554"/>
      <c r="D30" s="3555"/>
      <c r="E30" s="2645"/>
      <c r="F30" s="2645"/>
      <c r="G30" s="2645"/>
      <c r="H30" s="2645"/>
      <c r="I30" s="2645"/>
      <c r="J30" s="2423"/>
      <c r="K30" s="2597"/>
      <c r="L30" s="2594"/>
      <c r="M30" s="2594"/>
      <c r="N30" s="2423"/>
      <c r="O30" s="2434"/>
      <c r="P30" s="2423"/>
      <c r="Q30" s="2423"/>
      <c r="R30" s="2423"/>
      <c r="S30" s="2423"/>
      <c r="T30" s="2423"/>
      <c r="U30" s="2423"/>
      <c r="V30" s="2423"/>
    </row>
    <row r="31" spans="1:28">
      <c r="A31" s="3556"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57"/>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57"/>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51" t="s">
        <v>2228</v>
      </c>
      <c r="T34" s="2412" t="str">
        <f>NUMBERSTRING(7-K34,1)&amp;"通"</f>
        <v>七通</v>
      </c>
      <c r="U34" s="2423"/>
      <c r="V34" s="2423"/>
    </row>
    <row r="35" spans="1:30">
      <c r="A35" s="2413"/>
      <c r="B35" s="3558" t="s">
        <v>2229</v>
      </c>
      <c r="C35" s="3558"/>
      <c r="D35" s="3558"/>
      <c r="E35" s="3558"/>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51"/>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5"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25"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5">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topLeftCell="A19" workbookViewId="0">
      <selection activeCell="K9" sqref="K9"/>
    </sheetView>
  </sheetViews>
  <sheetFormatPr defaultColWidth="9" defaultRowHeight="15"/>
  <cols>
    <col min="1" max="1" width="16.75" style="3434" customWidth="1"/>
    <col min="2" max="2" width="22.875" style="3434" customWidth="1"/>
    <col min="3" max="3" width="24.125" style="3434" customWidth="1"/>
    <col min="4" max="4" width="17.75" style="3434" customWidth="1"/>
    <col min="5" max="5" width="7.5" style="3433" customWidth="1"/>
    <col min="6" max="6" width="12.125" style="3433" customWidth="1"/>
    <col min="7" max="8" width="9" style="3433"/>
    <col min="9" max="9" width="10.5" style="3433" bestFit="1" customWidth="1"/>
    <col min="10" max="10" width="14.625" style="3434" customWidth="1"/>
    <col min="11" max="16384" width="9" style="3434"/>
  </cols>
  <sheetData>
    <row r="2" spans="1:10">
      <c r="A2" s="3432" t="s">
        <v>3538</v>
      </c>
      <c r="B2" s="3591" t="s">
        <v>3539</v>
      </c>
      <c r="C2" s="3591"/>
      <c r="D2" s="3591"/>
    </row>
    <row r="3" spans="1:10">
      <c r="A3" s="3435" t="s">
        <v>3540</v>
      </c>
      <c r="B3" s="3435" t="s">
        <v>3541</v>
      </c>
      <c r="C3" s="3435" t="s">
        <v>3542</v>
      </c>
      <c r="D3" s="3435" t="s">
        <v>3543</v>
      </c>
      <c r="E3" s="3435" t="s">
        <v>3544</v>
      </c>
      <c r="F3" s="3435" t="s">
        <v>3545</v>
      </c>
      <c r="G3" s="3435" t="s">
        <v>3546</v>
      </c>
      <c r="H3" s="3435" t="s">
        <v>3547</v>
      </c>
      <c r="I3" s="3435" t="s">
        <v>3548</v>
      </c>
      <c r="J3" s="3436" t="s">
        <v>3549</v>
      </c>
    </row>
    <row r="4" spans="1:10">
      <c r="A4" s="3586" t="s">
        <v>3550</v>
      </c>
      <c r="B4" s="3437" t="s">
        <v>3551</v>
      </c>
      <c r="C4" s="3586">
        <v>51912</v>
      </c>
      <c r="D4" s="3437">
        <v>2524.48</v>
      </c>
      <c r="E4" s="3437">
        <v>3</v>
      </c>
      <c r="F4" s="3437" t="s">
        <v>3552</v>
      </c>
      <c r="G4" s="3586" t="s">
        <v>3553</v>
      </c>
      <c r="H4" s="3437" t="s">
        <v>3554</v>
      </c>
      <c r="I4" s="3581">
        <v>48633</v>
      </c>
      <c r="J4" s="3438" t="s">
        <v>3555</v>
      </c>
    </row>
    <row r="5" spans="1:10">
      <c r="A5" s="3586"/>
      <c r="B5" s="3437" t="s">
        <v>3556</v>
      </c>
      <c r="C5" s="3586"/>
      <c r="D5" s="3437">
        <v>140028.32</v>
      </c>
      <c r="E5" s="3437">
        <v>17</v>
      </c>
      <c r="F5" s="3437" t="s">
        <v>3552</v>
      </c>
      <c r="G5" s="3586"/>
      <c r="H5" s="3437" t="s">
        <v>3557</v>
      </c>
      <c r="I5" s="3581"/>
      <c r="J5" s="3438" t="s">
        <v>3558</v>
      </c>
    </row>
    <row r="6" spans="1:10">
      <c r="A6" s="3437" t="s">
        <v>2583</v>
      </c>
      <c r="B6" s="3437"/>
      <c r="C6" s="3437">
        <f>SUM(C4)</f>
        <v>51912</v>
      </c>
      <c r="D6" s="3437">
        <f>D4+D5</f>
        <v>142552.80000000002</v>
      </c>
      <c r="E6" s="3437"/>
      <c r="F6" s="3437"/>
      <c r="G6" s="3437"/>
      <c r="H6" s="3437"/>
      <c r="I6" s="3437"/>
      <c r="J6" s="3439"/>
    </row>
    <row r="11" spans="1:10">
      <c r="A11" s="3432" t="s">
        <v>649</v>
      </c>
      <c r="B11" s="3591" t="s">
        <v>3539</v>
      </c>
      <c r="C11" s="3591"/>
      <c r="D11" s="3591"/>
    </row>
    <row r="12" spans="1:1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83" t="s">
        <v>3559</v>
      </c>
      <c r="B13" s="3437" t="s">
        <v>3560</v>
      </c>
      <c r="C13" s="3586">
        <v>34944</v>
      </c>
      <c r="D13" s="3437">
        <v>69.56</v>
      </c>
      <c r="E13" s="3440"/>
      <c r="F13" s="3437" t="s">
        <v>3552</v>
      </c>
      <c r="G13" s="3583" t="s">
        <v>3553</v>
      </c>
      <c r="H13" s="3437" t="s">
        <v>3554</v>
      </c>
      <c r="I13" s="3587">
        <v>48633</v>
      </c>
      <c r="J13" s="3438" t="s">
        <v>3561</v>
      </c>
    </row>
    <row r="14" spans="1:10">
      <c r="A14" s="3584"/>
      <c r="B14" s="3437" t="s">
        <v>3562</v>
      </c>
      <c r="C14" s="3586"/>
      <c r="D14" s="3437">
        <v>69.56</v>
      </c>
      <c r="E14" s="3440"/>
      <c r="F14" s="3437" t="s">
        <v>3552</v>
      </c>
      <c r="G14" s="3584"/>
      <c r="H14" s="3437" t="s">
        <v>3554</v>
      </c>
      <c r="I14" s="3588"/>
      <c r="J14" s="3441"/>
    </row>
    <row r="15" spans="1:10">
      <c r="A15" s="3584"/>
      <c r="B15" s="3437" t="s">
        <v>3563</v>
      </c>
      <c r="C15" s="3586"/>
      <c r="D15" s="3437">
        <v>209.91</v>
      </c>
      <c r="E15" s="3437">
        <v>2</v>
      </c>
      <c r="F15" s="3437" t="s">
        <v>3552</v>
      </c>
      <c r="G15" s="3584"/>
      <c r="H15" s="3437" t="s">
        <v>3554</v>
      </c>
      <c r="I15" s="3588"/>
      <c r="J15" s="3438" t="s">
        <v>3564</v>
      </c>
    </row>
    <row r="16" spans="1:10">
      <c r="A16" s="3584"/>
      <c r="B16" s="3437" t="s">
        <v>3565</v>
      </c>
      <c r="C16" s="3586"/>
      <c r="D16" s="3437">
        <v>260.76</v>
      </c>
      <c r="E16" s="3437">
        <v>2</v>
      </c>
      <c r="F16" s="3437" t="s">
        <v>3552</v>
      </c>
      <c r="G16" s="3584"/>
      <c r="H16" s="3437" t="s">
        <v>3554</v>
      </c>
      <c r="I16" s="3588"/>
      <c r="J16" s="3438" t="s">
        <v>3566</v>
      </c>
    </row>
    <row r="17" spans="1:10">
      <c r="A17" s="3584"/>
      <c r="B17" s="3437" t="s">
        <v>3567</v>
      </c>
      <c r="C17" s="3586"/>
      <c r="D17" s="3437">
        <v>171.35</v>
      </c>
      <c r="E17" s="3437">
        <v>2</v>
      </c>
      <c r="F17" s="3437" t="s">
        <v>3552</v>
      </c>
      <c r="G17" s="3584"/>
      <c r="H17" s="3437" t="s">
        <v>3554</v>
      </c>
      <c r="I17" s="3588"/>
      <c r="J17" s="3441"/>
    </row>
    <row r="18" spans="1:10">
      <c r="A18" s="3584"/>
      <c r="B18" s="3437" t="s">
        <v>3568</v>
      </c>
      <c r="C18" s="3586"/>
      <c r="D18" s="3437">
        <v>407.78</v>
      </c>
      <c r="E18" s="3437">
        <v>2</v>
      </c>
      <c r="F18" s="3437" t="s">
        <v>3552</v>
      </c>
      <c r="G18" s="3584"/>
      <c r="H18" s="3437" t="s">
        <v>3554</v>
      </c>
      <c r="I18" s="3588"/>
      <c r="J18" s="3438" t="s">
        <v>3569</v>
      </c>
    </row>
    <row r="19" spans="1:10">
      <c r="A19" s="3584"/>
      <c r="B19" s="3437" t="s">
        <v>3570</v>
      </c>
      <c r="C19" s="3586"/>
      <c r="D19" s="3437">
        <v>342.14</v>
      </c>
      <c r="E19" s="3437">
        <v>2</v>
      </c>
      <c r="F19" s="3437" t="s">
        <v>3552</v>
      </c>
      <c r="G19" s="3584"/>
      <c r="H19" s="3437" t="s">
        <v>3554</v>
      </c>
      <c r="I19" s="3588"/>
      <c r="J19" s="3438" t="s">
        <v>3571</v>
      </c>
    </row>
    <row r="20" spans="1:10">
      <c r="A20" s="3584"/>
      <c r="B20" s="3437" t="s">
        <v>3572</v>
      </c>
      <c r="C20" s="3586"/>
      <c r="D20" s="3437">
        <v>675.82</v>
      </c>
      <c r="E20" s="3437">
        <v>3</v>
      </c>
      <c r="F20" s="3437" t="s">
        <v>3552</v>
      </c>
      <c r="G20" s="3584"/>
      <c r="H20" s="3437" t="s">
        <v>3554</v>
      </c>
      <c r="I20" s="3588"/>
      <c r="J20" s="3438" t="s">
        <v>3573</v>
      </c>
    </row>
    <row r="21" spans="1:10">
      <c r="A21" s="3584"/>
      <c r="B21" s="3437" t="s">
        <v>3574</v>
      </c>
      <c r="C21" s="3586"/>
      <c r="D21" s="3437">
        <v>226.67</v>
      </c>
      <c r="E21" s="3437">
        <v>2</v>
      </c>
      <c r="F21" s="3437" t="s">
        <v>3552</v>
      </c>
      <c r="G21" s="3584"/>
      <c r="H21" s="3437" t="s">
        <v>3554</v>
      </c>
      <c r="I21" s="3588"/>
      <c r="J21" s="3438" t="s">
        <v>3575</v>
      </c>
    </row>
    <row r="22" spans="1:10">
      <c r="A22" s="3584"/>
      <c r="B22" s="3437" t="s">
        <v>3576</v>
      </c>
      <c r="C22" s="3586"/>
      <c r="D22" s="3437">
        <v>40.020000000000003</v>
      </c>
      <c r="E22" s="3437">
        <v>1</v>
      </c>
      <c r="F22" s="3437" t="s">
        <v>3552</v>
      </c>
      <c r="G22" s="3584"/>
      <c r="H22" s="3437" t="s">
        <v>3554</v>
      </c>
      <c r="I22" s="3588"/>
      <c r="J22" s="3438" t="s">
        <v>3577</v>
      </c>
    </row>
    <row r="23" spans="1:10">
      <c r="A23" s="3584"/>
      <c r="B23" s="3437" t="s">
        <v>3578</v>
      </c>
      <c r="C23" s="3586"/>
      <c r="D23" s="3437">
        <v>175.7</v>
      </c>
      <c r="E23" s="3437">
        <v>2</v>
      </c>
      <c r="F23" s="3437" t="s">
        <v>3552</v>
      </c>
      <c r="G23" s="3584"/>
      <c r="H23" s="3437" t="s">
        <v>3554</v>
      </c>
      <c r="I23" s="3588"/>
      <c r="J23" s="3438" t="s">
        <v>3579</v>
      </c>
    </row>
    <row r="24" spans="1:10">
      <c r="A24" s="3584"/>
      <c r="B24" s="3437" t="s">
        <v>3580</v>
      </c>
      <c r="C24" s="3586"/>
      <c r="D24" s="3437">
        <v>74.489999999999995</v>
      </c>
      <c r="E24" s="3437">
        <v>1</v>
      </c>
      <c r="F24" s="3437" t="s">
        <v>3552</v>
      </c>
      <c r="G24" s="3584"/>
      <c r="H24" s="3437" t="s">
        <v>3554</v>
      </c>
      <c r="I24" s="3588"/>
      <c r="J24" s="3438" t="s">
        <v>3581</v>
      </c>
    </row>
    <row r="25" spans="1:10">
      <c r="A25" s="3584"/>
      <c r="B25" s="3437" t="s">
        <v>3582</v>
      </c>
      <c r="C25" s="3586"/>
      <c r="D25" s="3437">
        <v>104.35</v>
      </c>
      <c r="E25" s="3437">
        <v>1</v>
      </c>
      <c r="F25" s="3437" t="s">
        <v>3552</v>
      </c>
      <c r="G25" s="3584"/>
      <c r="H25" s="3437" t="s">
        <v>3554</v>
      </c>
      <c r="I25" s="3588"/>
      <c r="J25" s="3438" t="s">
        <v>3583</v>
      </c>
    </row>
    <row r="26" spans="1:10">
      <c r="A26" s="3584"/>
      <c r="B26" s="3437" t="s">
        <v>3584</v>
      </c>
      <c r="C26" s="3586"/>
      <c r="D26" s="3437">
        <v>84.37</v>
      </c>
      <c r="E26" s="3437">
        <v>2</v>
      </c>
      <c r="F26" s="3437" t="s">
        <v>3552</v>
      </c>
      <c r="G26" s="3584"/>
      <c r="H26" s="3437" t="s">
        <v>3554</v>
      </c>
      <c r="I26" s="3588"/>
      <c r="J26" s="3438" t="s">
        <v>3585</v>
      </c>
    </row>
    <row r="27" spans="1:10">
      <c r="A27" s="3584"/>
      <c r="B27" s="3437" t="s">
        <v>3586</v>
      </c>
      <c r="C27" s="3586"/>
      <c r="D27" s="3437">
        <v>641.46</v>
      </c>
      <c r="E27" s="3437">
        <v>3</v>
      </c>
      <c r="F27" s="3437" t="s">
        <v>3552</v>
      </c>
      <c r="G27" s="3584"/>
      <c r="H27" s="3437" t="s">
        <v>3554</v>
      </c>
      <c r="I27" s="3588"/>
      <c r="J27" s="3438" t="s">
        <v>3587</v>
      </c>
    </row>
    <row r="28" spans="1:10">
      <c r="A28" s="3584"/>
      <c r="B28" s="3437" t="s">
        <v>3588</v>
      </c>
      <c r="C28" s="3586"/>
      <c r="D28" s="3437">
        <v>276.52999999999997</v>
      </c>
      <c r="E28" s="3437">
        <v>2</v>
      </c>
      <c r="F28" s="3437" t="s">
        <v>3552</v>
      </c>
      <c r="G28" s="3584"/>
      <c r="H28" s="3437" t="s">
        <v>3554</v>
      </c>
      <c r="I28" s="3588"/>
      <c r="J28" s="3438" t="s">
        <v>3589</v>
      </c>
    </row>
    <row r="29" spans="1:10">
      <c r="A29" s="3584"/>
      <c r="B29" s="3437" t="s">
        <v>3590</v>
      </c>
      <c r="C29" s="3586"/>
      <c r="D29" s="3437">
        <v>44.63</v>
      </c>
      <c r="E29" s="3437">
        <v>1</v>
      </c>
      <c r="F29" s="3437" t="s">
        <v>3552</v>
      </c>
      <c r="G29" s="3584"/>
      <c r="H29" s="3437" t="s">
        <v>3554</v>
      </c>
      <c r="I29" s="3588"/>
      <c r="J29" s="3438" t="s">
        <v>3591</v>
      </c>
    </row>
    <row r="30" spans="1:10">
      <c r="A30" s="3584"/>
      <c r="B30" s="3437" t="s">
        <v>3592</v>
      </c>
      <c r="C30" s="3586"/>
      <c r="D30" s="3437">
        <v>72.89</v>
      </c>
      <c r="E30" s="3437">
        <v>1</v>
      </c>
      <c r="F30" s="3437" t="s">
        <v>3552</v>
      </c>
      <c r="G30" s="3584"/>
      <c r="H30" s="3437" t="s">
        <v>3554</v>
      </c>
      <c r="I30" s="3588"/>
      <c r="J30" s="3438" t="s">
        <v>3593</v>
      </c>
    </row>
    <row r="31" spans="1:10">
      <c r="A31" s="3584"/>
      <c r="B31" s="3437" t="s">
        <v>3594</v>
      </c>
      <c r="C31" s="3586"/>
      <c r="D31" s="3437">
        <v>155.77000000000001</v>
      </c>
      <c r="E31" s="3437">
        <v>2</v>
      </c>
      <c r="F31" s="3437" t="s">
        <v>3552</v>
      </c>
      <c r="G31" s="3584"/>
      <c r="H31" s="3437" t="s">
        <v>3554</v>
      </c>
      <c r="I31" s="3588"/>
      <c r="J31" s="3438" t="s">
        <v>3595</v>
      </c>
    </row>
    <row r="32" spans="1:10">
      <c r="A32" s="3584"/>
      <c r="B32" s="3437" t="s">
        <v>3596</v>
      </c>
      <c r="C32" s="3586"/>
      <c r="D32" s="3437">
        <v>1228.42</v>
      </c>
      <c r="E32" s="3437">
        <v>2</v>
      </c>
      <c r="F32" s="3437" t="s">
        <v>3552</v>
      </c>
      <c r="G32" s="3584"/>
      <c r="H32" s="3437" t="s">
        <v>3554</v>
      </c>
      <c r="I32" s="3588"/>
      <c r="J32" s="3438" t="s">
        <v>3597</v>
      </c>
    </row>
    <row r="33" spans="1:10">
      <c r="A33" s="3584"/>
      <c r="B33" s="3437" t="s">
        <v>3598</v>
      </c>
      <c r="C33" s="3586"/>
      <c r="D33" s="3437">
        <v>1228.42</v>
      </c>
      <c r="E33" s="3437">
        <v>2</v>
      </c>
      <c r="F33" s="3437" t="s">
        <v>3552</v>
      </c>
      <c r="G33" s="3584"/>
      <c r="H33" s="3437" t="s">
        <v>3554</v>
      </c>
      <c r="I33" s="3588"/>
      <c r="J33" s="3438" t="s">
        <v>3599</v>
      </c>
    </row>
    <row r="34" spans="1:10">
      <c r="A34" s="3584"/>
      <c r="B34" s="3437" t="s">
        <v>3600</v>
      </c>
      <c r="C34" s="3586"/>
      <c r="D34" s="3437">
        <v>749.23</v>
      </c>
      <c r="E34" s="3437">
        <v>3</v>
      </c>
      <c r="F34" s="3437" t="s">
        <v>3552</v>
      </c>
      <c r="G34" s="3584"/>
      <c r="H34" s="3437" t="s">
        <v>3554</v>
      </c>
      <c r="I34" s="3588"/>
      <c r="J34" s="3438" t="s">
        <v>3601</v>
      </c>
    </row>
    <row r="35" spans="1:10">
      <c r="A35" s="3584"/>
      <c r="B35" s="3437" t="s">
        <v>3602</v>
      </c>
      <c r="C35" s="3586"/>
      <c r="D35" s="3437">
        <v>5193.3599999999997</v>
      </c>
      <c r="E35" s="3437">
        <v>6</v>
      </c>
      <c r="F35" s="3437" t="s">
        <v>3552</v>
      </c>
      <c r="G35" s="3584"/>
      <c r="H35" s="3437" t="s">
        <v>3554</v>
      </c>
      <c r="I35" s="3588"/>
      <c r="J35" s="3438" t="s">
        <v>3603</v>
      </c>
    </row>
    <row r="36" spans="1:10">
      <c r="A36" s="3585"/>
      <c r="B36" s="3437" t="s">
        <v>3604</v>
      </c>
      <c r="C36" s="3586"/>
      <c r="D36" s="3437">
        <v>112.68</v>
      </c>
      <c r="E36" s="3437">
        <v>1</v>
      </c>
      <c r="F36" s="3437" t="s">
        <v>3552</v>
      </c>
      <c r="G36" s="3585"/>
      <c r="H36" s="3437" t="s">
        <v>3554</v>
      </c>
      <c r="I36" s="3589"/>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c r="A38" s="3583" t="s">
        <v>3609</v>
      </c>
      <c r="B38" s="3437" t="s">
        <v>3610</v>
      </c>
      <c r="C38" s="3590">
        <v>41819</v>
      </c>
      <c r="D38" s="3442">
        <v>422</v>
      </c>
      <c r="E38" s="3437">
        <v>1</v>
      </c>
      <c r="F38" s="3437" t="s">
        <v>3552</v>
      </c>
      <c r="G38" s="3437" t="s">
        <v>3553</v>
      </c>
      <c r="H38" s="3437" t="s">
        <v>3554</v>
      </c>
      <c r="I38" s="3443">
        <v>52775</v>
      </c>
      <c r="J38" s="3438" t="s">
        <v>3611</v>
      </c>
    </row>
    <row r="39" spans="1:10">
      <c r="A39" s="3585"/>
      <c r="B39" s="3437" t="s">
        <v>3612</v>
      </c>
      <c r="C39" s="3590"/>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82" t="s">
        <v>3618</v>
      </c>
      <c r="B45" s="3582"/>
      <c r="C45" s="3582"/>
      <c r="D45" s="3582"/>
      <c r="E45" s="3582"/>
      <c r="F45" s="3582"/>
      <c r="G45" s="3582"/>
    </row>
  </sheetData>
  <dataConsolidate/>
  <mergeCells count="13">
    <mergeCell ref="B2:D2"/>
    <mergeCell ref="A4:A5"/>
    <mergeCell ref="C4:C5"/>
    <mergeCell ref="G4:G5"/>
    <mergeCell ref="I4:I5"/>
    <mergeCell ref="A45:G45"/>
    <mergeCell ref="A13:A36"/>
    <mergeCell ref="C13:C36"/>
    <mergeCell ref="G13:G36"/>
    <mergeCell ref="I13:I36"/>
    <mergeCell ref="A38:A39"/>
    <mergeCell ref="C38:C39"/>
    <mergeCell ref="B11:D11"/>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8" sqref="A18"/>
    </sheetView>
  </sheetViews>
  <sheetFormatPr defaultColWidth="8.875" defaultRowHeight="14.25"/>
  <cols>
    <col min="1" max="1" width="10.625" style="1559" customWidth="1"/>
    <col min="2" max="2" width="11" style="1559" customWidth="1"/>
    <col min="3" max="3" width="10.37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f>清单!C38+清单!C37</f>
        <v>47032</v>
      </c>
      <c r="B3" s="11">
        <f>IF(C3="否",G5-AT5,G5)</f>
        <v>8275.91</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1071</v>
      </c>
      <c r="B5" s="1333"/>
      <c r="C5" s="1333"/>
      <c r="D5" s="1335"/>
      <c r="E5" s="13" t="s">
        <v>0</v>
      </c>
      <c r="F5" s="13">
        <f>SUM(F13:F587)</f>
        <v>0</v>
      </c>
      <c r="G5" s="13">
        <f>SUM(G13:G587)</f>
        <v>8275.91</v>
      </c>
      <c r="H5" s="13">
        <f t="shared" ref="H5:AT5" si="0">SUM(H13:H656)</f>
        <v>8275.91</v>
      </c>
      <c r="I5" s="13">
        <f t="shared" si="0"/>
        <v>8275.91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8275.91</v>
      </c>
      <c r="BA5" s="15">
        <f t="shared" si="1"/>
        <v>8275.91</v>
      </c>
      <c r="BB5" s="15">
        <f t="shared" si="1"/>
        <v>8275.91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1072</v>
      </c>
      <c r="B6" s="1572"/>
      <c r="C6" s="1572"/>
      <c r="D6" s="1573"/>
      <c r="E6" s="13">
        <f>H6+AC6+AT6</f>
        <v>47032</v>
      </c>
      <c r="F6" s="13" t="s">
        <v>0</v>
      </c>
      <c r="G6" s="13" t="s">
        <v>1</v>
      </c>
      <c r="H6" s="17">
        <f>SUMIF(I$12:AB$12,"总值",I6:AB6)</f>
        <v>47032</v>
      </c>
      <c r="I6" s="13">
        <f t="shared" ref="I6:AB6" si="2">ROUND($A$3*I5/$B$3,2)</f>
        <v>47032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47032</v>
      </c>
      <c r="AZ6" s="13" t="s">
        <v>2</v>
      </c>
      <c r="BA6" s="13">
        <f>ROUND($AY$6*BA5/$AZ$5,2)</f>
        <v>47032</v>
      </c>
      <c r="BB6" s="13">
        <f>ROUND($AY$6*BB5/$AZ$5,2)</f>
        <v>47032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7"/>
      <c r="H9" s="1588" t="s">
        <v>1091</v>
      </c>
      <c r="I9" s="1589" t="s">
        <v>3536</v>
      </c>
      <c r="J9" s="796"/>
      <c r="K9" s="1589"/>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2.75">
      <c r="A10" s="1580"/>
      <c r="B10" s="1580"/>
      <c r="C10" s="1580"/>
      <c r="D10" s="1580"/>
      <c r="E10" s="1580"/>
      <c r="F10" s="1580"/>
      <c r="G10" s="1057"/>
      <c r="H10" s="25"/>
      <c r="I10" s="1589" t="s">
        <v>673</v>
      </c>
      <c r="J10" s="796"/>
      <c r="K10" s="1595"/>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f>K9</f>
        <v>0</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7"/>
      <c r="H11" s="1597"/>
      <c r="I11" s="1600" t="s">
        <v>3537</v>
      </c>
      <c r="J11" s="1601"/>
      <c r="K11" s="1600"/>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f>K10</f>
        <v>0</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f>K11</f>
        <v>0</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8"/>
      <c r="B13" s="1038"/>
      <c r="C13" s="1038" t="str">
        <f>[3]清单!J37</f>
        <v>德胜门城楼及会所</v>
      </c>
      <c r="D13" s="1611" t="s">
        <v>3535</v>
      </c>
      <c r="E13" s="13">
        <f>IF($C$3="是",ROUND($A$3*G13/$B$3,2),ROUND($A$3*(G13-AT13)/$B$3,2))</f>
        <v>41667.25</v>
      </c>
      <c r="F13" s="29"/>
      <c r="G13" s="30">
        <f>H13+AC13+AT13</f>
        <v>7331.91</v>
      </c>
      <c r="H13" s="17">
        <f>SUMIF(I$12:AB$12,"总值",I13:AB13)</f>
        <v>7331.91</v>
      </c>
      <c r="I13" s="1612">
        <f>清单!D37</f>
        <v>7331.91</v>
      </c>
      <c r="J13" s="1612"/>
      <c r="K13" s="1612"/>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0</v>
      </c>
      <c r="AW13" s="8">
        <f t="shared" si="6"/>
        <v>0</v>
      </c>
      <c r="AX13" s="8" t="str">
        <f t="shared" si="6"/>
        <v>德胜门城楼及会所</v>
      </c>
      <c r="AY13" s="1335">
        <f>ROUND($AY$6*AZ13/$AZ$5,2)</f>
        <v>41667.25</v>
      </c>
      <c r="AZ13" s="13">
        <f>BA13+BL13</f>
        <v>7331.91</v>
      </c>
      <c r="BA13" s="13">
        <f>SUM(BB13:BK13)</f>
        <v>7331.91</v>
      </c>
      <c r="BB13" s="13">
        <f>IF($D13="是",I13-J13,0)</f>
        <v>7331.91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5.5">
      <c r="A14" s="10"/>
      <c r="B14" s="1038"/>
      <c r="C14" s="1038" t="str">
        <f>[3]清单!J38</f>
        <v>高尔夫练习场</v>
      </c>
      <c r="D14" s="1611" t="s">
        <v>3535</v>
      </c>
      <c r="E14" s="13">
        <f>IF($C$3="是",ROUND($A$3*G14/$B$3,2),ROUND($A$3*(G14-AT14)/$B$3,2))</f>
        <v>2398.23</v>
      </c>
      <c r="F14" s="29"/>
      <c r="G14" s="30">
        <f>H14+AC14+AT14</f>
        <v>422</v>
      </c>
      <c r="H14" s="17">
        <f>SUMIF(I$12:AB$12,"总值",I14:AB14)</f>
        <v>422</v>
      </c>
      <c r="I14" s="1612">
        <f>清单!D38</f>
        <v>422</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0</v>
      </c>
      <c r="AW14" s="8">
        <f t="shared" si="6"/>
        <v>0</v>
      </c>
      <c r="AX14" s="8" t="str">
        <f t="shared" si="6"/>
        <v>高尔夫练习场</v>
      </c>
      <c r="AY14" s="1335">
        <f>ROUND($AY$6*AZ14/$AZ$5,2)</f>
        <v>2398.23</v>
      </c>
      <c r="AZ14" s="13">
        <f>BA14+BL14</f>
        <v>422</v>
      </c>
      <c r="BA14" s="13">
        <f>SUM(BB14:BK14)</f>
        <v>422</v>
      </c>
      <c r="BB14" s="13">
        <f>IF($D14="是",I14-J14,0)</f>
        <v>422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25.5">
      <c r="A15" s="1038"/>
      <c r="B15" s="1038"/>
      <c r="C15" s="1038" t="str">
        <f>[3]清单!J39</f>
        <v>高尔夫球场办公房</v>
      </c>
      <c r="D15" s="1611" t="s">
        <v>3535</v>
      </c>
      <c r="E15" s="13">
        <f>IF($C$3="是",ROUND($A$3*G15/$B$3,2),ROUND($A$3*(G15-AT15)/$B$3,2))</f>
        <v>2966.53</v>
      </c>
      <c r="F15" s="29"/>
      <c r="G15" s="30">
        <f>H15+AC15+AT15</f>
        <v>522</v>
      </c>
      <c r="H15" s="17">
        <f>SUMIF(I$12:AB$12,"总值",I15:AB15)</f>
        <v>522</v>
      </c>
      <c r="I15" s="1612">
        <f>清单!D39</f>
        <v>522</v>
      </c>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t="str">
        <f t="shared" si="6"/>
        <v>高尔夫球场办公房</v>
      </c>
      <c r="AY15" s="1335">
        <f>ROUND($AY$6*AZ15/$AZ$5,2)</f>
        <v>2966.53</v>
      </c>
      <c r="AZ15" s="13">
        <f>BA15+BL15</f>
        <v>522</v>
      </c>
      <c r="BA15" s="13">
        <f>SUM(BB15:BK15)</f>
        <v>522</v>
      </c>
      <c r="BB15" s="13">
        <f>IF($D15="是",I15-J15,0)</f>
        <v>522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2.75">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2.75">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0"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1130</v>
      </c>
      <c r="B1" s="1126"/>
      <c r="C1" s="1126"/>
      <c r="D1" s="1126"/>
      <c r="E1" s="1126"/>
      <c r="F1" s="1126"/>
      <c r="G1" s="1126"/>
      <c r="H1" s="1126"/>
      <c r="I1" s="1126"/>
      <c r="J1" s="1126"/>
      <c r="K1" s="1126"/>
      <c r="L1" s="1126"/>
      <c r="M1" s="1126"/>
      <c r="N1" s="1126"/>
      <c r="O1" s="1126"/>
      <c r="P1" s="1126"/>
    </row>
    <row r="2" spans="1:16" ht="15">
      <c r="A2" s="3601" t="s">
        <v>1131</v>
      </c>
      <c r="B2" s="3601"/>
      <c r="C2" s="3601"/>
      <c r="D2" s="783" t="s">
        <v>1107</v>
      </c>
      <c r="E2" s="1625" t="s">
        <v>1108</v>
      </c>
      <c r="F2" s="2640"/>
      <c r="G2" s="2631"/>
      <c r="H2" s="2632"/>
      <c r="I2" s="2311" t="s">
        <v>1132</v>
      </c>
      <c r="J2" s="2640"/>
      <c r="K2" s="2640"/>
      <c r="L2" s="2640"/>
      <c r="M2" s="2640"/>
      <c r="N2" s="2642"/>
      <c r="O2" s="2640"/>
      <c r="P2" s="2640"/>
    </row>
    <row r="3" spans="1:16" ht="15.75" thickBot="1">
      <c r="A3" s="3602" t="s">
        <v>1105</v>
      </c>
      <c r="B3" s="3602"/>
      <c r="C3" s="3602"/>
      <c r="D3" s="43">
        <f>'数据-基础表'!AY6</f>
        <v>47032</v>
      </c>
      <c r="E3" s="43">
        <f>'数据-基础表'!AZ5</f>
        <v>8275.91</v>
      </c>
      <c r="F3" s="2640"/>
      <c r="G3" s="1132"/>
      <c r="H3" s="1013" t="s">
        <v>1106</v>
      </c>
      <c r="I3" s="842">
        <f>ROUND('数据-基础表'!B3/'数据-基础表'!A3,2)</f>
        <v>0.18</v>
      </c>
      <c r="J3" s="2640"/>
      <c r="K3" s="2640"/>
      <c r="L3" s="2640"/>
      <c r="M3" s="2640"/>
      <c r="N3" s="2642"/>
      <c r="O3" s="2640"/>
      <c r="P3" s="2640"/>
    </row>
    <row r="4" spans="1:16" ht="15">
      <c r="A4" s="3603"/>
      <c r="B4" s="3604"/>
      <c r="C4" s="3605"/>
      <c r="D4" s="1627" t="s">
        <v>1107</v>
      </c>
      <c r="E4" s="1628" t="s">
        <v>1108</v>
      </c>
      <c r="F4" s="2640"/>
      <c r="G4" s="2633" t="s">
        <v>1133</v>
      </c>
      <c r="H4" s="1013" t="s">
        <v>1113</v>
      </c>
      <c r="I4" s="842">
        <f>ROUND(SUMIF('数据-基础表'!I9:AS9,"地上",'数据-基础表'!I5:AS5)/'数据-基础表'!A3,2)</f>
        <v>0.18</v>
      </c>
      <c r="J4" s="2640"/>
      <c r="K4" s="2640"/>
      <c r="L4" s="2640"/>
      <c r="M4" s="2640"/>
      <c r="N4" s="2642"/>
      <c r="O4" s="2640"/>
      <c r="P4" s="2640"/>
    </row>
    <row r="5" spans="1:16">
      <c r="A5" s="44" t="s">
        <v>1109</v>
      </c>
      <c r="B5" s="3606" t="s">
        <v>1110</v>
      </c>
      <c r="C5" s="3606"/>
      <c r="D5" s="45">
        <f>ROUND($D$3*E5/$E$3,2)</f>
        <v>0</v>
      </c>
      <c r="E5" s="46">
        <f>SUMIF('数据-基础表'!$11:$11,"住宅",'数据-基础表'!$5:$5)</f>
        <v>0</v>
      </c>
      <c r="F5" s="2640"/>
      <c r="G5" s="1132"/>
      <c r="H5" s="1013" t="s">
        <v>1106</v>
      </c>
      <c r="I5" s="842">
        <f>ROUND(E31/D31,2)</f>
        <v>0.18</v>
      </c>
      <c r="J5" s="2640"/>
      <c r="K5" s="2640"/>
      <c r="L5" s="2640"/>
      <c r="M5" s="2640"/>
      <c r="N5" s="2640"/>
      <c r="O5" s="2640"/>
      <c r="P5" s="2640"/>
    </row>
    <row r="6" spans="1:16" ht="15" thickBot="1">
      <c r="A6" s="1630"/>
      <c r="B6" s="3606" t="s">
        <v>1111</v>
      </c>
      <c r="C6" s="3606"/>
      <c r="D6" s="45">
        <f>ROUND($D$3*E6/$E$3,2)</f>
        <v>47032</v>
      </c>
      <c r="E6" s="46">
        <f>E3-E5</f>
        <v>8275.91</v>
      </c>
      <c r="F6" s="2640"/>
      <c r="G6" s="2634" t="s">
        <v>1112</v>
      </c>
      <c r="H6" s="1133" t="s">
        <v>1113</v>
      </c>
      <c r="I6" s="2635">
        <f>ROUND(F31/D31,2)</f>
        <v>0.18</v>
      </c>
      <c r="J6" s="2640"/>
      <c r="K6" s="2640"/>
      <c r="L6" s="2640"/>
      <c r="M6" s="2640"/>
      <c r="N6" s="2640"/>
      <c r="O6" s="2640"/>
      <c r="P6" s="2640"/>
    </row>
    <row r="7" spans="1:16" ht="15.75" thickBot="1">
      <c r="A7" s="3598"/>
      <c r="B7" s="3599"/>
      <c r="C7" s="3600"/>
      <c r="D7" s="1627" t="s">
        <v>1107</v>
      </c>
      <c r="E7" s="1631" t="s">
        <v>1114</v>
      </c>
      <c r="F7" s="2640"/>
      <c r="G7" s="2636" t="s">
        <v>1115</v>
      </c>
      <c r="H7" s="2637"/>
      <c r="I7" s="2638"/>
      <c r="J7" s="2640"/>
      <c r="K7" s="2640"/>
      <c r="L7" s="2640"/>
      <c r="M7" s="2640"/>
      <c r="N7" s="2640"/>
      <c r="O7" s="2640"/>
      <c r="P7" s="2640"/>
    </row>
    <row r="8" spans="1:16">
      <c r="A8" s="44" t="s">
        <v>1116</v>
      </c>
      <c r="B8" s="47" t="s">
        <v>1117</v>
      </c>
      <c r="C8" s="45" t="s">
        <v>1118</v>
      </c>
      <c r="D8" s="45">
        <f t="shared" ref="D8:D15" si="0">ROUND($D$3*E8/$E$3,2)</f>
        <v>47032</v>
      </c>
      <c r="E8" s="48">
        <f>SUMIF('数据-基础表'!BB10:BK10,"地上",'数据-基础表'!BB5:BK5)</f>
        <v>8275.91</v>
      </c>
      <c r="F8" s="2640"/>
      <c r="G8" s="2641"/>
      <c r="H8" s="2641"/>
      <c r="I8" s="2640"/>
      <c r="J8" s="2640"/>
      <c r="K8" s="2640"/>
      <c r="L8" s="2640"/>
      <c r="M8" s="2640"/>
      <c r="N8" s="2640"/>
      <c r="O8" s="2640"/>
      <c r="P8" s="2640"/>
    </row>
    <row r="9" spans="1:16">
      <c r="A9" s="1632"/>
      <c r="B9" s="1633"/>
      <c r="C9" s="45" t="s">
        <v>1119</v>
      </c>
      <c r="D9" s="45">
        <f t="shared" si="0"/>
        <v>0</v>
      </c>
      <c r="E9" s="49">
        <v>0</v>
      </c>
      <c r="F9" s="2640"/>
      <c r="G9" s="2641"/>
      <c r="H9" s="2641"/>
      <c r="I9" s="2640"/>
      <c r="J9" s="2640"/>
      <c r="K9" s="2640"/>
      <c r="L9" s="2640"/>
      <c r="M9" s="2640"/>
      <c r="N9" s="2640"/>
      <c r="O9" s="2640"/>
      <c r="P9" s="2640"/>
    </row>
    <row r="10" spans="1:16">
      <c r="A10" s="1632"/>
      <c r="B10" s="1633"/>
      <c r="C10" s="45" t="s">
        <v>1128</v>
      </c>
      <c r="D10" s="45">
        <f t="shared" si="0"/>
        <v>0</v>
      </c>
      <c r="E10" s="48">
        <f>SUMPRODUCT(('数据-基础表'!BB10:BK10="地下")*('数据-基础表'!BB11:BK11="商业")*('数据-基础表'!BB5:BK5))</f>
        <v>0</v>
      </c>
      <c r="F10" s="2640"/>
      <c r="G10" s="2641"/>
      <c r="H10" s="2641"/>
      <c r="I10" s="2640"/>
      <c r="J10" s="2640"/>
      <c r="K10" s="2640"/>
      <c r="L10" s="2640"/>
      <c r="M10" s="2640"/>
      <c r="N10" s="2640"/>
      <c r="O10" s="2640"/>
      <c r="P10" s="2640"/>
    </row>
    <row r="11" spans="1:16">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75" thickBot="1">
      <c r="A16" s="1630"/>
      <c r="B16" s="1633"/>
      <c r="C16" s="47" t="s">
        <v>1123</v>
      </c>
      <c r="D16" s="47">
        <f>SUM(D8:D15)</f>
        <v>47032</v>
      </c>
      <c r="E16" s="50">
        <f>SUM(E8:E15)</f>
        <v>8275.91</v>
      </c>
      <c r="F16" s="2640"/>
      <c r="G16" s="2641"/>
      <c r="H16" s="1634" t="s">
        <v>1135</v>
      </c>
      <c r="I16" s="1635"/>
      <c r="J16" s="1126"/>
      <c r="K16" s="3595" t="s">
        <v>1135</v>
      </c>
      <c r="L16" s="3596"/>
      <c r="M16" s="3596"/>
      <c r="N16" s="3596"/>
      <c r="O16" s="3596"/>
      <c r="P16" s="3597"/>
    </row>
    <row r="17" spans="1:19" ht="15">
      <c r="A17" s="1636" t="s">
        <v>1136</v>
      </c>
      <c r="B17" s="1637" t="s">
        <v>1137</v>
      </c>
      <c r="C17" s="1638" t="s">
        <v>1138</v>
      </c>
      <c r="D17" s="1639" t="s">
        <v>1126</v>
      </c>
      <c r="E17" s="1640" t="s">
        <v>1127</v>
      </c>
      <c r="F17" s="1641"/>
      <c r="G17" s="1642"/>
      <c r="H17" s="1643" t="s">
        <v>1139</v>
      </c>
      <c r="I17" s="1644" t="s">
        <v>1124</v>
      </c>
      <c r="J17" s="1126"/>
      <c r="K17" s="3592" t="s">
        <v>1140</v>
      </c>
      <c r="L17" s="3593"/>
      <c r="M17" s="3594"/>
      <c r="N17" s="3592" t="s">
        <v>1141</v>
      </c>
      <c r="O17" s="3593"/>
      <c r="P17" s="3594"/>
      <c r="R17" s="1626" t="s">
        <v>1142</v>
      </c>
      <c r="S17" s="56"/>
    </row>
    <row r="18" spans="1:19" ht="15">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c r="A19" s="1653"/>
      <c r="B19" s="47" t="s">
        <v>1125</v>
      </c>
      <c r="C19" s="3444" t="s">
        <v>3666</v>
      </c>
      <c r="D19" s="45">
        <f>ROUND($D$3*E19/$E$3,2)</f>
        <v>47032</v>
      </c>
      <c r="E19" s="53">
        <f t="shared" ref="E19:E26" si="1">SUM(F19:G19)</f>
        <v>8275.91</v>
      </c>
      <c r="F19" s="2775">
        <f>'数据-基础表'!I5</f>
        <v>8275.91</v>
      </c>
      <c r="G19" s="2776"/>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47032</v>
      </c>
      <c r="S19" s="1014">
        <f t="shared" si="5"/>
        <v>8275.91</v>
      </c>
    </row>
    <row r="20" spans="1:19">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75" thickBot="1">
      <c r="A27" s="1656"/>
      <c r="B27" s="45"/>
      <c r="C27" s="1659" t="s">
        <v>1154</v>
      </c>
      <c r="D27" s="1127">
        <f>SUM(D19:D26)</f>
        <v>47032</v>
      </c>
      <c r="E27" s="1128">
        <f>IF(SUM(E19:E26)='数据-基础表'!BA5,SUM(E19:E26),IF(F27="地上面积有误","面积有误","地下面积有误"))</f>
        <v>8275.91</v>
      </c>
      <c r="F27" s="1127">
        <f>IF(SUM(F19:F26)=E8,SUM(F19:F26),"地上面积有误")</f>
        <v>8275.91</v>
      </c>
      <c r="G27" s="1129">
        <f>SUM(G19:G26)</f>
        <v>0</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47032</v>
      </c>
      <c r="S27" s="1013">
        <f>IF(SUM(S19:S26)=$E$3,SUM(S19:S26),SUM(S19:S26)&amp;"误差"&amp;ROUND(SUM(S19:S26)-E3,2))</f>
        <v>8275.91</v>
      </c>
    </row>
    <row r="28" spans="1:19">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5">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75" thickBot="1">
      <c r="A31" s="1662"/>
      <c r="B31" s="1663"/>
      <c r="C31" s="822" t="s">
        <v>1158</v>
      </c>
      <c r="D31" s="663">
        <f>D27+D30</f>
        <v>47032</v>
      </c>
      <c r="E31" s="663">
        <f>E27+E30</f>
        <v>8275.91</v>
      </c>
      <c r="F31" s="664">
        <f>F27+F30</f>
        <v>8275.91</v>
      </c>
      <c r="G31" s="665">
        <f>G27+G30</f>
        <v>0</v>
      </c>
      <c r="H31" s="2640"/>
      <c r="I31" s="2640"/>
      <c r="J31" s="2640"/>
      <c r="K31" s="2640"/>
      <c r="L31" s="2640"/>
      <c r="M31" s="2640"/>
      <c r="N31" s="2640"/>
      <c r="O31" s="2640"/>
      <c r="P31" s="2640"/>
    </row>
    <row r="32" spans="1:19">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0" sqref="O20"/>
    </sheetView>
  </sheetViews>
  <sheetFormatPr defaultColWidth="13.75" defaultRowHeight="12.75"/>
  <cols>
    <col min="1" max="1" width="20.875" style="1731" customWidth="1"/>
    <col min="2" max="2" width="12" style="1668" customWidth="1"/>
    <col min="3" max="3" width="12.75" style="1668" customWidth="1"/>
    <col min="4" max="4" width="9.125" style="1732"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7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3619</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1698" t="str">
        <f>'数据-汇总表'!C19</f>
        <v>德胜门高尔夫</v>
      </c>
      <c r="B6" s="1699" t="str">
        <f>IF(A6=0,"","经营性")</f>
        <v>经营性</v>
      </c>
      <c r="C6" s="1700" t="s">
        <v>673</v>
      </c>
      <c r="D6" s="845">
        <f>SUMIF(项目基本情况!C$12:I$12,C6,项目基本情况!C$14:I$14)</f>
        <v>40</v>
      </c>
      <c r="E6" s="844">
        <f>IF(B6="","",SUMIF(项目基本情况!C$12:I$12,C6,项目基本情况!C$13:I$13))</f>
        <v>52775</v>
      </c>
      <c r="F6" s="64">
        <f>SUMIF(项目基本情况!C$12:I$12,C6,项目基本情况!C$15:I$15)</f>
        <v>20.76</v>
      </c>
      <c r="G6" s="65">
        <f>IF(ISERROR(ROUND(POWER(1+H6,D6-F6)*(POWER(1+H6,F6)-1)/(POWER(1+H6,D6)-1),3)),0,ROUND(POWER(1+H6,D6-F6)*(POWER(1+H6,F6)-1)/(POWER(1+H6,D6)-1),3))</f>
        <v>0.74199999999999999</v>
      </c>
      <c r="H6" s="3445">
        <v>0.05</v>
      </c>
      <c r="I6" s="3445">
        <v>0.06</v>
      </c>
      <c r="J6" s="3446">
        <v>7.4999999999999997E-2</v>
      </c>
      <c r="K6" s="1017">
        <f>SUMIF('数据-汇总表'!C$19:C$33,A6,'数据-汇总表'!E$19:E$33)</f>
        <v>8275.91</v>
      </c>
      <c r="L6" s="720">
        <f>L26</f>
        <v>4329</v>
      </c>
      <c r="M6" s="67">
        <f t="shared" ref="M6:M14" si="0">ROUND(K6*L6/10000,0)</f>
        <v>3583</v>
      </c>
      <c r="N6" s="3447">
        <f>O26</f>
        <v>0.66500000000000004</v>
      </c>
      <c r="O6" s="67" t="str">
        <f>IF($N$5="成新度","——",ROUND(M6*N6,0))</f>
        <v>——</v>
      </c>
      <c r="P6" s="68" t="str">
        <f>IF($N$5="成新度","——",M6-O6)</f>
        <v>——</v>
      </c>
      <c r="Q6" s="3448">
        <v>0.15</v>
      </c>
      <c r="R6" s="69">
        <f ca="1">SUMIF('数据-汇总表'!C$19:C$33,A6,'数据-汇总表'!R$19:R$27)</f>
        <v>47032</v>
      </c>
      <c r="S6" s="51">
        <f>IF('数据-汇总表'!$I$17="按面积比例",SUMIF('数据-汇总表'!C$19:C$33,A6,'数据-汇总表'!K$19:K$33),SUMIF('数据-汇总表'!C$19:C$33,A6,'数据-汇总表'!N$19:N$33))</f>
        <v>0</v>
      </c>
      <c r="T6" s="1159">
        <f>ROUND($L$14*S6/10000,0)</f>
        <v>0</v>
      </c>
      <c r="U6" s="1654">
        <v>0.7</v>
      </c>
      <c r="V6" s="3502">
        <v>0</v>
      </c>
      <c r="W6" s="3502">
        <v>0.15</v>
      </c>
      <c r="X6" s="1027"/>
      <c r="Y6" s="71"/>
      <c r="Z6" s="72"/>
      <c r="AA6" s="66"/>
      <c r="AB6" s="66"/>
      <c r="AC6" s="1027"/>
      <c r="AD6" s="73"/>
      <c r="AE6" s="1028">
        <f ca="1">IF(AN6="",0,SUMIF(INDIRECT("'"&amp;AN6&amp;"'"&amp;"!E:E"),$AE$5,INDIRECT("'"&amp;AN6&amp;"'"&amp;"!F:F")))</f>
        <v>20.76</v>
      </c>
      <c r="AF6" s="1334"/>
      <c r="AG6" s="128">
        <f>IF(AF6="",0,AE6-AF6)</f>
        <v>0</v>
      </c>
      <c r="AH6" s="74"/>
      <c r="AI6" s="76">
        <v>365</v>
      </c>
      <c r="AJ6" s="77"/>
      <c r="AK6" s="78">
        <v>1.4999999999999999E-2</v>
      </c>
      <c r="AL6" s="79">
        <v>1.5E-3</v>
      </c>
      <c r="AM6" s="80">
        <v>0.02</v>
      </c>
      <c r="AN6" s="1701" t="s">
        <v>3664</v>
      </c>
      <c r="AO6" s="52">
        <f ca="1">SUMIF(INDIRECT("'"&amp;AN6&amp;"'"&amp;"!A:A"),"总价",INDIRECT("'"&amp;AN6&amp;"'"&amp;"!B:B"))</f>
        <v>1116</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5" t="s">
        <v>1209</v>
      </c>
      <c r="B16" s="88"/>
      <c r="C16" s="820"/>
      <c r="D16" s="1706"/>
      <c r="E16" s="88"/>
      <c r="F16" s="88"/>
      <c r="G16" s="89">
        <f>ROUND(SUMPRODUCT(G6:G13,K6:K13)/SUMPRODUCT((G6:G13&gt;0)*(K6:K13)),3)</f>
        <v>0.74199999999999999</v>
      </c>
      <c r="H16" s="90">
        <f>ROUND(SUMPRODUCT(H6:H13,K6:K13)/SUMPRODUCT((H6:H13&gt;0)*(K6:K13)),3)</f>
        <v>0.05</v>
      </c>
      <c r="I16" s="91"/>
      <c r="J16" s="91"/>
      <c r="K16" s="92">
        <f>SUM(K6:K15)</f>
        <v>8275.91</v>
      </c>
      <c r="L16" s="93">
        <f>ROUND(M16*10000/SUM(K6:K14),0)</f>
        <v>4329</v>
      </c>
      <c r="M16" s="93">
        <f>SUM(M6:M14)</f>
        <v>3583</v>
      </c>
      <c r="N16" s="94">
        <f>ROUND(SUMPRODUCT(M6:M14,N6:N14)/M16,3)</f>
        <v>0.66500000000000004</v>
      </c>
      <c r="O16" s="93">
        <f>SUM(O6:O14)</f>
        <v>0</v>
      </c>
      <c r="P16" s="93">
        <f>SUM(P6:P14)</f>
        <v>0</v>
      </c>
      <c r="Q16" s="95">
        <f>ROUND(SUMPRODUCT(Q6:Q13,K6:K13)/SUMPRODUCT((Q6:Q13&gt;0)*(K6:K13)),2)</f>
        <v>0.15</v>
      </c>
      <c r="R16" s="1021">
        <f ca="1">SUM(R6:R13)</f>
        <v>47032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3447"/>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08" t="s">
        <v>1211</v>
      </c>
      <c r="B19" s="3449">
        <v>0</v>
      </c>
      <c r="C19" s="2779" t="s">
        <v>2301</v>
      </c>
      <c r="D19" s="2656"/>
      <c r="E19" s="2653"/>
      <c r="F19" s="2653"/>
      <c r="G19" s="2653"/>
      <c r="H19" s="2653"/>
      <c r="I19" s="2653"/>
      <c r="J19" s="2653"/>
      <c r="K19" s="2652"/>
      <c r="L19" s="2652"/>
      <c r="M19" s="2651"/>
      <c r="N19" s="3503"/>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09" t="s">
        <v>1212</v>
      </c>
      <c r="B20" s="3450">
        <v>2</v>
      </c>
      <c r="C20" s="2780" t="s">
        <v>2299</v>
      </c>
      <c r="D20" s="2656"/>
      <c r="E20" s="2653"/>
      <c r="F20" s="2653"/>
      <c r="G20" s="2653"/>
      <c r="H20" s="2653"/>
      <c r="I20" s="2653"/>
      <c r="J20" s="2653"/>
      <c r="K20" s="2652"/>
      <c r="L20" s="2652"/>
      <c r="M20" s="2651"/>
      <c r="N20" s="3504"/>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10" t="s">
        <v>1213</v>
      </c>
      <c r="B21" s="3450">
        <f>B20</f>
        <v>2</v>
      </c>
      <c r="C21" s="2653"/>
      <c r="D21" s="2656"/>
      <c r="E21" s="2653"/>
      <c r="F21" s="2653"/>
      <c r="G21" s="2653"/>
      <c r="H21" s="2653"/>
      <c r="I21" s="2653"/>
      <c r="J21" s="2653"/>
      <c r="K21" s="2652"/>
      <c r="L21" s="2652"/>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09" t="s">
        <v>1214</v>
      </c>
      <c r="B22" s="103">
        <f>B19+B20</f>
        <v>2</v>
      </c>
      <c r="C22" s="2653"/>
      <c r="D22" s="2656"/>
      <c r="E22" s="2653"/>
      <c r="F22" s="2653"/>
      <c r="G22" s="2653"/>
      <c r="H22" s="2653"/>
      <c r="I22" s="2653"/>
      <c r="J22" s="2653"/>
      <c r="K22" s="2652"/>
      <c r="L22" s="2652"/>
      <c r="M22" s="3505" t="s">
        <v>3668</v>
      </c>
      <c r="N22" s="3505" t="s">
        <v>3669</v>
      </c>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10" t="s">
        <v>1215</v>
      </c>
      <c r="B23" s="103">
        <f>B19+B21</f>
        <v>2</v>
      </c>
      <c r="C23" s="2653"/>
      <c r="D23" s="2656"/>
      <c r="E23" s="2653"/>
      <c r="F23" s="2653"/>
      <c r="G23" s="2653"/>
      <c r="H23" s="2653"/>
      <c r="I23" s="2653"/>
      <c r="J23" s="3506" t="str">
        <f>'数据-基础表'!C13</f>
        <v>德胜门城楼及会所</v>
      </c>
      <c r="K23" s="3507">
        <f>'数据-基础表'!I13</f>
        <v>7331.91</v>
      </c>
      <c r="L23" s="3507">
        <v>4500</v>
      </c>
      <c r="M23" s="3504">
        <f>ROUND(1-(2023-1998)/60,2)</f>
        <v>0.57999999999999996</v>
      </c>
      <c r="N23" s="3504">
        <v>0.75</v>
      </c>
      <c r="O23" s="3504">
        <f>(M23+N23)/2</f>
        <v>0.66500000000000004</v>
      </c>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6" t="s">
        <v>3670</v>
      </c>
      <c r="K24" s="3507">
        <f>'数据-基础表'!I14+'数据-基础表'!I15</f>
        <v>944</v>
      </c>
      <c r="L24" s="3507">
        <v>3000</v>
      </c>
      <c r="M24" s="3504">
        <f>M23</f>
        <v>0.57999999999999996</v>
      </c>
      <c r="N24" s="3504">
        <f>N23</f>
        <v>0.75</v>
      </c>
      <c r="O24" s="3504">
        <f t="shared" ref="O24:O25" si="12">(M24+N24)/2</f>
        <v>0.66500000000000004</v>
      </c>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43"/>
      <c r="B25" s="1673"/>
      <c r="C25" s="2653"/>
      <c r="D25" s="2656"/>
      <c r="E25" s="2653"/>
      <c r="F25" s="2653"/>
      <c r="G25" s="2653"/>
      <c r="H25" s="2653"/>
      <c r="I25" s="2653"/>
      <c r="J25" s="3504"/>
      <c r="K25" s="3507">
        <v>0</v>
      </c>
      <c r="L25" s="3507">
        <v>0</v>
      </c>
      <c r="M25" s="3504">
        <v>0</v>
      </c>
      <c r="N25" s="3504">
        <v>0</v>
      </c>
      <c r="O25" s="3504">
        <f t="shared" si="12"/>
        <v>0</v>
      </c>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3504"/>
      <c r="K26" s="3507">
        <f>K23+K24+K25</f>
        <v>8275.91</v>
      </c>
      <c r="L26" s="3507">
        <f>ROUND(SUMPRODUCT(L23:L25,K23:K25)/K26,0)</f>
        <v>4329</v>
      </c>
      <c r="M26" s="3504">
        <f>M23</f>
        <v>0.57999999999999996</v>
      </c>
      <c r="N26" s="3504"/>
      <c r="O26" s="3508">
        <f>ROUND(SUMPRODUCT(O23:O25,K23:K25)/K26,3)</f>
        <v>0.66500000000000004</v>
      </c>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7.75">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7.75">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8.5" thickBot="1">
      <c r="A29" s="1716" t="s">
        <v>1222</v>
      </c>
      <c r="B29" s="3453">
        <f>ROUND(B28*K16/10000,0)</f>
        <v>27</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7">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7">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7.75"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25">
      <c r="A33" s="1713" t="s">
        <v>1226</v>
      </c>
      <c r="B33" s="3456">
        <v>0.03</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25">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25">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17" t="s">
        <v>1230</v>
      </c>
      <c r="B37" s="3458">
        <v>0.02</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15" t="s">
        <v>1231</v>
      </c>
      <c r="B38" s="726">
        <v>0.02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23" t="s">
        <v>1244</v>
      </c>
      <c r="B52" s="114">
        <f>SUMIF(A54:A63,B53,B54:B63)</f>
        <v>2</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15" t="s">
        <v>1245</v>
      </c>
      <c r="B53" s="1724" t="s">
        <v>184</v>
      </c>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25" t="s">
        <v>1247</v>
      </c>
      <c r="B54" s="75">
        <v>4</v>
      </c>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25" t="s">
        <v>1248</v>
      </c>
      <c r="B55" s="75">
        <v>2</v>
      </c>
      <c r="C55" s="2642">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72" customWidth="1"/>
    <col min="2" max="2" width="24.5" style="1558" customWidth="1"/>
    <col min="3" max="3" width="24.5" style="2491" customWidth="1"/>
    <col min="4" max="4" width="2.625" style="2491" customWidth="1"/>
    <col min="5" max="5" width="5.875" style="2491" customWidth="1"/>
    <col min="6" max="6" width="27" style="1558" customWidth="1"/>
    <col min="7" max="7" width="27" style="2492" customWidth="1"/>
    <col min="8" max="8" width="11.875" style="2472" customWidth="1"/>
    <col min="9" max="9" width="16.75" style="2473" customWidth="1"/>
    <col min="10" max="10" width="2.625" style="2472" customWidth="1"/>
    <col min="11" max="11" width="11.875" style="2472" customWidth="1"/>
    <col min="12" max="12" width="16.75" style="2473" customWidth="1"/>
    <col min="13" max="13" width="2.625" style="2472" customWidth="1"/>
    <col min="14" max="14" width="11.875" style="2472" customWidth="1"/>
    <col min="15" max="15" width="16.75" style="2473" customWidth="1"/>
    <col min="16" max="16" width="2.625" style="2472" customWidth="1"/>
    <col min="17" max="17" width="11.875" style="2472" customWidth="1"/>
    <col min="18" max="18" width="16.75" style="2474" customWidth="1"/>
    <col min="19" max="29" width="9" style="786"/>
    <col min="30" max="16384" width="9" style="1672"/>
  </cols>
  <sheetData>
    <row r="1" spans="1:29" s="2441" customFormat="1" ht="18.75" thickBot="1">
      <c r="A1" s="3607" t="s">
        <v>2282</v>
      </c>
      <c r="B1" s="3608"/>
      <c r="C1" s="3608"/>
      <c r="D1" s="3608"/>
      <c r="E1" s="3608"/>
      <c r="F1" s="3608"/>
      <c r="G1" s="3608"/>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2278</v>
      </c>
      <c r="D2" s="2445"/>
      <c r="E2" s="2442"/>
      <c r="F2" s="2446"/>
      <c r="G2" s="2444" t="s">
        <v>2279</v>
      </c>
      <c r="H2" s="786"/>
      <c r="I2" s="786"/>
      <c r="J2" s="786"/>
      <c r="K2" s="786"/>
      <c r="L2" s="786"/>
      <c r="M2" s="786"/>
      <c r="N2" s="786"/>
      <c r="O2" s="786"/>
      <c r="P2" s="786"/>
      <c r="Q2" s="786"/>
      <c r="R2" s="786"/>
    </row>
    <row r="3" spans="1:29" ht="25.5">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42.75">
      <c r="A4" s="2426"/>
      <c r="B4" s="313" t="s">
        <v>2254</v>
      </c>
      <c r="C4" s="3471" t="s">
        <v>3643</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71.25">
      <c r="A6" s="2426"/>
      <c r="B6" s="313" t="s">
        <v>2260</v>
      </c>
      <c r="C6" s="3471" t="s">
        <v>3638</v>
      </c>
      <c r="D6" s="2448"/>
      <c r="E6" s="2451"/>
      <c r="F6" s="313" t="s">
        <v>2261</v>
      </c>
      <c r="G6" s="2452" t="s">
        <v>2262</v>
      </c>
      <c r="H6" s="786"/>
      <c r="I6" s="786"/>
      <c r="J6" s="786"/>
      <c r="K6" s="786"/>
      <c r="L6" s="786"/>
      <c r="M6" s="786"/>
      <c r="N6" s="786"/>
      <c r="O6" s="786"/>
      <c r="P6" s="786"/>
      <c r="Q6" s="786"/>
      <c r="R6" s="786"/>
    </row>
    <row r="7" spans="1:29" ht="43.5" thickBot="1">
      <c r="A7" s="2426"/>
      <c r="B7" s="313" t="s">
        <v>2258</v>
      </c>
      <c r="C7" s="3471" t="s">
        <v>3639</v>
      </c>
      <c r="D7" s="2453"/>
      <c r="E7" s="2454"/>
      <c r="F7" s="2455" t="s">
        <v>2263</v>
      </c>
      <c r="G7" s="2456" t="s">
        <v>2264</v>
      </c>
      <c r="H7" s="786"/>
      <c r="I7" s="786"/>
      <c r="J7" s="786"/>
      <c r="K7" s="786"/>
      <c r="L7" s="786"/>
      <c r="M7" s="786"/>
      <c r="N7" s="786"/>
      <c r="O7" s="786"/>
      <c r="P7" s="786"/>
      <c r="Q7" s="786"/>
      <c r="R7" s="786"/>
    </row>
    <row r="8" spans="1:29" ht="28.5">
      <c r="A8" s="2426"/>
      <c r="B8" s="313" t="s">
        <v>2261</v>
      </c>
      <c r="C8" s="3471" t="s">
        <v>3640</v>
      </c>
      <c r="D8" s="2453"/>
      <c r="E8" s="2453"/>
      <c r="F8" s="2457"/>
      <c r="G8" s="2457"/>
      <c r="H8" s="786"/>
      <c r="I8" s="786"/>
      <c r="J8" s="786"/>
      <c r="K8" s="786"/>
      <c r="L8" s="786"/>
      <c r="M8" s="786"/>
      <c r="N8" s="786"/>
      <c r="O8" s="786"/>
      <c r="P8" s="786"/>
      <c r="Q8" s="786"/>
      <c r="R8" s="786"/>
    </row>
    <row r="9" spans="1:29" ht="42.75">
      <c r="A9" s="2426"/>
      <c r="B9" s="313" t="s">
        <v>2265</v>
      </c>
      <c r="C9" s="3472" t="s">
        <v>3641</v>
      </c>
      <c r="D9" s="2448"/>
      <c r="E9" s="2453"/>
      <c r="F9" s="2457"/>
      <c r="G9" s="2457"/>
      <c r="H9" s="786"/>
      <c r="I9" s="786"/>
      <c r="J9" s="786"/>
      <c r="K9" s="786"/>
      <c r="L9" s="786"/>
      <c r="M9" s="786"/>
      <c r="N9" s="786"/>
      <c r="O9" s="786"/>
      <c r="P9" s="786"/>
      <c r="Q9" s="786"/>
      <c r="R9" s="786"/>
    </row>
    <row r="10" spans="1:29" s="2462" customFormat="1" ht="15" thickBot="1">
      <c r="A10" s="2427"/>
      <c r="B10" s="2458" t="s">
        <v>2266</v>
      </c>
      <c r="C10" s="3473" t="s">
        <v>3642</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8">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75" thickBot="1">
      <c r="A13" s="2471" t="s">
        <v>2283</v>
      </c>
      <c r="B13" s="2465"/>
      <c r="C13" s="2465"/>
      <c r="D13" s="2463"/>
      <c r="E13" s="2465"/>
      <c r="F13" s="2465"/>
      <c r="G13" s="2465"/>
    </row>
    <row r="14" spans="1:29" ht="15" thickBot="1">
      <c r="A14" s="2475"/>
      <c r="B14" s="2475"/>
      <c r="C14" s="2476" t="s">
        <v>2267</v>
      </c>
      <c r="D14" s="2448"/>
      <c r="E14" s="2477"/>
      <c r="F14" s="2477"/>
      <c r="G14" s="2444" t="s">
        <v>2268</v>
      </c>
    </row>
    <row r="15" spans="1:29" ht="25.5">
      <c r="A15" s="2428" t="s">
        <v>2269</v>
      </c>
      <c r="B15" s="2478" t="s">
        <v>2252</v>
      </c>
      <c r="C15" s="2479">
        <f>C3</f>
        <v>0</v>
      </c>
      <c r="D15" s="2448"/>
      <c r="E15" s="2429" t="s">
        <v>2270</v>
      </c>
      <c r="F15" s="2478" t="s">
        <v>2271</v>
      </c>
      <c r="G15" s="2480" t="str">
        <f>G3</f>
        <v>估价对象位于XX开发区，园区建设成熟度XX，产业集聚程度XX</v>
      </c>
    </row>
    <row r="16" spans="1:29" ht="38.25">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63.75">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5.5">
      <c r="A19" s="2430"/>
      <c r="B19" s="2483" t="s">
        <v>2273</v>
      </c>
      <c r="C19" s="2485"/>
      <c r="D19" s="2448"/>
      <c r="E19" s="2431"/>
      <c r="F19" s="313" t="s">
        <v>2258</v>
      </c>
      <c r="G19" s="2484" t="str">
        <f>G5</f>
        <v>估价对象所在区域公共配套设施齐备情况</v>
      </c>
    </row>
    <row r="20" spans="1:18" ht="38.25">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8.25">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5"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5"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0" sqref="L20"/>
    </sheetView>
  </sheetViews>
  <sheetFormatPr defaultColWidth="9" defaultRowHeight="13.5"/>
  <cols>
    <col min="1" max="1" width="25" style="2494" customWidth="1"/>
    <col min="2" max="9" width="15.75" style="2494" customWidth="1"/>
    <col min="10" max="16384" width="9" style="2494"/>
  </cols>
  <sheetData>
    <row r="1" spans="1:11" ht="16.5">
      <c r="A1" s="2493" t="s">
        <v>665</v>
      </c>
      <c r="B1" s="2493">
        <f>SUM(B14:B23)</f>
        <v>8275.91</v>
      </c>
      <c r="C1" s="2666"/>
      <c r="D1" s="2666"/>
      <c r="E1" s="2666"/>
      <c r="F1" s="2666"/>
      <c r="G1" s="2667"/>
      <c r="H1" s="2668"/>
      <c r="I1" s="2668"/>
      <c r="J1" s="2668"/>
      <c r="K1" s="2668"/>
    </row>
    <row r="2" spans="1:11" ht="16.5">
      <c r="A2" s="2493" t="s">
        <v>653</v>
      </c>
      <c r="B2" s="2493">
        <f>SUM(C14:C23)</f>
        <v>47032</v>
      </c>
      <c r="C2" s="2666"/>
      <c r="D2" s="2666"/>
      <c r="E2" s="2666"/>
      <c r="F2" s="2666"/>
      <c r="G2" s="2667"/>
      <c r="H2" s="2668"/>
      <c r="I2" s="2668"/>
      <c r="J2" s="2668"/>
      <c r="K2" s="2668"/>
    </row>
    <row r="3" spans="1:11" ht="16.5">
      <c r="A3" s="2493" t="s">
        <v>662</v>
      </c>
      <c r="B3" s="2495">
        <f>项目基本情况!D3</f>
        <v>45194</v>
      </c>
      <c r="C3" s="2666"/>
      <c r="D3" s="2666"/>
      <c r="E3" s="2666"/>
      <c r="F3" s="2666"/>
      <c r="G3" s="2667"/>
      <c r="H3" s="2668"/>
      <c r="I3" s="2668"/>
      <c r="J3" s="2668"/>
      <c r="K3" s="2668"/>
    </row>
    <row r="4" spans="1:11" ht="33">
      <c r="A4" s="2493" t="s">
        <v>661</v>
      </c>
      <c r="B4" s="2493" t="s">
        <v>660</v>
      </c>
      <c r="C4" s="2493" t="s">
        <v>659</v>
      </c>
      <c r="D4" s="2493" t="s">
        <v>658</v>
      </c>
      <c r="E4" s="2666"/>
      <c r="F4" s="2667"/>
      <c r="G4" s="2667"/>
      <c r="H4" s="2668"/>
      <c r="I4" s="2668"/>
      <c r="J4" s="2668"/>
      <c r="K4" s="2668"/>
    </row>
    <row r="5" spans="1:11" ht="16.5">
      <c r="A5" s="2493" t="s">
        <v>657</v>
      </c>
      <c r="B5" s="2493">
        <f ca="1">SUM(D14:D23)</f>
        <v>2874</v>
      </c>
      <c r="C5" s="2493">
        <f ca="1">IF(B5=D14,结果表!H102,ROUND(B5*10000/$B$1,0))</f>
        <v>3473</v>
      </c>
      <c r="D5" s="2493">
        <f ca="1">ROUND(B5*10000/$B$2,0)</f>
        <v>611</v>
      </c>
      <c r="E5" s="2666"/>
      <c r="F5" s="2667"/>
      <c r="G5" s="2667"/>
      <c r="H5" s="2668"/>
      <c r="I5" s="2668"/>
      <c r="J5" s="2668"/>
      <c r="K5" s="2668"/>
    </row>
    <row r="6" spans="1:11" ht="16.5">
      <c r="A6" s="2493" t="s">
        <v>656</v>
      </c>
      <c r="B6" s="2493">
        <f>SUM(G14:G23)</f>
        <v>0</v>
      </c>
      <c r="C6" s="2493">
        <f ca="1">IF(B6=G14,结果表!H108,ROUND(B6*10000/$B$1,0))</f>
        <v>3473</v>
      </c>
      <c r="D6" s="2493">
        <f>ROUND(B6*10000/$B$2,0)</f>
        <v>0</v>
      </c>
      <c r="E6" s="2666"/>
      <c r="F6" s="2667"/>
      <c r="G6" s="2667"/>
      <c r="H6" s="2668"/>
      <c r="I6" s="2668"/>
      <c r="J6" s="2668"/>
      <c r="K6" s="2668"/>
    </row>
    <row r="7" spans="1:11" ht="16.5">
      <c r="A7" s="2493" t="s">
        <v>664</v>
      </c>
      <c r="B7" s="2493">
        <f>SUM(H14:H23)</f>
        <v>0</v>
      </c>
      <c r="C7" s="2493" t="str">
        <f>IF(B7=H14,结果表!H110,ROUND(B7*10000/$B$1,0))</f>
        <v>——</v>
      </c>
      <c r="D7" s="2493">
        <f>ROUND(B7*10000/$B$2,0)</f>
        <v>0</v>
      </c>
      <c r="E7" s="2666"/>
      <c r="F7" s="2667"/>
      <c r="G7" s="2667"/>
      <c r="H7" s="2668"/>
      <c r="I7" s="2668"/>
      <c r="J7" s="2668"/>
      <c r="K7" s="2668"/>
    </row>
    <row r="8" spans="1:11" ht="16.5">
      <c r="A8" s="2493" t="s">
        <v>587</v>
      </c>
      <c r="B8" s="2493">
        <f>SUM(I14:I23)</f>
        <v>0</v>
      </c>
      <c r="C8" s="2493" t="str">
        <f>IF(B8=I14,结果表!H112,ROUND(B8*10000/$B$1,0))</f>
        <v>——</v>
      </c>
      <c r="D8" s="2493">
        <f>ROUND(B8*10000/$B$2,0)</f>
        <v>0</v>
      </c>
      <c r="E8" s="2666"/>
      <c r="F8" s="2667"/>
      <c r="G8" s="2667"/>
      <c r="H8" s="2668"/>
      <c r="I8" s="2668"/>
      <c r="J8" s="2668"/>
      <c r="K8" s="2668"/>
    </row>
    <row r="9" spans="1:11" ht="16.5">
      <c r="A9" s="2493" t="s">
        <v>655</v>
      </c>
      <c r="B9" s="2501"/>
      <c r="C9" s="2666"/>
      <c r="D9" s="2666"/>
      <c r="E9" s="2666"/>
      <c r="F9" s="2667"/>
      <c r="G9" s="2667"/>
      <c r="H9" s="2668"/>
      <c r="I9" s="2668"/>
      <c r="J9" s="2668"/>
      <c r="K9" s="2668"/>
    </row>
    <row r="10" spans="1:11" ht="16.5">
      <c r="A10" s="2493" t="s">
        <v>654</v>
      </c>
      <c r="B10" s="2493">
        <f>IF(E10="",0,ROUND(B1*(E10*365/G10)/10000,0))</f>
        <v>0</v>
      </c>
      <c r="C10" s="2493" t="s">
        <v>3349</v>
      </c>
      <c r="D10" s="2493" t="s">
        <v>3350</v>
      </c>
      <c r="E10" s="3415"/>
      <c r="F10" s="3419" t="s">
        <v>3351</v>
      </c>
      <c r="G10" s="3416"/>
      <c r="H10" s="2668"/>
      <c r="I10" s="2668"/>
      <c r="J10" s="2668"/>
      <c r="K10" s="2668"/>
    </row>
    <row r="11" spans="1:11" ht="16.5">
      <c r="A11" s="2493" t="s">
        <v>670</v>
      </c>
      <c r="B11" s="2501"/>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496" t="s">
        <v>669</v>
      </c>
      <c r="B13" s="2497" t="s">
        <v>666</v>
      </c>
      <c r="C13" s="2497" t="s">
        <v>668</v>
      </c>
      <c r="D13" s="2497" t="s">
        <v>667</v>
      </c>
      <c r="E13" s="2493" t="s">
        <v>659</v>
      </c>
      <c r="F13" s="2493" t="s">
        <v>658</v>
      </c>
      <c r="G13" s="2497" t="s">
        <v>652</v>
      </c>
      <c r="H13" s="2497" t="s">
        <v>663</v>
      </c>
      <c r="I13" s="2497" t="s">
        <v>651</v>
      </c>
      <c r="J13" s="2667"/>
      <c r="K13" s="2668"/>
    </row>
    <row r="14" spans="1:11" ht="16.5">
      <c r="A14" s="2498" t="s">
        <v>650</v>
      </c>
      <c r="B14" s="2499">
        <f>结果表!B118</f>
        <v>8275.91</v>
      </c>
      <c r="C14" s="2499">
        <f>结果表!C118</f>
        <v>47032</v>
      </c>
      <c r="D14" s="2499">
        <f ca="1">结果表!H118</f>
        <v>2874</v>
      </c>
      <c r="E14" s="2499">
        <f ca="1">ROUND(D14*10000/B14,0)</f>
        <v>3473</v>
      </c>
      <c r="F14" s="2499">
        <f ca="1">ROUND(D14*10000/C14,0)</f>
        <v>611</v>
      </c>
      <c r="G14" s="2499"/>
      <c r="H14" s="2499"/>
      <c r="I14" s="2499"/>
      <c r="J14" s="2667"/>
      <c r="K14" s="2668"/>
    </row>
    <row r="15" spans="1:11" ht="16.5">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6.5">
      <c r="A16" s="2498" t="s">
        <v>648</v>
      </c>
      <c r="B16" s="2500"/>
      <c r="C16" s="2500"/>
      <c r="D16" s="2500"/>
      <c r="E16" s="2499" t="e">
        <f t="shared" si="0"/>
        <v>#DIV/0!</v>
      </c>
      <c r="F16" s="2499" t="e">
        <f t="shared" si="1"/>
        <v>#DIV/0!</v>
      </c>
      <c r="G16" s="1317"/>
      <c r="H16" s="1317"/>
      <c r="I16" s="2500"/>
      <c r="J16" s="2668"/>
      <c r="K16" s="2668"/>
    </row>
    <row r="17" spans="1:11" ht="16.5">
      <c r="A17" s="2498" t="s">
        <v>647</v>
      </c>
      <c r="B17" s="2500"/>
      <c r="C17" s="2500"/>
      <c r="D17" s="2500"/>
      <c r="E17" s="2499" t="e">
        <f t="shared" si="0"/>
        <v>#DIV/0!</v>
      </c>
      <c r="F17" s="2499" t="e">
        <f t="shared" si="1"/>
        <v>#DIV/0!</v>
      </c>
      <c r="G17" s="1317"/>
      <c r="H17" s="1317"/>
      <c r="I17" s="2500"/>
      <c r="J17" s="2668"/>
      <c r="K17" s="2668"/>
    </row>
    <row r="18" spans="1:11" ht="16.5">
      <c r="A18" s="2498" t="s">
        <v>646</v>
      </c>
      <c r="B18" s="2500"/>
      <c r="C18" s="2500"/>
      <c r="D18" s="2500"/>
      <c r="E18" s="2499" t="e">
        <f t="shared" si="0"/>
        <v>#DIV/0!</v>
      </c>
      <c r="F18" s="2499" t="e">
        <f t="shared" si="1"/>
        <v>#DIV/0!</v>
      </c>
      <c r="G18" s="2500"/>
      <c r="H18" s="2500"/>
      <c r="I18" s="2500"/>
      <c r="J18" s="2668"/>
      <c r="K18" s="2668"/>
    </row>
    <row r="19" spans="1:11" ht="16.5">
      <c r="A19" s="2498" t="s">
        <v>645</v>
      </c>
      <c r="B19" s="2500"/>
      <c r="C19" s="2500"/>
      <c r="D19" s="2500"/>
      <c r="E19" s="2499" t="e">
        <f t="shared" si="0"/>
        <v>#DIV/0!</v>
      </c>
      <c r="F19" s="2499" t="e">
        <f t="shared" si="1"/>
        <v>#DIV/0!</v>
      </c>
      <c r="G19" s="2500"/>
      <c r="H19" s="2500"/>
      <c r="I19" s="2500"/>
      <c r="J19" s="2668"/>
      <c r="K19" s="2668"/>
    </row>
    <row r="20" spans="1:11" ht="16.5">
      <c r="A20" s="2498" t="s">
        <v>644</v>
      </c>
      <c r="B20" s="2500"/>
      <c r="C20" s="2500"/>
      <c r="D20" s="2500"/>
      <c r="E20" s="2499" t="e">
        <f t="shared" si="0"/>
        <v>#DIV/0!</v>
      </c>
      <c r="F20" s="2499" t="e">
        <f t="shared" si="1"/>
        <v>#DIV/0!</v>
      </c>
      <c r="G20" s="2500"/>
      <c r="H20" s="2500"/>
      <c r="I20" s="2500"/>
      <c r="J20" s="2668"/>
      <c r="K20" s="2668"/>
    </row>
    <row r="21" spans="1:11" ht="16.5">
      <c r="A21" s="2498" t="s">
        <v>643</v>
      </c>
      <c r="B21" s="2500"/>
      <c r="C21" s="2500"/>
      <c r="D21" s="2500"/>
      <c r="E21" s="2499" t="e">
        <f t="shared" si="0"/>
        <v>#DIV/0!</v>
      </c>
      <c r="F21" s="2499" t="e">
        <f t="shared" si="1"/>
        <v>#DIV/0!</v>
      </c>
      <c r="G21" s="2500"/>
      <c r="H21" s="2500"/>
      <c r="I21" s="2500"/>
      <c r="J21" s="2668"/>
      <c r="K21" s="2668"/>
    </row>
    <row r="22" spans="1:11" ht="16.5">
      <c r="A22" s="2498" t="s">
        <v>642</v>
      </c>
      <c r="B22" s="2500"/>
      <c r="C22" s="2500"/>
      <c r="D22" s="2500"/>
      <c r="E22" s="2499" t="e">
        <f t="shared" si="0"/>
        <v>#DIV/0!</v>
      </c>
      <c r="F22" s="2499" t="e">
        <f t="shared" si="1"/>
        <v>#DIV/0!</v>
      </c>
      <c r="G22" s="2500"/>
      <c r="H22" s="2500"/>
      <c r="I22" s="2500"/>
      <c r="J22" s="2668"/>
      <c r="K22" s="2668"/>
    </row>
    <row r="23" spans="1:11" ht="16.5">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H30" sqref="H30"/>
    </sheetView>
  </sheetViews>
  <sheetFormatPr defaultColWidth="12.625" defaultRowHeight="21.75" customHeight="1"/>
  <cols>
    <col min="1" max="2" width="12.625" style="1739"/>
    <col min="3" max="4" width="12.625" style="1739" customWidth="1"/>
    <col min="5" max="9" width="12.625" style="1739"/>
    <col min="10" max="11" width="12.625" style="712" customWidth="1"/>
    <col min="12" max="12" width="12.625" style="712"/>
    <col min="13" max="13" width="14.125" style="712" bestFit="1" customWidth="1"/>
    <col min="14" max="26" width="12.625" style="712"/>
    <col min="27" max="35" width="12.625" style="1738"/>
    <col min="36" max="16384" width="12.625" style="1739"/>
  </cols>
  <sheetData>
    <row r="1" spans="1:12" ht="21.75" customHeight="1" thickBot="1">
      <c r="A1" s="1623" t="s">
        <v>1262</v>
      </c>
      <c r="B1" s="1733"/>
      <c r="C1" s="1734" t="s">
        <v>3665</v>
      </c>
      <c r="D1" s="1733"/>
      <c r="E1" s="1733"/>
      <c r="F1" s="1735" t="s">
        <v>1263</v>
      </c>
      <c r="G1" s="1547" t="s">
        <v>3534</v>
      </c>
      <c r="H1" s="1736" t="str">
        <f>IF(G1="现房","——","估价对象范围")</f>
        <v>——</v>
      </c>
      <c r="I1" s="1737" t="s">
        <v>3659</v>
      </c>
    </row>
    <row r="2" spans="1:12" ht="21.75" customHeight="1" thickBot="1">
      <c r="A2" s="3643" t="str">
        <f>项目基本情况!S2</f>
        <v>河北省廊坊市香河开发区第一城内房地产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40" t="s">
        <v>1265</v>
      </c>
      <c r="B4" s="1741" t="s">
        <v>1266</v>
      </c>
      <c r="C4" s="1742" t="s">
        <v>3660</v>
      </c>
      <c r="D4" s="1742" t="s">
        <v>3664</v>
      </c>
      <c r="E4" s="3649" t="s">
        <v>1267</v>
      </c>
      <c r="F4" s="3650"/>
      <c r="G4" s="3650"/>
      <c r="H4" s="3650"/>
      <c r="I4" s="3651"/>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3" t="s">
        <v>1268</v>
      </c>
      <c r="B5" s="3610">
        <v>25</v>
      </c>
      <c r="C5" s="3626">
        <v>23</v>
      </c>
      <c r="D5" s="3646">
        <v>21</v>
      </c>
      <c r="E5" s="121" t="s">
        <v>1269</v>
      </c>
      <c r="F5" s="1743"/>
      <c r="G5" s="1743"/>
      <c r="H5" s="1743"/>
      <c r="I5" s="1359"/>
    </row>
    <row r="6" spans="1:12" ht="12.75" customHeight="1">
      <c r="A6" s="3623"/>
      <c r="B6" s="3610"/>
      <c r="C6" s="3627"/>
      <c r="D6" s="3646"/>
      <c r="E6" s="121" t="s">
        <v>1270</v>
      </c>
      <c r="F6" s="1743"/>
      <c r="G6" s="1743"/>
      <c r="H6" s="1743"/>
      <c r="I6" s="1359"/>
    </row>
    <row r="7" spans="1:12" ht="12.75" customHeight="1">
      <c r="A7" s="3623"/>
      <c r="B7" s="3610"/>
      <c r="C7" s="3628"/>
      <c r="D7" s="3646"/>
      <c r="E7" s="121" t="s">
        <v>1271</v>
      </c>
      <c r="F7" s="1743"/>
      <c r="G7" s="1743"/>
      <c r="H7" s="1743"/>
      <c r="I7" s="1359"/>
    </row>
    <row r="8" spans="1:12" ht="12.75" customHeight="1">
      <c r="A8" s="3623" t="s">
        <v>1272</v>
      </c>
      <c r="B8" s="3610">
        <v>15</v>
      </c>
      <c r="C8" s="3626">
        <v>11</v>
      </c>
      <c r="D8" s="3646">
        <v>10</v>
      </c>
      <c r="E8" s="121" t="s">
        <v>1273</v>
      </c>
      <c r="F8" s="1743"/>
      <c r="G8" s="1743"/>
      <c r="H8" s="1743"/>
      <c r="I8" s="1359"/>
    </row>
    <row r="9" spans="1:12" ht="12.75" customHeight="1">
      <c r="A9" s="3623"/>
      <c r="B9" s="3610"/>
      <c r="C9" s="3628"/>
      <c r="D9" s="3646"/>
      <c r="E9" s="121" t="s">
        <v>1274</v>
      </c>
      <c r="F9" s="1743"/>
      <c r="G9" s="1743"/>
      <c r="H9" s="1743"/>
      <c r="I9" s="1359"/>
    </row>
    <row r="10" spans="1:12" ht="12.75" customHeight="1">
      <c r="A10" s="3623" t="s">
        <v>1275</v>
      </c>
      <c r="B10" s="3610">
        <v>15</v>
      </c>
      <c r="C10" s="3626">
        <v>10</v>
      </c>
      <c r="D10" s="3646">
        <v>9</v>
      </c>
      <c r="E10" s="121" t="s">
        <v>1276</v>
      </c>
      <c r="F10" s="1743"/>
      <c r="G10" s="1743"/>
      <c r="H10" s="1743"/>
      <c r="I10" s="1359"/>
    </row>
    <row r="11" spans="1:12" ht="12.75" customHeight="1">
      <c r="A11" s="3623"/>
      <c r="B11" s="3610"/>
      <c r="C11" s="3628"/>
      <c r="D11" s="3646"/>
      <c r="E11" s="121" t="s">
        <v>1277</v>
      </c>
      <c r="F11" s="1743"/>
      <c r="G11" s="1743"/>
      <c r="H11" s="1743"/>
      <c r="I11" s="1359"/>
    </row>
    <row r="12" spans="1:12" ht="12.75" customHeight="1">
      <c r="A12" s="3623" t="s">
        <v>1278</v>
      </c>
      <c r="B12" s="3610">
        <v>15</v>
      </c>
      <c r="C12" s="3626">
        <v>9</v>
      </c>
      <c r="D12" s="3646">
        <v>12</v>
      </c>
      <c r="E12" s="121" t="s">
        <v>1279</v>
      </c>
      <c r="F12" s="1743"/>
      <c r="G12" s="1743"/>
      <c r="H12" s="1743"/>
      <c r="I12" s="1359"/>
    </row>
    <row r="13" spans="1:12" ht="12.75" customHeight="1">
      <c r="A13" s="3623"/>
      <c r="B13" s="3610"/>
      <c r="C13" s="3628"/>
      <c r="D13" s="3646"/>
      <c r="E13" s="121" t="s">
        <v>1280</v>
      </c>
      <c r="F13" s="1743"/>
      <c r="G13" s="1743"/>
      <c r="H13" s="1743"/>
      <c r="I13" s="1359"/>
    </row>
    <row r="14" spans="1:12" ht="12.75" customHeight="1">
      <c r="A14" s="3623" t="s">
        <v>1281</v>
      </c>
      <c r="B14" s="3610">
        <v>30</v>
      </c>
      <c r="C14" s="3626">
        <v>22</v>
      </c>
      <c r="D14" s="3646">
        <v>23</v>
      </c>
      <c r="E14" s="121" t="s">
        <v>1282</v>
      </c>
      <c r="F14" s="1743"/>
      <c r="G14" s="1743"/>
      <c r="H14" s="1743"/>
      <c r="I14" s="1359"/>
    </row>
    <row r="15" spans="1:12" ht="12.75" customHeight="1">
      <c r="A15" s="3623"/>
      <c r="B15" s="3610"/>
      <c r="C15" s="3627"/>
      <c r="D15" s="3646"/>
      <c r="E15" s="121" t="s">
        <v>1283</v>
      </c>
      <c r="F15" s="1743"/>
      <c r="G15" s="1743"/>
      <c r="H15" s="1743"/>
      <c r="I15" s="1359"/>
    </row>
    <row r="16" spans="1:12" ht="12.75" customHeight="1">
      <c r="A16" s="3623"/>
      <c r="B16" s="3610"/>
      <c r="C16" s="3628"/>
      <c r="D16" s="3646"/>
      <c r="E16" s="121" t="s">
        <v>1284</v>
      </c>
      <c r="F16" s="1743"/>
      <c r="G16" s="1743"/>
      <c r="H16" s="1743"/>
      <c r="I16" s="1359"/>
    </row>
    <row r="17" spans="1:36" ht="15">
      <c r="A17" s="1744" t="s">
        <v>1285</v>
      </c>
      <c r="B17" s="56"/>
      <c r="C17" s="122">
        <f>SUM(C5:C16)</f>
        <v>75</v>
      </c>
      <c r="D17" s="122">
        <f>SUM(D5:D16)</f>
        <v>75</v>
      </c>
      <c r="E17" s="119"/>
      <c r="F17" s="119"/>
      <c r="G17" s="119"/>
      <c r="H17" s="119"/>
      <c r="I17" s="119"/>
      <c r="K17" s="292"/>
      <c r="L17" s="292" t="s">
        <v>1286</v>
      </c>
      <c r="M17" s="292" t="s">
        <v>1287</v>
      </c>
    </row>
    <row r="18" spans="1:36" ht="31.9" customHeight="1" thickBot="1">
      <c r="A18" s="1745" t="s">
        <v>1288</v>
      </c>
      <c r="B18" s="1746"/>
      <c r="C18" s="123">
        <f>ROUND(C17/SUM(C17:D17),2)</f>
        <v>0.5</v>
      </c>
      <c r="D18" s="123">
        <f>1-C18</f>
        <v>0.5</v>
      </c>
      <c r="E18" s="3633" t="s">
        <v>2131</v>
      </c>
      <c r="F18" s="3634"/>
      <c r="G18" s="3634"/>
      <c r="H18" s="3634"/>
      <c r="I18" s="3634"/>
      <c r="K18" s="292" t="s">
        <v>1289</v>
      </c>
      <c r="L18" s="292">
        <f>IF(C1="",'数据-汇总表'!E3,SUMIF(项目类型,C1,'数据-汇总表'!E17:E26)+SUMIF(项目类型,C1,'数据-汇总表'!I17:I26))</f>
        <v>8275.91</v>
      </c>
      <c r="M18" s="292">
        <f>IF(C1="",'数据-汇总表'!E3,SUMIF(项目类型,C1,'数据-汇总表'!E17:E26))</f>
        <v>8275.91</v>
      </c>
    </row>
    <row r="19" spans="1:36" ht="15">
      <c r="A19" s="1747" t="s">
        <v>1290</v>
      </c>
      <c r="B19" s="1748" t="s">
        <v>1291</v>
      </c>
      <c r="C19" s="124">
        <f ca="1">SUMIF(INDIRECT("'"&amp;C4&amp;"'"&amp;"!A:A"),结果表!B19,INDIRECT("'"&amp;C4&amp;"'"&amp;"!B:B"))</f>
        <v>4632</v>
      </c>
      <c r="D19" s="125">
        <f ca="1">SUMIF(INDIRECT("'"&amp;D4&amp;"'"&amp;"!A:A"),结果表!B19,INDIRECT("'"&amp;D4&amp;"'"&amp;"!B:B"))</f>
        <v>1116</v>
      </c>
      <c r="E19" s="1747" t="s">
        <v>1292</v>
      </c>
      <c r="F19" s="1748" t="s">
        <v>1291</v>
      </c>
      <c r="G19" s="126">
        <f ca="1">ROUND(C19*$C$18+D19*$D$18,0)</f>
        <v>2874</v>
      </c>
      <c r="H19" s="1749" t="s">
        <v>1293</v>
      </c>
      <c r="I19" s="119"/>
      <c r="K19" s="292" t="s">
        <v>1294</v>
      </c>
      <c r="L19" s="292">
        <f>IF(C1="",'数据-汇总表'!D3,SUMIF(项目类型,C1,'数据-汇总表'!D17:D26)+SUMIF(项目类型,C1,'数据-汇总表'!H17:H27))</f>
        <v>47032</v>
      </c>
      <c r="M19" s="292">
        <f>IF(C1="",'数据-汇总表'!D3,SUMIF(项目类型,C1,'数据-汇总表'!D17:D26))</f>
        <v>47032</v>
      </c>
    </row>
    <row r="20" spans="1:36" ht="15">
      <c r="A20" s="1750"/>
      <c r="B20" s="1013" t="s">
        <v>1295</v>
      </c>
      <c r="C20" s="127">
        <f ca="1">SUMIF(INDIRECT("'"&amp;C4&amp;"'"&amp;"!A:A"),结果表!B20,INDIRECT("'"&amp;C4&amp;"'"&amp;"!B:B"))</f>
        <v>5597</v>
      </c>
      <c r="D20" s="128">
        <f ca="1">SUMIF(INDIRECT("'"&amp;D4&amp;"'"&amp;"!A:A"),结果表!B20,INDIRECT("'"&amp;D4&amp;"'"&amp;"!B:B"))</f>
        <v>1348</v>
      </c>
      <c r="E20" s="1750"/>
      <c r="F20" s="1013" t="s">
        <v>1295</v>
      </c>
      <c r="G20" s="129">
        <f ca="1">ROUND(C20*$C$18+D20*$D$18,0)</f>
        <v>3473</v>
      </c>
      <c r="H20" s="795" t="s">
        <v>1296</v>
      </c>
      <c r="I20" s="119"/>
    </row>
    <row r="21" spans="1:36" ht="15" customHeight="1" thickBot="1">
      <c r="A21" s="815"/>
      <c r="B21" s="1751" t="s">
        <v>1297</v>
      </c>
      <c r="C21" s="706">
        <f ca="1">ROUND(C19*10000/L19,0)</f>
        <v>985</v>
      </c>
      <c r="D21" s="707">
        <f ca="1">ROUND(D19*10000/L19,0)</f>
        <v>237</v>
      </c>
      <c r="E21" s="815"/>
      <c r="F21" s="1751" t="s">
        <v>1297</v>
      </c>
      <c r="G21" s="130">
        <f ca="1">ROUND(G19*10000/L19,0)</f>
        <v>611</v>
      </c>
      <c r="H21" s="1752" t="s">
        <v>1296</v>
      </c>
      <c r="I21" s="119"/>
    </row>
    <row r="22" spans="1:36" ht="15" thickBot="1">
      <c r="A22" s="1674" t="s">
        <v>1298</v>
      </c>
      <c r="B22" s="1753"/>
      <c r="C22" s="1754"/>
      <c r="D22" s="708">
        <f ca="1">IF(C19&lt;D19,D19/C19-1,C19/D19-1)</f>
        <v>3.150537634408602</v>
      </c>
      <c r="E22" s="119"/>
      <c r="F22" s="119"/>
      <c r="G22" s="119"/>
      <c r="H22" s="119"/>
      <c r="I22" s="119"/>
    </row>
    <row r="23" spans="1:36" ht="13.5" thickBot="1">
      <c r="A23" s="1733"/>
      <c r="B23" s="1733"/>
      <c r="C23" s="1733"/>
      <c r="D23" s="1733"/>
      <c r="E23" s="119"/>
      <c r="F23" s="119"/>
      <c r="G23" s="119"/>
      <c r="H23" s="119"/>
      <c r="I23" s="119"/>
    </row>
    <row r="24" spans="1:36" ht="14.25">
      <c r="A24" s="3617" t="s">
        <v>1299</v>
      </c>
      <c r="B24" s="1748" t="s">
        <v>1291</v>
      </c>
      <c r="C24" s="126">
        <f>IF(B30=0,0,D30)</f>
        <v>0</v>
      </c>
      <c r="D24" s="1755"/>
      <c r="E24" s="119"/>
      <c r="F24" s="119"/>
      <c r="G24" s="119"/>
      <c r="H24" s="119"/>
      <c r="I24" s="119"/>
    </row>
    <row r="25" spans="1:36" ht="14.25">
      <c r="A25" s="3618"/>
      <c r="B25" s="1013" t="s">
        <v>1295</v>
      </c>
      <c r="C25" s="131">
        <f>IF(B30=0,0,C30)</f>
        <v>0</v>
      </c>
      <c r="D25" s="1756"/>
      <c r="E25" s="119"/>
      <c r="F25" s="119"/>
      <c r="G25" s="119"/>
      <c r="H25" s="119"/>
      <c r="I25" s="119"/>
    </row>
    <row r="26" spans="1:36" ht="13.5" customHeight="1">
      <c r="A26" s="1757" t="s">
        <v>1300</v>
      </c>
      <c r="B26" s="132" t="s">
        <v>1301</v>
      </c>
      <c r="C26" s="132" t="s">
        <v>1302</v>
      </c>
      <c r="D26" s="133" t="s">
        <v>1303</v>
      </c>
      <c r="E26" s="119"/>
      <c r="F26" s="119"/>
      <c r="G26" s="119"/>
      <c r="H26" s="119"/>
      <c r="I26" s="119"/>
    </row>
    <row r="27" spans="1:36" ht="14.25">
      <c r="A27" s="1757"/>
      <c r="B27" s="132">
        <v>0</v>
      </c>
      <c r="C27" s="132">
        <v>0</v>
      </c>
      <c r="D27" s="133">
        <f>ROUND(C27*B27/10000,0)</f>
        <v>0</v>
      </c>
      <c r="E27" s="119"/>
      <c r="F27" s="119"/>
      <c r="G27" s="119"/>
      <c r="H27" s="119"/>
      <c r="I27" s="119"/>
    </row>
    <row r="28" spans="1:36" ht="14.25">
      <c r="A28" s="1757"/>
      <c r="B28" s="132"/>
      <c r="C28" s="132"/>
      <c r="D28" s="133"/>
      <c r="E28" s="119"/>
      <c r="F28" s="119"/>
      <c r="G28" s="119"/>
      <c r="H28" s="119"/>
      <c r="I28" s="119"/>
    </row>
    <row r="29" spans="1:36" ht="14.25">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5"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6.5" thickTop="1" thickBot="1">
      <c r="A32" s="1759" t="s">
        <v>1305</v>
      </c>
      <c r="B32" s="1760"/>
      <c r="C32" s="134">
        <f ca="1">IF(D32="总价",G19-C24,G20-C25)</f>
        <v>2874</v>
      </c>
      <c r="D32" s="1761" t="s">
        <v>3671</v>
      </c>
      <c r="E32" s="119"/>
      <c r="F32" s="119"/>
      <c r="G32" s="119"/>
      <c r="H32" s="119"/>
      <c r="I32" s="119"/>
    </row>
    <row r="33" spans="1:15" ht="15">
      <c r="A33" s="773" t="s">
        <v>1306</v>
      </c>
      <c r="B33" s="1762"/>
      <c r="C33" s="1763" t="s">
        <v>3672</v>
      </c>
      <c r="D33" s="1764" t="s">
        <v>3660</v>
      </c>
      <c r="E33" s="1765" t="s">
        <v>1307</v>
      </c>
      <c r="F33" s="1766" t="str">
        <f>IF(D32="楼面单价","取值（单价）","取值（总价）")</f>
        <v>取值（总价）</v>
      </c>
      <c r="G33" s="119"/>
      <c r="H33" s="119"/>
      <c r="I33" s="119"/>
    </row>
    <row r="34" spans="1:15" ht="15">
      <c r="A34" s="1767"/>
      <c r="B34" s="1768" t="s">
        <v>1308</v>
      </c>
      <c r="C34" s="138">
        <f ca="1">IF(C33="自定义",F34,C32-C35)</f>
        <v>764</v>
      </c>
      <c r="D34" s="848">
        <f ca="1">IF(C33="自定义",ROUND(C34/C32,3),IF(C33="收益比率",SUMIF(INDIRECT("'"&amp;D33&amp;"'"&amp;"!b:b"),"土地收益比率",INDIRECT("'"&amp;D33&amp;"'"&amp;"!c:c")),SUMIF(INDIRECT("'"&amp;D33&amp;"'"&amp;"!b:b"),"土地成本比率",INDIRECT("'"&amp;D33&amp;"'"&amp;"!c:c"))))</f>
        <v>0.26600000000000001</v>
      </c>
      <c r="E34" s="1769" t="s">
        <v>1309</v>
      </c>
      <c r="F34" s="1316"/>
      <c r="G34" s="119"/>
      <c r="H34" s="119"/>
      <c r="I34" s="119"/>
    </row>
    <row r="35" spans="1:15" ht="15.75" thickBot="1">
      <c r="A35" s="1770"/>
      <c r="B35" s="1771" t="s">
        <v>1310</v>
      </c>
      <c r="C35" s="1157">
        <f ca="1">IF(C33="自定义",F35,ROUND(C32*D35,0))</f>
        <v>2110</v>
      </c>
      <c r="D35" s="1158">
        <f ca="1">IF(C33="自定义",ROUND(C35/C32,3),IF(C33="收益比率",SUMIF(INDIRECT("'"&amp;D33&amp;"'"&amp;"!b:b"),"建筑物收益比率",INDIRECT("'"&amp;D33&amp;"'"&amp;"!c:c")),SUMIF(INDIRECT("'"&amp;D33&amp;"'"&amp;"!b:b"),"建筑物成本比率",INDIRECT("'"&amp;D33&amp;"'"&amp;"!c:c"))))</f>
        <v>0.73399999999999999</v>
      </c>
      <c r="E35" s="1772" t="s">
        <v>1311</v>
      </c>
      <c r="F35" s="144"/>
      <c r="G35" s="119"/>
      <c r="H35" s="119"/>
      <c r="I35" s="119"/>
    </row>
    <row r="36" spans="1:15" ht="15.75" thickBot="1">
      <c r="A36" s="3637" t="s">
        <v>1312</v>
      </c>
      <c r="B36" s="1773" t="s">
        <v>1313</v>
      </c>
      <c r="C36" s="135"/>
      <c r="D36" s="1774"/>
      <c r="E36" s="1775"/>
      <c r="F36" s="1776"/>
      <c r="G36" s="119"/>
      <c r="H36" s="119"/>
      <c r="I36" s="119"/>
    </row>
    <row r="37" spans="1:15" ht="15.75" thickBot="1">
      <c r="A37" s="3638"/>
      <c r="B37" s="1660" t="s">
        <v>1314</v>
      </c>
      <c r="C37" s="137"/>
      <c r="D37" s="1126"/>
      <c r="E37" s="1126"/>
      <c r="F37" s="1776"/>
      <c r="G37" s="119"/>
      <c r="H37" s="119"/>
      <c r="I37" s="119"/>
    </row>
    <row r="38" spans="1:15" ht="15.75" thickBot="1">
      <c r="A38" s="3639"/>
      <c r="B38" s="1777" t="s">
        <v>1315</v>
      </c>
      <c r="C38" s="661"/>
      <c r="D38" s="1778" t="s">
        <v>1316</v>
      </c>
      <c r="E38" s="1126"/>
      <c r="F38" s="1776"/>
      <c r="G38" s="119"/>
      <c r="H38" s="119"/>
      <c r="I38" s="119"/>
    </row>
    <row r="39" spans="1:15" ht="15">
      <c r="A39" s="1750" t="s">
        <v>1317</v>
      </c>
      <c r="B39" s="1779" t="s">
        <v>1318</v>
      </c>
      <c r="C39" s="1780" t="s">
        <v>1319</v>
      </c>
      <c r="D39" s="1780" t="s">
        <v>1320</v>
      </c>
      <c r="E39" s="1781" t="s">
        <v>1321</v>
      </c>
      <c r="F39" s="1776"/>
      <c r="G39" s="119"/>
      <c r="H39" s="119"/>
      <c r="I39" s="119"/>
    </row>
    <row r="40" spans="1:15" ht="14.25">
      <c r="A40" s="1782" t="s">
        <v>1322</v>
      </c>
      <c r="B40" s="139"/>
      <c r="C40" s="140"/>
      <c r="D40" s="140"/>
      <c r="E40" s="141"/>
      <c r="F40" s="1776"/>
      <c r="G40" s="119"/>
      <c r="H40" s="119"/>
      <c r="I40" s="119"/>
    </row>
    <row r="41" spans="1:15" ht="14.25">
      <c r="A41" s="1782" t="s">
        <v>1323</v>
      </c>
      <c r="B41" s="139"/>
      <c r="C41" s="140"/>
      <c r="D41" s="140"/>
      <c r="E41" s="141"/>
      <c r="F41" s="1776"/>
      <c r="G41" s="119"/>
      <c r="H41" s="119"/>
      <c r="I41" s="119"/>
    </row>
    <row r="42" spans="1:15" ht="15" thickBot="1">
      <c r="A42" s="1783"/>
      <c r="B42" s="142"/>
      <c r="C42" s="143"/>
      <c r="D42" s="143"/>
      <c r="E42" s="144"/>
      <c r="F42" s="1776"/>
      <c r="G42" s="119"/>
      <c r="H42" s="119"/>
      <c r="I42" s="119"/>
    </row>
    <row r="43" spans="1:15" ht="12.75">
      <c r="A43" s="1563"/>
      <c r="B43" s="1563"/>
      <c r="C43" s="1563"/>
      <c r="D43" s="1563"/>
      <c r="E43" s="1563"/>
      <c r="F43" s="1784"/>
      <c r="G43" s="1784"/>
      <c r="H43" s="1784"/>
      <c r="I43" s="1785"/>
    </row>
    <row r="44" spans="1:15" ht="18.75">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14" t="s">
        <v>1326</v>
      </c>
      <c r="B45" s="3615"/>
      <c r="C45" s="3616"/>
      <c r="D45" s="145">
        <f ca="1">ROUND(H101*F45,0)</f>
        <v>2874</v>
      </c>
      <c r="E45" s="146" t="s">
        <v>1327</v>
      </c>
      <c r="F45" s="147">
        <v>1</v>
      </c>
      <c r="G45" s="148" t="s">
        <v>1328</v>
      </c>
      <c r="H45" s="119"/>
      <c r="I45" s="119"/>
      <c r="J45" s="3692" t="s">
        <v>1329</v>
      </c>
      <c r="K45" s="3692"/>
      <c r="L45" s="3692"/>
      <c r="M45" s="3692"/>
      <c r="N45" s="3692"/>
      <c r="O45" s="3692"/>
    </row>
    <row r="46" spans="1:15" ht="14.25" customHeight="1">
      <c r="A46" s="3611" t="s">
        <v>1330</v>
      </c>
      <c r="B46" s="3612"/>
      <c r="C46" s="3612"/>
      <c r="D46" s="3612"/>
      <c r="E46" s="3612"/>
      <c r="F46" s="3612"/>
      <c r="G46" s="3613"/>
      <c r="H46" s="1792"/>
      <c r="I46" s="149"/>
      <c r="J46" s="2504">
        <v>1</v>
      </c>
      <c r="K46" s="3673" t="s">
        <v>1331</v>
      </c>
      <c r="L46" s="3673"/>
      <c r="M46" s="3693"/>
      <c r="N46" s="3693"/>
      <c r="O46" s="3693"/>
    </row>
    <row r="47" spans="1:15" ht="12" customHeight="1">
      <c r="A47" s="150" t="s">
        <v>1332</v>
      </c>
      <c r="B47" s="151"/>
      <c r="C47" s="152"/>
      <c r="D47" s="1074" t="s">
        <v>1333</v>
      </c>
      <c r="E47" s="292" t="s">
        <v>1334</v>
      </c>
      <c r="F47" s="153" t="s">
        <v>1335</v>
      </c>
      <c r="G47" s="2527" t="s">
        <v>1336</v>
      </c>
      <c r="H47" s="2528"/>
      <c r="I47" s="149"/>
      <c r="J47" s="2504">
        <v>2</v>
      </c>
      <c r="K47" s="3673" t="s">
        <v>1337</v>
      </c>
      <c r="L47" s="3673"/>
      <c r="M47" s="3694">
        <f>'数据-取费表'!B2</f>
        <v>45194</v>
      </c>
      <c r="N47" s="3694"/>
      <c r="O47" s="3694"/>
    </row>
    <row r="48" spans="1:15" ht="25.5">
      <c r="A48" s="3642" t="s">
        <v>1338</v>
      </c>
      <c r="B48" s="3625"/>
      <c r="C48" s="3625"/>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73" t="s">
        <v>1340</v>
      </c>
      <c r="L48" s="3673"/>
      <c r="M48" s="3695">
        <f ca="1">H101</f>
        <v>2874</v>
      </c>
      <c r="N48" s="3695"/>
      <c r="O48" s="3695"/>
    </row>
    <row r="49" spans="1:35" ht="25.5" customHeight="1">
      <c r="A49" s="2319" t="s">
        <v>1341</v>
      </c>
      <c r="B49" s="3609" t="s">
        <v>1342</v>
      </c>
      <c r="C49" s="3609"/>
      <c r="D49" s="1576">
        <v>0</v>
      </c>
      <c r="E49" s="314" t="s">
        <v>1343</v>
      </c>
      <c r="F49" s="2408" t="s">
        <v>28</v>
      </c>
      <c r="G49" s="3679"/>
      <c r="H49" s="2296" t="s">
        <v>2134</v>
      </c>
      <c r="I49" s="2297"/>
      <c r="J49" s="2504">
        <v>4</v>
      </c>
      <c r="K49" s="3673" t="str">
        <f>IF(项目基本情况!E8="房地产抵押价值","房地产抵押价值","抵押担保权已注销时的房地产抵押价值")</f>
        <v>抵押担保权已注销时的房地产抵押价值</v>
      </c>
      <c r="L49" s="3673"/>
      <c r="M49" s="3695" t="str">
        <f>IF(项目基本情况!E8="房地产抵押价值",H107,H109)</f>
        <v>——</v>
      </c>
      <c r="N49" s="3695"/>
      <c r="O49" s="3695"/>
    </row>
    <row r="50" spans="1:35" ht="25.5" customHeight="1">
      <c r="A50" s="2532"/>
      <c r="B50" s="3609" t="s">
        <v>1344</v>
      </c>
      <c r="C50" s="3609"/>
      <c r="D50" s="2533"/>
      <c r="E50" s="322"/>
      <c r="F50" s="2408"/>
      <c r="G50" s="3680"/>
      <c r="H50" s="2298" t="s">
        <v>2135</v>
      </c>
      <c r="I50" s="2297"/>
      <c r="J50" s="3692" t="s">
        <v>1345</v>
      </c>
      <c r="K50" s="3692"/>
      <c r="L50" s="3692"/>
      <c r="M50" s="3692"/>
      <c r="N50" s="3692"/>
      <c r="O50" s="3692"/>
    </row>
    <row r="51" spans="1:35" ht="20.45" customHeight="1">
      <c r="A51" s="2534"/>
      <c r="B51" s="3609" t="s">
        <v>1346</v>
      </c>
      <c r="C51" s="3609"/>
      <c r="D51" s="1074"/>
      <c r="E51" s="317"/>
      <c r="F51" s="2408"/>
      <c r="G51" s="3681"/>
      <c r="H51" s="2298" t="s">
        <v>2136</v>
      </c>
      <c r="I51" s="2297"/>
      <c r="J51" s="2505" t="s">
        <v>1347</v>
      </c>
      <c r="K51" s="3673" t="s">
        <v>1348</v>
      </c>
      <c r="L51" s="3673"/>
      <c r="M51" s="2505" t="s">
        <v>1349</v>
      </c>
      <c r="N51" s="2505" t="s">
        <v>1350</v>
      </c>
      <c r="O51" s="2505" t="s">
        <v>1351</v>
      </c>
    </row>
    <row r="52" spans="1:35" ht="24" customHeight="1">
      <c r="A52" s="2321" t="s">
        <v>1352</v>
      </c>
      <c r="B52" s="3609" t="s">
        <v>1353</v>
      </c>
      <c r="C52" s="3609"/>
      <c r="D52" s="1074">
        <f ca="1">ROUND(D45*'数据-取费表'!B41/(1+'数据-取费表'!C42),0)</f>
        <v>151</v>
      </c>
      <c r="E52" s="2320" t="s">
        <v>1354</v>
      </c>
      <c r="F52" s="2535">
        <f>'数据-取费表'!B41</f>
        <v>5.5000000000000007E-2</v>
      </c>
      <c r="G52" s="2536"/>
      <c r="H52" s="2525"/>
      <c r="I52" s="1793"/>
      <c r="J52" s="2504">
        <v>1</v>
      </c>
      <c r="K52" s="3674" t="s">
        <v>1355</v>
      </c>
      <c r="L52" s="3674"/>
      <c r="M52" s="2506" t="b">
        <f>D48</f>
        <v>0</v>
      </c>
      <c r="N52" s="2504" t="str">
        <f>E48</f>
        <v>销售额×税（费）率</v>
      </c>
      <c r="O52" s="2507">
        <f>F48</f>
        <v>5.5000000000000007E-2</v>
      </c>
    </row>
    <row r="53" spans="1:35" ht="12" customHeight="1">
      <c r="A53" s="2321" t="s">
        <v>1356</v>
      </c>
      <c r="B53" s="3635" t="s">
        <v>2287</v>
      </c>
      <c r="C53" s="3636"/>
      <c r="D53" s="1074">
        <f ca="1">ROUND(D45*'数据-取费表'!B41/(1+'数据-取费表'!C42),0)</f>
        <v>151</v>
      </c>
      <c r="E53" s="2320" t="s">
        <v>1354</v>
      </c>
      <c r="F53" s="2535">
        <f>'数据-取费表'!B41</f>
        <v>5.5000000000000007E-2</v>
      </c>
      <c r="G53" s="2536"/>
      <c r="H53" s="2525"/>
      <c r="I53" s="1793"/>
      <c r="J53" s="2504">
        <v>2</v>
      </c>
      <c r="K53" s="3674" t="s">
        <v>1357</v>
      </c>
      <c r="L53" s="3674"/>
      <c r="M53" s="2506">
        <f t="shared" ref="M53:O54" ca="1" si="0">D55</f>
        <v>1</v>
      </c>
      <c r="N53" s="2504" t="str">
        <f t="shared" si="0"/>
        <v>销售额×税（费）率</v>
      </c>
      <c r="O53" s="2507" t="str">
        <f t="shared" si="0"/>
        <v>免征</v>
      </c>
    </row>
    <row r="54" spans="1:35" ht="12" customHeight="1">
      <c r="A54" s="2321" t="s">
        <v>1358</v>
      </c>
      <c r="B54" s="3635" t="s">
        <v>2288</v>
      </c>
      <c r="C54" s="3636"/>
      <c r="D54" s="1074">
        <f ca="1">C68</f>
        <v>151</v>
      </c>
      <c r="E54" s="317" t="s">
        <v>1359</v>
      </c>
      <c r="F54" s="2535">
        <f>'数据-取费表'!B41</f>
        <v>5.5000000000000007E-2</v>
      </c>
      <c r="G54" s="2536"/>
      <c r="H54" s="2537"/>
      <c r="I54" s="1793"/>
      <c r="J54" s="2504">
        <v>3</v>
      </c>
      <c r="K54" s="3674" t="s">
        <v>1360</v>
      </c>
      <c r="L54" s="3674"/>
      <c r="M54" s="2506">
        <f t="shared" ca="1" si="0"/>
        <v>1629</v>
      </c>
      <c r="N54" s="2504" t="str">
        <f t="shared" si="0"/>
        <v>增值额×税（费）率</v>
      </c>
      <c r="O54" s="2508" t="str">
        <f t="shared" si="0"/>
        <v>免征</v>
      </c>
    </row>
    <row r="55" spans="1:35" ht="24" customHeight="1">
      <c r="A55" s="3624" t="s">
        <v>1361</v>
      </c>
      <c r="B55" s="3625"/>
      <c r="C55" s="3625"/>
      <c r="D55" s="2310">
        <f ca="1">IF(H55="个人住宅",0,ROUND(D45*I55,0))</f>
        <v>1</v>
      </c>
      <c r="E55" s="2320" t="s">
        <v>1362</v>
      </c>
      <c r="F55" s="2535" t="str">
        <f>IF(H55="正常",I55,"免征")</f>
        <v>免征</v>
      </c>
      <c r="G55" s="2536"/>
      <c r="H55" s="2531"/>
      <c r="I55" s="155">
        <f>'数据-取费表'!B49</f>
        <v>5.0000000000000001E-4</v>
      </c>
      <c r="J55" s="2504">
        <f>IF(H59="非个人房产","",4)</f>
        <v>4</v>
      </c>
      <c r="K55" s="3674" t="str">
        <f>IF(H59="非个人房产","——","个人所得税")</f>
        <v>个人所得税</v>
      </c>
      <c r="L55" s="3674"/>
      <c r="M55" s="2509">
        <f ca="1">D59</f>
        <v>27</v>
      </c>
      <c r="N55" s="2026" t="str">
        <f>E59</f>
        <v>差额计税</v>
      </c>
      <c r="O55" s="2510">
        <f>F59</f>
        <v>0.01</v>
      </c>
    </row>
    <row r="56" spans="1:35" ht="24.75">
      <c r="A56" s="3624" t="s">
        <v>1363</v>
      </c>
      <c r="B56" s="3625"/>
      <c r="C56" s="3625"/>
      <c r="D56" s="2310">
        <f ca="1">IF(H56="个人住宅",D57,D58)</f>
        <v>1629</v>
      </c>
      <c r="E56" s="2320" t="s">
        <v>1364</v>
      </c>
      <c r="F56" s="2535" t="str">
        <f>IF(H56="正常",F58,"免征")</f>
        <v>免征</v>
      </c>
      <c r="G56" s="2538" t="s">
        <v>1365</v>
      </c>
      <c r="H56" s="2539"/>
      <c r="I56" s="1794"/>
      <c r="J56" s="2504" t="str">
        <f>IF(项目基本情况!K6="上海银行",IF(J55="",4,J55+1),"")</f>
        <v/>
      </c>
      <c r="K56" s="3697" t="str">
        <f>IF(项目基本情况!K6="上海银行","其他处置费用","")</f>
        <v/>
      </c>
      <c r="L56" s="3698"/>
      <c r="M56" s="2506" t="str">
        <f>IF(项目基本情况!K6="上海银行",M69,"")</f>
        <v/>
      </c>
      <c r="N56" s="3697" t="str">
        <f>IF(项目基本情况!K6="上海银行","包含处置中涉及的律师、诉讼、拍卖、评估等费用","")</f>
        <v/>
      </c>
      <c r="O56" s="3700"/>
    </row>
    <row r="57" spans="1:35" ht="12.75">
      <c r="A57" s="2321" t="s">
        <v>1341</v>
      </c>
      <c r="B57" s="3635" t="s">
        <v>1366</v>
      </c>
      <c r="C57" s="3636"/>
      <c r="D57" s="1576">
        <v>0</v>
      </c>
      <c r="E57" s="314" t="s">
        <v>1343</v>
      </c>
      <c r="F57" s="292"/>
      <c r="G57" s="2536"/>
      <c r="H57" s="2540"/>
      <c r="I57" s="1794"/>
      <c r="J57" s="3674">
        <f>IF(AND(J55="",J56=""),4,IF(项目基本情况!K6="上海银行",结果表!J56+1,结果表!J55+1))</f>
        <v>5</v>
      </c>
      <c r="K57" s="3674" t="s">
        <v>1367</v>
      </c>
      <c r="L57" s="2511" t="s">
        <v>1368</v>
      </c>
      <c r="M57" s="2512"/>
      <c r="N57" s="2513">
        <f ca="1">SUMIF(M52:M56,"&lt;9e307")</f>
        <v>1657</v>
      </c>
      <c r="O57" s="2514"/>
      <c r="P57" s="2670" t="e">
        <f ca="1">N57/M49</f>
        <v>#VALUE!</v>
      </c>
    </row>
    <row r="58" spans="1:35" ht="24.75">
      <c r="A58" s="2321" t="s">
        <v>1352</v>
      </c>
      <c r="B58" s="3635" t="s">
        <v>1369</v>
      </c>
      <c r="C58" s="3609"/>
      <c r="D58" s="2310">
        <f ca="1">IF(H58="转让取得",C81,C97)</f>
        <v>1629</v>
      </c>
      <c r="E58" s="2320" t="s">
        <v>1364</v>
      </c>
      <c r="F58" s="292" t="s">
        <v>28</v>
      </c>
      <c r="G58" s="2536"/>
      <c r="H58" s="2539"/>
      <c r="I58" s="1794"/>
      <c r="J58" s="3674"/>
      <c r="K58" s="3674"/>
      <c r="L58" s="2511" t="s">
        <v>1370</v>
      </c>
      <c r="M58" s="2515"/>
      <c r="N58" s="2516" t="str">
        <f ca="1">NUMBERSTRING(INT(N57*10000),2)&amp;"元整"</f>
        <v>壹仟陆佰伍拾柒万元整</v>
      </c>
      <c r="O58" s="2517"/>
    </row>
    <row r="59" spans="1:35" ht="24.75" thickBot="1">
      <c r="A59" s="3677" t="s">
        <v>1371</v>
      </c>
      <c r="B59" s="3678"/>
      <c r="C59" s="3678"/>
      <c r="D59" s="2541">
        <f ca="1">IF(H59="非个人房产","——",IF(H59="个人住宅（满五唯一有凭证）",0,IF(H59="个人其他（无凭证）",ROUND(D45*F59,0),ROUND(C67*F59,0))))</f>
        <v>27</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75">
        <f>J57+1</f>
        <v>6</v>
      </c>
      <c r="K59" s="3674" t="s">
        <v>1372</v>
      </c>
      <c r="L59" s="2504" t="s">
        <v>1368</v>
      </c>
      <c r="M59" s="2518"/>
      <c r="N59" s="2519" t="e">
        <f ca="1">M49-N57</f>
        <v>#VALUE!</v>
      </c>
      <c r="O59" s="2520"/>
    </row>
    <row r="60" spans="1:35" ht="12" customHeight="1">
      <c r="A60" s="1795"/>
      <c r="B60" s="1733"/>
      <c r="C60" s="1733"/>
      <c r="D60" s="1733"/>
      <c r="E60" s="1564"/>
      <c r="F60" s="1794"/>
      <c r="G60" s="1794"/>
      <c r="H60" s="1796"/>
      <c r="I60" s="119"/>
      <c r="J60" s="3676"/>
      <c r="K60" s="3674"/>
      <c r="L60" s="2511" t="s">
        <v>1370</v>
      </c>
      <c r="M60" s="2515"/>
      <c r="N60" s="2516" t="e">
        <f ca="1">NUMBERSTRING(INT(N59*10000),2)&amp;"元整"</f>
        <v>#VALUE!</v>
      </c>
      <c r="O60" s="2517"/>
    </row>
    <row r="61" spans="1:35" ht="13.5" thickBot="1">
      <c r="A61" s="3622" t="s">
        <v>1373</v>
      </c>
      <c r="B61" s="3622"/>
      <c r="C61" s="3622"/>
      <c r="D61" s="3622"/>
      <c r="E61" s="3622"/>
      <c r="F61" s="1794"/>
      <c r="G61" s="1794"/>
      <c r="H61" s="1796"/>
      <c r="I61" s="119"/>
      <c r="J61" s="2504">
        <f>J59+1</f>
        <v>7</v>
      </c>
      <c r="K61" s="3674" t="s">
        <v>1374</v>
      </c>
      <c r="L61" s="3674"/>
      <c r="M61" s="2521"/>
      <c r="N61" s="2522" t="e">
        <f ca="1">ROUND(N59*10000/'数据-汇总表'!E3,0)</f>
        <v>#VALUE!</v>
      </c>
      <c r="O61" s="2523"/>
    </row>
    <row r="62" spans="1:35" ht="12.75">
      <c r="A62" s="3640" t="s">
        <v>1375</v>
      </c>
      <c r="B62" s="3641"/>
      <c r="C62" s="2007"/>
      <c r="D62" s="2007" t="s">
        <v>1376</v>
      </c>
      <c r="E62" s="156" t="s">
        <v>1377</v>
      </c>
      <c r="F62" s="1794"/>
      <c r="G62" s="1794"/>
      <c r="H62" s="1796"/>
      <c r="I62" s="119"/>
    </row>
    <row r="63" spans="1:35" ht="12.75">
      <c r="A63" s="163" t="s">
        <v>330</v>
      </c>
      <c r="B63" s="157" t="s">
        <v>1378</v>
      </c>
      <c r="C63" s="2545">
        <f ca="1">ROUND((C64+C65)/(1+'数据-取费表'!C42),0)</f>
        <v>2737</v>
      </c>
      <c r="D63" s="157"/>
      <c r="E63" s="158"/>
      <c r="F63" s="1794"/>
      <c r="G63" s="1794"/>
      <c r="H63" s="1796"/>
      <c r="I63" s="119"/>
      <c r="J63" s="3699"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2874</v>
      </c>
      <c r="D64" s="160" t="s">
        <v>26</v>
      </c>
      <c r="E64" s="162"/>
      <c r="F64" s="1794"/>
      <c r="G64" s="1794"/>
      <c r="H64" s="1796"/>
      <c r="I64" s="119"/>
      <c r="J64" s="3699"/>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99"/>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99"/>
      <c r="K66" s="1318" t="s">
        <v>1387</v>
      </c>
      <c r="L66" s="1318" t="e">
        <f>M49*0.5%</f>
        <v>#VALUE!</v>
      </c>
      <c r="M66" s="292" t="e">
        <f>IF(L66&gt;0.5,0.5,ROUND(L66,0))</f>
        <v>#VALUE!</v>
      </c>
      <c r="N66" s="2525" t="s">
        <v>1388</v>
      </c>
      <c r="Z66" s="1738"/>
      <c r="AI66" s="1739"/>
    </row>
    <row r="67" spans="1:35" ht="14.25" customHeight="1">
      <c r="A67" s="163" t="s">
        <v>328</v>
      </c>
      <c r="B67" s="164" t="s">
        <v>1389</v>
      </c>
      <c r="C67" s="2549">
        <f ca="1">C63-C66</f>
        <v>2737</v>
      </c>
      <c r="D67" s="160" t="s">
        <v>26</v>
      </c>
      <c r="E67" s="162"/>
      <c r="F67" s="1794"/>
      <c r="G67" s="1794"/>
      <c r="H67" s="1796"/>
      <c r="I67" s="119"/>
      <c r="J67" s="3699"/>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151</v>
      </c>
      <c r="D68" s="2551">
        <f>'数据-取费表'!B41</f>
        <v>5.5000000000000007E-2</v>
      </c>
      <c r="E68" s="168"/>
      <c r="F68" s="1794"/>
      <c r="G68" s="1794"/>
      <c r="H68" s="1796"/>
      <c r="I68" s="119"/>
      <c r="J68" s="3699"/>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99"/>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5" thickBot="1">
      <c r="A70" s="3661" t="s">
        <v>1394</v>
      </c>
      <c r="B70" s="3662"/>
      <c r="C70" s="3662"/>
      <c r="D70" s="3662"/>
      <c r="E70" s="3662"/>
      <c r="F70" s="3662"/>
      <c r="G70" s="3662"/>
      <c r="H70" s="3662"/>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4.25">
      <c r="A71" s="3640" t="s">
        <v>1375</v>
      </c>
      <c r="B71" s="3641"/>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4.25">
      <c r="A72" s="163" t="s">
        <v>330</v>
      </c>
      <c r="B72" s="164" t="s">
        <v>1395</v>
      </c>
      <c r="C72" s="2549">
        <f ca="1">ROUND(D45/(1+'数据-取费表'!C42),0)</f>
        <v>2737</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4.25">
      <c r="A73" s="163" t="s">
        <v>327</v>
      </c>
      <c r="B73" s="153" t="s">
        <v>1396</v>
      </c>
      <c r="C73" s="2549">
        <f ca="1">C74+C78</f>
        <v>14</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14.25">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35" t="s">
        <v>1402</v>
      </c>
      <c r="F76" s="3609"/>
      <c r="G76" s="3609"/>
      <c r="H76" s="3660"/>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14</v>
      </c>
      <c r="D78" s="2558">
        <f>'数据-取费表'!B43</f>
        <v>5.000000000000001E-3</v>
      </c>
      <c r="E78" s="3619" t="s">
        <v>1406</v>
      </c>
      <c r="F78" s="3620"/>
      <c r="G78" s="3620"/>
      <c r="H78" s="3629"/>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4.25">
      <c r="A79" s="163" t="s">
        <v>334</v>
      </c>
      <c r="B79" s="164" t="s">
        <v>1407</v>
      </c>
      <c r="C79" s="2549">
        <f ca="1">C72-C73</f>
        <v>2723</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194.5</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75" thickBot="1">
      <c r="A81" s="166" t="s">
        <v>336</v>
      </c>
      <c r="B81" s="167" t="s">
        <v>1409</v>
      </c>
      <c r="C81" s="2560">
        <f ca="1">ROUND(IF(C79&lt;=0,0,IF(C80&gt;=200%,C79*60%-C73*35%,IF(C80&gt;=100%,C79*50%-C73*15%,IF(C80&gt;=50%,C79*40%-C73*5%,IF(C80&lt;50%,C79*30%,0))))),0)</f>
        <v>1629</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5" thickBot="1">
      <c r="A83" s="3661" t="s">
        <v>1410</v>
      </c>
      <c r="B83" s="3662"/>
      <c r="C83" s="3662"/>
      <c r="D83" s="3662"/>
      <c r="E83" s="3662"/>
      <c r="F83" s="3662"/>
      <c r="G83" s="3662"/>
      <c r="H83" s="3662"/>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4.25">
      <c r="A84" s="3640" t="s">
        <v>1375</v>
      </c>
      <c r="B84" s="3641"/>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4.25">
      <c r="A85" s="163" t="s">
        <v>330</v>
      </c>
      <c r="B85" s="164" t="s">
        <v>1395</v>
      </c>
      <c r="C85" s="2549">
        <f ca="1">ROUND(D45/(1+'数据-取费表'!C42),0)</f>
        <v>2737</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4.25">
      <c r="A86" s="163" t="s">
        <v>327</v>
      </c>
      <c r="B86" s="153" t="s">
        <v>1396</v>
      </c>
      <c r="C86" s="2549">
        <f ca="1">IF(H88="仅含出让金",C87+C90+C91+C92+C93+C94,C87+C91+C92+C93+C94)</f>
        <v>14</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4.25">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25">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4.25">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25">
      <c r="A90" s="159" t="s">
        <v>326</v>
      </c>
      <c r="B90" s="160" t="s">
        <v>1416</v>
      </c>
      <c r="C90" s="2563"/>
      <c r="D90" s="2558"/>
      <c r="E90" s="183" t="str">
        <f>IF(H88="-","土地取得成本中已包含该笔费用"," ")</f>
        <v xml:space="preserve"> </v>
      </c>
      <c r="F90" s="2313"/>
      <c r="G90" s="3701" t="s">
        <v>2129</v>
      </c>
      <c r="H90" s="3702"/>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19" t="s">
        <v>1419</v>
      </c>
      <c r="F91" s="3620"/>
      <c r="G91" s="3620"/>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19" t="s">
        <v>1422</v>
      </c>
      <c r="F92" s="3620"/>
      <c r="G92" s="3620"/>
      <c r="H92" s="3629"/>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14</v>
      </c>
      <c r="D93" s="2558">
        <f>'数据-取费表'!B43</f>
        <v>5.000000000000001E-3</v>
      </c>
      <c r="E93" s="3619" t="s">
        <v>1406</v>
      </c>
      <c r="F93" s="3620"/>
      <c r="G93" s="3620"/>
      <c r="H93" s="3629"/>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30" t="s">
        <v>1426</v>
      </c>
      <c r="F94" s="3631"/>
      <c r="G94" s="3631"/>
      <c r="H94" s="3632"/>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4.25">
      <c r="A95" s="163" t="s">
        <v>334</v>
      </c>
      <c r="B95" s="164" t="s">
        <v>1407</v>
      </c>
      <c r="C95" s="2549">
        <f ca="1">ROUND(C85-C86,0)</f>
        <v>2723</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194.5</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75" thickBot="1">
      <c r="A97" s="166" t="s">
        <v>336</v>
      </c>
      <c r="B97" s="167" t="s">
        <v>1409</v>
      </c>
      <c r="C97" s="2560">
        <f ca="1">ROUND(IF(C95&lt;=0,0,IF(C96&gt;=200%,C95*60%-C86*35%,IF(C96&gt;=100%,C95*50%-C86*15%,IF(C96&gt;=50%,C95*40%-C86*5%,IF(C96&lt;50%,C95*30%,0))))),0)</f>
        <v>1629</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3" t="s">
        <v>1428</v>
      </c>
      <c r="B100" s="3604"/>
      <c r="C100" s="3604"/>
      <c r="D100" s="3621"/>
      <c r="E100" s="3604" t="s">
        <v>1429</v>
      </c>
      <c r="F100" s="3604"/>
      <c r="G100" s="3604"/>
      <c r="H100" s="3621"/>
      <c r="I100" s="119"/>
    </row>
    <row r="101" spans="1:35" ht="18.75" customHeight="1">
      <c r="A101" s="3682" t="s">
        <v>1430</v>
      </c>
      <c r="B101" s="3683"/>
      <c r="C101" s="2566" t="str">
        <f>C4</f>
        <v>成本法</v>
      </c>
      <c r="D101" s="2567" t="str">
        <f>D4</f>
        <v>收益法</v>
      </c>
      <c r="E101" s="3696" t="s">
        <v>1431</v>
      </c>
      <c r="F101" s="3653"/>
      <c r="G101" s="1813" t="s">
        <v>1432</v>
      </c>
      <c r="H101" s="2576">
        <f ca="1">H118</f>
        <v>2874</v>
      </c>
      <c r="I101" s="119"/>
    </row>
    <row r="102" spans="1:35" ht="18.75" customHeight="1">
      <c r="A102" s="3655" t="s">
        <v>1433</v>
      </c>
      <c r="B102" s="2565" t="s">
        <v>1432</v>
      </c>
      <c r="C102" s="2566">
        <f ca="1">IF(D32="楼面单价",ROUND(C19,0),C19)</f>
        <v>4632</v>
      </c>
      <c r="D102" s="2567">
        <f ca="1">IF(D32="楼面单价",ROUND(D19,0),D19)</f>
        <v>1116</v>
      </c>
      <c r="E102" s="3696"/>
      <c r="F102" s="3653"/>
      <c r="G102" s="1813" t="s">
        <v>1434</v>
      </c>
      <c r="H102" s="2536">
        <f ca="1">I118</f>
        <v>3473</v>
      </c>
      <c r="I102" s="119"/>
    </row>
    <row r="103" spans="1:35" ht="42.75" customHeight="1">
      <c r="A103" s="3655"/>
      <c r="B103" s="2565" t="s">
        <v>1434</v>
      </c>
      <c r="C103" s="2568">
        <f ca="1">C20</f>
        <v>5597</v>
      </c>
      <c r="D103" s="2569">
        <f ca="1">D20</f>
        <v>1348</v>
      </c>
      <c r="E103" s="3690" t="s">
        <v>1435</v>
      </c>
      <c r="F103" s="3691"/>
      <c r="G103" s="1814" t="s">
        <v>1436</v>
      </c>
      <c r="H103" s="2576">
        <f>IF(D36="正常操作",H104+H105+H106,H105+H106)</f>
        <v>0</v>
      </c>
      <c r="I103" s="119"/>
    </row>
    <row r="104" spans="1:35" ht="18.75" customHeight="1">
      <c r="A104" s="3655" t="s">
        <v>1437</v>
      </c>
      <c r="B104" s="2570" t="s">
        <v>1432</v>
      </c>
      <c r="C104" s="2571">
        <f ca="1">H118</f>
        <v>2874</v>
      </c>
      <c r="D104" s="2572"/>
      <c r="E104" s="1660" t="s">
        <v>1438</v>
      </c>
      <c r="F104" s="1652"/>
      <c r="G104" s="1814" t="s">
        <v>1436</v>
      </c>
      <c r="H104" s="2577">
        <f>IF(D36="同一抵押权人同一抵押物续贷",C36&amp;"（续贷，未扣减，详见特别提示）",C36)</f>
        <v>0</v>
      </c>
      <c r="I104" s="119"/>
    </row>
    <row r="105" spans="1:35" ht="18.75" customHeight="1" thickBot="1">
      <c r="A105" s="3656"/>
      <c r="B105" s="2573" t="s">
        <v>1434</v>
      </c>
      <c r="C105" s="2574">
        <f ca="1">I118</f>
        <v>3473</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52" t="str">
        <f>IF(项目基本情况!E8="已注销","——","3.房地产抵押价值")</f>
        <v>3.房地产抵押价值</v>
      </c>
      <c r="F107" s="3653"/>
      <c r="G107" s="1813" t="s">
        <v>1432</v>
      </c>
      <c r="H107" s="2576">
        <f ca="1">IF(E107="——","——",H101-H103)</f>
        <v>2874</v>
      </c>
      <c r="I107" s="119"/>
    </row>
    <row r="108" spans="1:35" ht="18.75" customHeight="1">
      <c r="A108" s="119"/>
      <c r="B108" s="119"/>
      <c r="C108" s="119"/>
      <c r="D108" s="119"/>
      <c r="E108" s="3652"/>
      <c r="F108" s="3653"/>
      <c r="G108" s="1813" t="s">
        <v>1434</v>
      </c>
      <c r="H108" s="2536">
        <f ca="1">IF(H107=H101,H102,ROUND(H107*10000/'数据-汇总表'!E3,0))</f>
        <v>3473</v>
      </c>
      <c r="I108" s="119"/>
    </row>
    <row r="109" spans="1:35" ht="18.75" customHeight="1">
      <c r="A109" s="119"/>
      <c r="B109" s="119"/>
      <c r="C109" s="119"/>
      <c r="D109" s="119"/>
      <c r="E109" s="3652" t="str">
        <f>IF(项目基本情况!E8="已注销及未注销","4.抵押担保权已注销时的房地产抵押价值",IF(项目基本情况!E8="已注销","3.抵押担保权已注销时的房地产抵押价值","——"))</f>
        <v>——</v>
      </c>
      <c r="F109" s="3653"/>
      <c r="G109" s="1813" t="s">
        <v>1432</v>
      </c>
      <c r="H109" s="2579" t="str">
        <f>IF(E109="——","——",H101-H105-H106)</f>
        <v>——</v>
      </c>
      <c r="I109" s="119"/>
    </row>
    <row r="110" spans="1:35" ht="18.75" customHeight="1">
      <c r="A110" s="119"/>
      <c r="B110" s="119"/>
      <c r="C110" s="119"/>
      <c r="D110" s="119"/>
      <c r="E110" s="3652"/>
      <c r="F110" s="3653"/>
      <c r="G110" s="1813" t="s">
        <v>1434</v>
      </c>
      <c r="H110" s="2536" t="str">
        <f>IF(H109="——","——",ROUND(H109*10000/'数据-汇总表'!E3,0))</f>
        <v>——</v>
      </c>
      <c r="I110" s="119"/>
    </row>
    <row r="111" spans="1:35" ht="18.75" customHeight="1">
      <c r="A111" s="119"/>
      <c r="B111" s="119"/>
      <c r="C111" s="119"/>
      <c r="D111" s="119"/>
      <c r="E111" s="3684" t="str">
        <f>IF(项目基本情况!E9="抵押净值",IF(OR(项目基本情况!E8="已注销",项目基本情况!E8="房地产抵押价值"),"4.抵押净值","5.抵押净值"),"——")</f>
        <v>——</v>
      </c>
      <c r="F111" s="3654"/>
      <c r="G111" s="1813" t="s">
        <v>1432</v>
      </c>
      <c r="H111" s="2576" t="str">
        <f>IF(E111="——","——",N59)</f>
        <v>——</v>
      </c>
      <c r="I111" s="119"/>
    </row>
    <row r="112" spans="1:35" ht="18.75" customHeight="1" thickBot="1">
      <c r="A112" s="119"/>
      <c r="B112" s="119"/>
      <c r="C112" s="119"/>
      <c r="D112" s="119"/>
      <c r="E112" s="3685"/>
      <c r="F112" s="3686"/>
      <c r="G112" s="1816" t="s">
        <v>1434</v>
      </c>
      <c r="H112" s="2580" t="str">
        <f>IF(E111="——","——",N61)</f>
        <v>——</v>
      </c>
      <c r="I112" s="119"/>
    </row>
    <row r="113" spans="1:27" ht="18.75" customHeight="1">
      <c r="A113" s="119"/>
      <c r="B113" s="119"/>
      <c r="C113" s="119"/>
      <c r="D113" s="119"/>
      <c r="E113" s="3657" t="s">
        <v>1440</v>
      </c>
      <c r="F113" s="3657"/>
      <c r="G113" s="3657"/>
      <c r="H113" s="3657"/>
      <c r="I113" s="119"/>
    </row>
    <row r="114" spans="1:27" ht="3.75" customHeight="1">
      <c r="A114" s="1733"/>
      <c r="B114" s="1733"/>
      <c r="C114" s="1733"/>
      <c r="D114" s="1733"/>
      <c r="E114" s="1795"/>
      <c r="F114" s="1795"/>
      <c r="G114" s="1795"/>
      <c r="H114" s="1795"/>
      <c r="I114" s="1733"/>
    </row>
    <row r="115" spans="1:27" ht="18.75" customHeight="1">
      <c r="A115" s="3667" t="s">
        <v>1442</v>
      </c>
      <c r="B115" s="3668"/>
      <c r="C115" s="3668"/>
      <c r="D115" s="3668"/>
      <c r="E115" s="3668"/>
      <c r="F115" s="3668"/>
      <c r="G115" s="3668"/>
      <c r="H115" s="3668"/>
      <c r="I115" s="3669"/>
    </row>
    <row r="116" spans="1:27" ht="27" customHeight="1">
      <c r="A116" s="3623" t="s">
        <v>1443</v>
      </c>
      <c r="B116" s="3658" t="s">
        <v>1444</v>
      </c>
      <c r="C116" s="3658" t="s">
        <v>1445</v>
      </c>
      <c r="D116" s="3671" t="s">
        <v>1446</v>
      </c>
      <c r="E116" s="3672"/>
      <c r="F116" s="3666" t="s">
        <v>1447</v>
      </c>
      <c r="G116" s="3666"/>
      <c r="H116" s="3623" t="s">
        <v>1448</v>
      </c>
      <c r="I116" s="3623"/>
    </row>
    <row r="117" spans="1:27" ht="18.75" customHeight="1">
      <c r="A117" s="3623"/>
      <c r="B117" s="3659"/>
      <c r="C117" s="3659"/>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8275.91</v>
      </c>
      <c r="C118" s="2315">
        <f>M19</f>
        <v>47032</v>
      </c>
      <c r="D118" s="2315">
        <f ca="1">ROUND(IF(D32="总价",C34,E118*B118/10000),0)</f>
        <v>764</v>
      </c>
      <c r="E118" s="2315">
        <f ca="1">ROUND(IF(C33="自定义",IF(D32="楼面单价",C34,D118*10000/B118),I118-G118),0)</f>
        <v>923</v>
      </c>
      <c r="F118" s="2315">
        <f ca="1">ROUND(IF(D32="总价",C35,G118*B118/10000),0)</f>
        <v>2110</v>
      </c>
      <c r="G118" s="2315">
        <f ca="1">ROUND(IF(D32="楼面单价",C35,F118*10000/B118),0)</f>
        <v>2550</v>
      </c>
      <c r="H118" s="2315">
        <f ca="1">ROUND(IF(D32="总价",C32,I118*B118/10000),0)</f>
        <v>2874</v>
      </c>
      <c r="I118" s="2315">
        <f ca="1">ROUND(IF(D32="楼面单价",C32,H118*10000/B118),0)</f>
        <v>3473</v>
      </c>
    </row>
    <row r="119" spans="1:27" ht="18.75" customHeight="1">
      <c r="A119" s="3623" t="s">
        <v>1452</v>
      </c>
      <c r="B119" s="3623"/>
      <c r="C119" s="3623"/>
      <c r="D119" s="3663" t="str">
        <f ca="1">NUMBERSTRING(INT(D118*10000),2)&amp;"元整"</f>
        <v>柒佰陆拾肆万元整</v>
      </c>
      <c r="E119" s="3665"/>
      <c r="F119" s="3663" t="str">
        <f ca="1">NUMBERSTRING(INT(F118*10000),2)&amp;"元整"</f>
        <v>贰仟壹佰壹拾万元整</v>
      </c>
      <c r="G119" s="3665"/>
      <c r="H119" s="3663" t="str">
        <f ca="1">NUMBERSTRING(INT(H118*10000),2)&amp;"元整"</f>
        <v>贰仟捌佰柒拾肆万元整</v>
      </c>
      <c r="I119" s="3665"/>
    </row>
    <row r="120" spans="1:27" ht="18.75" customHeight="1">
      <c r="A120" s="3687" t="str">
        <f>IF(项目基本情况!B9="房地产市场价值","",MID(E103,3,LEN(E103)-2))</f>
        <v/>
      </c>
      <c r="B120" s="3688"/>
      <c r="C120" s="3689"/>
      <c r="D120" s="3687">
        <f>H103</f>
        <v>0</v>
      </c>
      <c r="E120" s="3688"/>
      <c r="F120" s="3688"/>
      <c r="G120" s="3688"/>
      <c r="H120" s="3688"/>
      <c r="I120" s="3689"/>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63" t="s">
        <v>1452</v>
      </c>
      <c r="B121" s="3664"/>
      <c r="C121" s="3665"/>
      <c r="D121" s="3663" t="str">
        <f>IF(D120=0,"零元整",NUMBERSTRING(INT(D120*10000),2)&amp;"元整")</f>
        <v>零元整</v>
      </c>
      <c r="E121" s="3664"/>
      <c r="F121" s="3664"/>
      <c r="G121" s="3664"/>
      <c r="H121" s="3664"/>
      <c r="I121" s="3665"/>
      <c r="AA121" s="712"/>
    </row>
    <row r="122" spans="1:27" ht="18.75" customHeight="1">
      <c r="A122" s="3654" t="str">
        <f>IF(项目基本情况!B9="房地产市场价值","",MID(E107,3,LEN(E107)-2))</f>
        <v/>
      </c>
      <c r="B122" s="3654"/>
      <c r="C122" s="3654"/>
      <c r="D122" s="3687">
        <f ca="1">H107</f>
        <v>2874</v>
      </c>
      <c r="E122" s="3688"/>
      <c r="F122" s="3688"/>
      <c r="G122" s="3688"/>
      <c r="H122" s="3688"/>
      <c r="I122" s="3689"/>
      <c r="AA122" s="712"/>
    </row>
    <row r="123" spans="1:27" ht="18.75" customHeight="1">
      <c r="A123" s="3623" t="s">
        <v>1452</v>
      </c>
      <c r="B123" s="3623"/>
      <c r="C123" s="3623"/>
      <c r="D123" s="3663" t="str">
        <f ca="1">NUMBERSTRING(INT(D122*10000),2)&amp;"元整"</f>
        <v>贰仟捌佰柒拾肆万元整</v>
      </c>
      <c r="E123" s="3664"/>
      <c r="F123" s="3664"/>
      <c r="G123" s="3664"/>
      <c r="H123" s="3664"/>
      <c r="I123" s="3665"/>
      <c r="AA123" s="712"/>
    </row>
    <row r="124" spans="1:27" ht="18.75" customHeight="1">
      <c r="A124" s="3654" t="str">
        <f>IF(项目基本情况!B9="房地产市场价值","",MID(E109,3,LEN(E109)-2))</f>
        <v/>
      </c>
      <c r="B124" s="3654"/>
      <c r="C124" s="3654"/>
      <c r="D124" s="3687" t="str">
        <f>H109</f>
        <v>——</v>
      </c>
      <c r="E124" s="3688"/>
      <c r="F124" s="3688"/>
      <c r="G124" s="3688"/>
      <c r="H124" s="3688"/>
      <c r="I124" s="3689"/>
      <c r="AA124" s="712"/>
    </row>
    <row r="125" spans="1:27" ht="18.75" customHeight="1">
      <c r="A125" s="3623" t="s">
        <v>1452</v>
      </c>
      <c r="B125" s="3623"/>
      <c r="C125" s="3623"/>
      <c r="D125" s="3663" t="e">
        <f>NUMBERSTRING(INT(D124*10000),2)&amp;"元整"</f>
        <v>#VALUE!</v>
      </c>
      <c r="E125" s="3664"/>
      <c r="F125" s="3664"/>
      <c r="G125" s="3664"/>
      <c r="H125" s="3664"/>
      <c r="I125" s="3665"/>
      <c r="AA125" s="712"/>
    </row>
    <row r="126" spans="1:27" ht="18.75" customHeight="1">
      <c r="A126" s="3654" t="str">
        <f>IF(项目基本情况!B9="房地产市场价值","",MID(E111,3,LEN(E111)-2))</f>
        <v/>
      </c>
      <c r="B126" s="3654"/>
      <c r="C126" s="3654"/>
      <c r="D126" s="3687" t="str">
        <f>H111</f>
        <v>——</v>
      </c>
      <c r="E126" s="3688"/>
      <c r="F126" s="3688"/>
      <c r="G126" s="3688"/>
      <c r="H126" s="3688"/>
      <c r="I126" s="3689"/>
      <c r="AA126" s="712"/>
    </row>
    <row r="127" spans="1:27" ht="18.75" customHeight="1">
      <c r="A127" s="3623" t="s">
        <v>1452</v>
      </c>
      <c r="B127" s="3623"/>
      <c r="C127" s="3623"/>
      <c r="D127" s="3663" t="e">
        <f>NUMBERSTRING(INT(D126*10000),2)&amp;"元整"</f>
        <v>#VALUE!</v>
      </c>
      <c r="E127" s="3664"/>
      <c r="F127" s="3664"/>
      <c r="G127" s="3664"/>
      <c r="H127" s="3664"/>
      <c r="I127" s="3665"/>
      <c r="AA127" s="712"/>
    </row>
    <row r="128" spans="1:27" ht="21.75" customHeight="1">
      <c r="A128" s="3670" t="s">
        <v>1453</v>
      </c>
      <c r="B128" s="3670"/>
      <c r="C128" s="3670"/>
      <c r="D128" s="3670"/>
      <c r="E128" s="3670"/>
      <c r="F128" s="3670"/>
      <c r="G128" s="3670"/>
      <c r="H128" s="3670"/>
      <c r="I128" s="3670"/>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09" t="str">
        <f>项目基本情况!B1</f>
        <v>河北省廊坊市香河开发区第一城内房地产市场价值预评估</v>
      </c>
      <c r="C37" s="3509"/>
      <c r="D37" s="3509"/>
      <c r="E37" s="3509"/>
      <c r="F37" s="3509"/>
      <c r="G37" s="3509"/>
      <c r="H37" s="3509"/>
      <c r="I37" s="3509"/>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ht="12.75">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85" zoomScaleNormal="60" zoomScaleSheetLayoutView="85" workbookViewId="0">
      <selection activeCell="C47" sqref="C47"/>
    </sheetView>
  </sheetViews>
  <sheetFormatPr defaultColWidth="9" defaultRowHeight="14.25"/>
  <cols>
    <col min="1" max="1" width="14.375" style="347" customWidth="1"/>
    <col min="2" max="2" width="15.75" style="347" customWidth="1"/>
    <col min="3" max="3" width="19.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862</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1042</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30" ht="35.25" customHeight="1">
      <c r="A5" s="348"/>
      <c r="B5" s="349"/>
      <c r="C5" s="3736" t="s">
        <v>1673</v>
      </c>
      <c r="D5" s="3737"/>
      <c r="E5" s="3743" t="str">
        <f>土地案例!A6</f>
        <v>永盛路东侧,新华大街南侧</v>
      </c>
      <c r="F5" s="3744"/>
      <c r="G5" s="3736" t="str">
        <f>土地案例!A12</f>
        <v>平安大街北侧,北经三路东侧</v>
      </c>
      <c r="H5" s="3737"/>
      <c r="I5" s="3736" t="str">
        <f>土地案例!A13</f>
        <v>平安大街北侧,北经三路西侧</v>
      </c>
      <c r="J5" s="3737"/>
      <c r="K5" s="549"/>
      <c r="L5" s="2695"/>
      <c r="M5" s="2696"/>
      <c r="N5" s="2696"/>
      <c r="O5" s="2696"/>
      <c r="P5" s="3724"/>
      <c r="Q5" s="3725"/>
      <c r="R5" s="3730"/>
      <c r="S5" s="3731"/>
      <c r="T5" s="3730"/>
      <c r="U5" s="3731"/>
      <c r="V5" s="3715"/>
      <c r="W5" s="3715"/>
      <c r="X5" s="1341"/>
      <c r="Y5" s="3730"/>
      <c r="Z5" s="3731"/>
      <c r="AA5" s="3717"/>
      <c r="AB5" s="3717"/>
      <c r="AC5" s="3717"/>
    </row>
    <row r="6" spans="1:30" ht="15.75" thickBot="1">
      <c r="A6" s="350"/>
      <c r="B6" s="351"/>
      <c r="C6" s="3734" t="s">
        <v>1677</v>
      </c>
      <c r="D6" s="3735"/>
      <c r="E6" s="3741" t="s">
        <v>1677</v>
      </c>
      <c r="F6" s="3742"/>
      <c r="G6" s="3734" t="s">
        <v>1677</v>
      </c>
      <c r="H6" s="3735"/>
      <c r="I6" s="3734" t="s">
        <v>1677</v>
      </c>
      <c r="J6" s="3735"/>
      <c r="K6" s="549" t="s">
        <v>1678</v>
      </c>
      <c r="L6" s="2695"/>
      <c r="M6" s="2696"/>
      <c r="N6" s="2696"/>
      <c r="O6" s="2696"/>
      <c r="P6" s="3726"/>
      <c r="Q6" s="3727"/>
      <c r="R6" s="3730"/>
      <c r="S6" s="3731"/>
      <c r="T6" s="3732"/>
      <c r="U6" s="3733"/>
      <c r="V6" s="3715"/>
      <c r="W6" s="3715"/>
      <c r="X6" s="1341"/>
      <c r="Y6" s="3732"/>
      <c r="Z6" s="3733"/>
      <c r="AA6" s="3718"/>
      <c r="AB6" s="3718"/>
      <c r="AC6" s="3718"/>
    </row>
    <row r="7" spans="1:30" s="105" customFormat="1" ht="15.7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38" t="s">
        <v>1680</v>
      </c>
      <c r="Q7" s="3740"/>
      <c r="R7" s="688" t="s">
        <v>14</v>
      </c>
      <c r="S7" s="689">
        <f t="shared" ref="S7:S15" si="0">F7</f>
        <v>99.500000000000028</v>
      </c>
      <c r="T7" s="688" t="s">
        <v>14</v>
      </c>
      <c r="U7" s="689">
        <f t="shared" ref="U7:U15" si="1">H7</f>
        <v>99.30000000000004</v>
      </c>
      <c r="V7" s="688" t="s">
        <v>14</v>
      </c>
      <c r="W7" s="689">
        <f t="shared" ref="W7:W15" si="2">J7</f>
        <v>99.200000000000045</v>
      </c>
      <c r="X7" s="690"/>
      <c r="Y7" s="3738" t="s">
        <v>1680</v>
      </c>
      <c r="Z7" s="3739"/>
      <c r="AA7" s="691">
        <f>D7/F7</f>
        <v>1.0050251256281404</v>
      </c>
      <c r="AB7" s="691">
        <f>D7/H7</f>
        <v>1.007049345417925</v>
      </c>
      <c r="AC7" s="691">
        <f>D7/J7</f>
        <v>1.0080645161290318</v>
      </c>
    </row>
    <row r="8" spans="1:30" s="105"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38" t="s">
        <v>1683</v>
      </c>
      <c r="Q8" s="3739"/>
      <c r="R8" s="688" t="s">
        <v>14</v>
      </c>
      <c r="S8" s="689">
        <f t="shared" si="0"/>
        <v>100</v>
      </c>
      <c r="T8" s="688" t="s">
        <v>14</v>
      </c>
      <c r="U8" s="689">
        <f t="shared" si="1"/>
        <v>100</v>
      </c>
      <c r="V8" s="688" t="s">
        <v>14</v>
      </c>
      <c r="W8" s="689">
        <f t="shared" si="2"/>
        <v>100</v>
      </c>
      <c r="X8" s="690"/>
      <c r="Y8" s="3738" t="s">
        <v>1683</v>
      </c>
      <c r="Z8" s="3739"/>
      <c r="AA8" s="691">
        <f t="shared" ref="AA8:AA45" si="3">D8/F8</f>
        <v>1</v>
      </c>
      <c r="AB8" s="691">
        <f t="shared" ref="AB8:AB45" si="4">D8/H8</f>
        <v>1</v>
      </c>
      <c r="AC8" s="691">
        <f t="shared" ref="AC8:AC45" si="5">D8/J8</f>
        <v>1</v>
      </c>
    </row>
    <row r="9" spans="1:30" s="105" customFormat="1">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10"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30" s="368" customFormat="1" ht="27">
      <c r="A10" s="364"/>
      <c r="B10" s="365" t="s">
        <v>1688</v>
      </c>
      <c r="C10" s="373"/>
      <c r="D10" s="117">
        <v>100</v>
      </c>
      <c r="E10" s="406"/>
      <c r="F10" s="3483">
        <v>100</v>
      </c>
      <c r="G10" s="404"/>
      <c r="H10" s="3483">
        <v>100</v>
      </c>
      <c r="I10" s="404"/>
      <c r="J10" s="3483">
        <v>100</v>
      </c>
      <c r="K10" s="610"/>
      <c r="L10" s="2699"/>
      <c r="M10" s="2700"/>
      <c r="N10" s="2700"/>
      <c r="O10" s="2753"/>
      <c r="P10" s="3710"/>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10"/>
      <c r="Q11" s="1329" t="str">
        <f t="shared" si="6"/>
        <v>容积率</v>
      </c>
      <c r="R11" s="688" t="s">
        <v>14</v>
      </c>
      <c r="S11" s="689">
        <f t="shared" si="0"/>
        <v>99</v>
      </c>
      <c r="T11" s="688" t="s">
        <v>14</v>
      </c>
      <c r="U11" s="689">
        <f t="shared" si="1"/>
        <v>98</v>
      </c>
      <c r="V11" s="688" t="s">
        <v>14</v>
      </c>
      <c r="W11" s="689">
        <f t="shared" si="2"/>
        <v>98</v>
      </c>
      <c r="X11" s="690"/>
      <c r="Y11" s="3610"/>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3646</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10"/>
      <c r="Q12" s="1329" t="str">
        <f t="shared" si="6"/>
        <v>配建</v>
      </c>
      <c r="R12" s="688" t="s">
        <v>14</v>
      </c>
      <c r="S12" s="689">
        <f t="shared" si="0"/>
        <v>100</v>
      </c>
      <c r="T12" s="688" t="s">
        <v>14</v>
      </c>
      <c r="U12" s="689">
        <f t="shared" si="1"/>
        <v>100</v>
      </c>
      <c r="V12" s="688" t="s">
        <v>14</v>
      </c>
      <c r="W12" s="689">
        <f t="shared" si="2"/>
        <v>100</v>
      </c>
      <c r="X12" s="690"/>
      <c r="Y12" s="3610"/>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D13/F13</f>
        <v>1</v>
      </c>
      <c r="AB13" s="691">
        <f>D13/H13</f>
        <v>1</v>
      </c>
      <c r="AC13" s="691">
        <f>D13/J13</f>
        <v>1</v>
      </c>
    </row>
    <row r="14" spans="1:30" ht="15.75"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10"/>
      <c r="Q14" s="1329">
        <f t="shared" si="6"/>
        <v>111</v>
      </c>
      <c r="R14" s="688" t="s">
        <v>14</v>
      </c>
      <c r="S14" s="689">
        <f t="shared" si="0"/>
        <v>100</v>
      </c>
      <c r="T14" s="688" t="s">
        <v>14</v>
      </c>
      <c r="U14" s="689">
        <f t="shared" si="1"/>
        <v>100</v>
      </c>
      <c r="V14" s="688" t="s">
        <v>14</v>
      </c>
      <c r="W14" s="689">
        <f t="shared" si="2"/>
        <v>100</v>
      </c>
      <c r="X14" s="690"/>
      <c r="Y14" s="3610"/>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11" t="s">
        <v>1691</v>
      </c>
      <c r="Q15" s="1338" t="str">
        <f t="shared" si="6"/>
        <v>居住社区成熟度</v>
      </c>
      <c r="R15" s="692" t="s">
        <v>14</v>
      </c>
      <c r="S15" s="693">
        <f t="shared" si="0"/>
        <v>100</v>
      </c>
      <c r="T15" s="692" t="s">
        <v>14</v>
      </c>
      <c r="U15" s="693">
        <f t="shared" si="1"/>
        <v>100</v>
      </c>
      <c r="V15" s="692" t="s">
        <v>14</v>
      </c>
      <c r="W15" s="693">
        <f t="shared" si="2"/>
        <v>100</v>
      </c>
      <c r="X15" s="1341"/>
      <c r="Y15" s="3711"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12"/>
      <c r="Q16" s="1338"/>
      <c r="R16" s="692"/>
      <c r="S16" s="693"/>
      <c r="T16" s="692"/>
      <c r="U16" s="693"/>
      <c r="V16" s="692"/>
      <c r="W16" s="693"/>
      <c r="X16" s="1341"/>
      <c r="Y16" s="3712"/>
      <c r="Z16" s="1342"/>
      <c r="AA16" s="1339">
        <v>1</v>
      </c>
      <c r="AB16" s="1339">
        <v>1</v>
      </c>
      <c r="AC16" s="1339">
        <v>1</v>
      </c>
    </row>
    <row r="17" spans="1:29" ht="71.25">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12"/>
      <c r="Q17" s="1338" t="str">
        <f>B17</f>
        <v>商业繁华度</v>
      </c>
      <c r="R17" s="692" t="s">
        <v>14</v>
      </c>
      <c r="S17" s="693">
        <f>F17</f>
        <v>95</v>
      </c>
      <c r="T17" s="692" t="s">
        <v>14</v>
      </c>
      <c r="U17" s="693">
        <f>H17</f>
        <v>95</v>
      </c>
      <c r="V17" s="692" t="s">
        <v>14</v>
      </c>
      <c r="W17" s="693">
        <f>J17</f>
        <v>95</v>
      </c>
      <c r="X17" s="1341"/>
      <c r="Y17" s="3712"/>
      <c r="Z17" s="1342" t="str">
        <f>Q17</f>
        <v>商业繁华度</v>
      </c>
      <c r="AA17" s="1339">
        <f t="shared" si="3"/>
        <v>1.0526315789473684</v>
      </c>
      <c r="AB17" s="1339">
        <f t="shared" si="4"/>
        <v>1.0526315789473684</v>
      </c>
      <c r="AC17" s="1339">
        <f t="shared" si="5"/>
        <v>1.0526315789473684</v>
      </c>
    </row>
    <row r="18" spans="1:29" ht="15">
      <c r="A18" s="369"/>
      <c r="B18" s="397"/>
      <c r="C18" s="1887" t="s">
        <v>3644</v>
      </c>
      <c r="D18" s="391"/>
      <c r="E18" s="1889" t="s">
        <v>3645</v>
      </c>
      <c r="F18" s="391"/>
      <c r="G18" s="1889" t="s">
        <v>3645</v>
      </c>
      <c r="H18" s="389"/>
      <c r="I18" s="1889" t="s">
        <v>3645</v>
      </c>
      <c r="J18" s="389"/>
      <c r="K18" s="610"/>
      <c r="L18" s="2702"/>
      <c r="M18" s="2696"/>
      <c r="N18" s="2696"/>
      <c r="O18" s="2754"/>
      <c r="P18" s="3712"/>
      <c r="Q18" s="1338"/>
      <c r="R18" s="692"/>
      <c r="S18" s="693"/>
      <c r="T18" s="692"/>
      <c r="U18" s="693"/>
      <c r="V18" s="692"/>
      <c r="W18" s="693"/>
      <c r="X18" s="1341"/>
      <c r="Y18" s="3712"/>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12"/>
      <c r="Q19" s="1338" t="str">
        <f>B19</f>
        <v>办公集聚程度</v>
      </c>
      <c r="R19" s="692" t="s">
        <v>14</v>
      </c>
      <c r="S19" s="693">
        <f>F19</f>
        <v>100</v>
      </c>
      <c r="T19" s="692" t="s">
        <v>14</v>
      </c>
      <c r="U19" s="693">
        <f>H19</f>
        <v>100</v>
      </c>
      <c r="V19" s="692" t="s">
        <v>14</v>
      </c>
      <c r="W19" s="693">
        <f>J19</f>
        <v>100</v>
      </c>
      <c r="X19" s="1341"/>
      <c r="Y19" s="3712"/>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12"/>
      <c r="Q20" s="1338"/>
      <c r="R20" s="692"/>
      <c r="S20" s="693"/>
      <c r="T20" s="692"/>
      <c r="U20" s="693"/>
      <c r="V20" s="692"/>
      <c r="W20" s="693"/>
      <c r="X20" s="1341"/>
      <c r="Y20" s="3712"/>
      <c r="Z20" s="1342"/>
      <c r="AA20" s="1339">
        <v>1</v>
      </c>
      <c r="AB20" s="1339">
        <v>1</v>
      </c>
      <c r="AC20" s="1339">
        <v>1</v>
      </c>
    </row>
    <row r="21" spans="1:29" ht="11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12"/>
      <c r="Q21" s="1338" t="str">
        <f>B21</f>
        <v>交通便捷度</v>
      </c>
      <c r="R21" s="692" t="s">
        <v>14</v>
      </c>
      <c r="S21" s="693">
        <f>F21</f>
        <v>100</v>
      </c>
      <c r="T21" s="692" t="s">
        <v>14</v>
      </c>
      <c r="U21" s="693">
        <f>H21</f>
        <v>100</v>
      </c>
      <c r="V21" s="692" t="s">
        <v>14</v>
      </c>
      <c r="W21" s="693">
        <f>J21</f>
        <v>100</v>
      </c>
      <c r="X21" s="1341"/>
      <c r="Y21" s="3712"/>
      <c r="Z21" s="1342" t="str">
        <f>Q21</f>
        <v>交通便捷度</v>
      </c>
      <c r="AA21" s="1339">
        <f t="shared" si="3"/>
        <v>1</v>
      </c>
      <c r="AB21" s="1339">
        <f t="shared" si="4"/>
        <v>1</v>
      </c>
      <c r="AC21" s="1339">
        <f t="shared" si="5"/>
        <v>1</v>
      </c>
    </row>
    <row r="22" spans="1:29" ht="15">
      <c r="A22" s="369"/>
      <c r="B22" s="1118"/>
      <c r="C22" s="388" t="s">
        <v>3645</v>
      </c>
      <c r="D22" s="391"/>
      <c r="E22" s="3476" t="s">
        <v>3645</v>
      </c>
      <c r="F22" s="389"/>
      <c r="G22" s="3476" t="s">
        <v>3645</v>
      </c>
      <c r="H22" s="389"/>
      <c r="I22" s="3476" t="s">
        <v>3645</v>
      </c>
      <c r="J22" s="389"/>
      <c r="K22" s="610"/>
      <c r="L22" s="2702"/>
      <c r="M22" s="2696"/>
      <c r="N22" s="2696"/>
      <c r="O22" s="2754"/>
      <c r="P22" s="3712"/>
      <c r="Q22" s="1338"/>
      <c r="R22" s="692"/>
      <c r="S22" s="693"/>
      <c r="T22" s="692"/>
      <c r="U22" s="693"/>
      <c r="V22" s="692"/>
      <c r="W22" s="693"/>
      <c r="X22" s="1341"/>
      <c r="Y22" s="3712"/>
      <c r="Z22" s="1342"/>
      <c r="AA22" s="1339">
        <v>1</v>
      </c>
      <c r="AB22" s="1339">
        <v>1</v>
      </c>
      <c r="AC22" s="1339">
        <v>1</v>
      </c>
    </row>
    <row r="23" spans="1:29" ht="15">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12"/>
      <c r="Q23" s="1338" t="str">
        <f t="shared" ref="Q23:Q37" si="8">B23</f>
        <v>区域土地利用方向</v>
      </c>
      <c r="R23" s="692" t="s">
        <v>14</v>
      </c>
      <c r="S23" s="693">
        <f>F23</f>
        <v>100</v>
      </c>
      <c r="T23" s="692" t="s">
        <v>14</v>
      </c>
      <c r="U23" s="693">
        <f>H23</f>
        <v>100</v>
      </c>
      <c r="V23" s="692" t="s">
        <v>14</v>
      </c>
      <c r="W23" s="693">
        <f>J23</f>
        <v>100</v>
      </c>
      <c r="X23" s="1341"/>
      <c r="Y23" s="3712"/>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12"/>
      <c r="Q24" s="1338"/>
      <c r="R24" s="692"/>
      <c r="S24" s="693"/>
      <c r="T24" s="692"/>
      <c r="U24" s="693"/>
      <c r="V24" s="692"/>
      <c r="W24" s="693"/>
      <c r="X24" s="1341"/>
      <c r="Y24" s="3712"/>
      <c r="Z24" s="1342"/>
      <c r="AA24" s="1339"/>
      <c r="AB24" s="1339"/>
      <c r="AC24" s="1339"/>
    </row>
    <row r="25" spans="1:29" ht="57">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12"/>
      <c r="Q25" s="1338" t="str">
        <f t="shared" si="8"/>
        <v>自然及人文环境状况</v>
      </c>
      <c r="R25" s="692" t="s">
        <v>14</v>
      </c>
      <c r="S25" s="693">
        <f>F25</f>
        <v>97</v>
      </c>
      <c r="T25" s="692" t="s">
        <v>14</v>
      </c>
      <c r="U25" s="693">
        <f>H25</f>
        <v>97</v>
      </c>
      <c r="V25" s="692" t="s">
        <v>14</v>
      </c>
      <c r="W25" s="693">
        <f>J25</f>
        <v>97</v>
      </c>
      <c r="X25" s="1341"/>
      <c r="Y25" s="3712"/>
      <c r="Z25" s="1342" t="str">
        <f>Q25</f>
        <v>自然及人文环境状况</v>
      </c>
      <c r="AA25" s="1339">
        <f t="shared" si="3"/>
        <v>1.0309278350515463</v>
      </c>
      <c r="AB25" s="1339">
        <f t="shared" si="4"/>
        <v>1.0309278350515463</v>
      </c>
      <c r="AC25" s="1339">
        <f t="shared" si="5"/>
        <v>1.0309278350515463</v>
      </c>
    </row>
    <row r="26" spans="1:29" ht="15">
      <c r="A26" s="348"/>
      <c r="B26" s="397"/>
      <c r="C26" s="388" t="s">
        <v>3644</v>
      </c>
      <c r="D26" s="389"/>
      <c r="E26" s="3477" t="s">
        <v>3645</v>
      </c>
      <c r="F26" s="389"/>
      <c r="G26" s="3477" t="s">
        <v>3645</v>
      </c>
      <c r="H26" s="389"/>
      <c r="I26" s="3477" t="s">
        <v>3645</v>
      </c>
      <c r="J26" s="389"/>
      <c r="K26" s="610"/>
      <c r="L26" s="2702"/>
      <c r="M26" s="2696"/>
      <c r="N26" s="2696"/>
      <c r="O26" s="2754"/>
      <c r="P26" s="3712"/>
      <c r="Q26" s="1338"/>
      <c r="R26" s="692"/>
      <c r="S26" s="693"/>
      <c r="T26" s="692"/>
      <c r="U26" s="693"/>
      <c r="V26" s="692"/>
      <c r="W26" s="693"/>
      <c r="X26" s="1341"/>
      <c r="Y26" s="3712"/>
      <c r="Z26" s="1342"/>
      <c r="AA26" s="1339">
        <v>1</v>
      </c>
      <c r="AB26" s="1339">
        <v>1</v>
      </c>
      <c r="AC26" s="1339">
        <v>1</v>
      </c>
    </row>
    <row r="27" spans="1:29" s="105" customFormat="1" ht="57">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12"/>
      <c r="Q27" s="1329" t="str">
        <f t="shared" si="8"/>
        <v>公共配套设施</v>
      </c>
      <c r="R27" s="688" t="s">
        <v>14</v>
      </c>
      <c r="S27" s="689">
        <f>F27</f>
        <v>100</v>
      </c>
      <c r="T27" s="688" t="s">
        <v>14</v>
      </c>
      <c r="U27" s="689">
        <f>H27</f>
        <v>100</v>
      </c>
      <c r="V27" s="688" t="s">
        <v>14</v>
      </c>
      <c r="W27" s="689">
        <f>J27</f>
        <v>100</v>
      </c>
      <c r="X27" s="690"/>
      <c r="Y27" s="3712"/>
      <c r="Z27" s="52" t="str">
        <f>Q27</f>
        <v>公共配套设施</v>
      </c>
      <c r="AA27" s="1339">
        <f>D27/F27</f>
        <v>1</v>
      </c>
      <c r="AB27" s="1339">
        <f>D27/H27</f>
        <v>1</v>
      </c>
      <c r="AC27" s="1339">
        <f>D27/J27</f>
        <v>1</v>
      </c>
    </row>
    <row r="28" spans="1:29" s="105" customFormat="1" ht="15">
      <c r="A28" s="587"/>
      <c r="B28" s="397"/>
      <c r="C28" s="1964" t="s">
        <v>3645</v>
      </c>
      <c r="D28" s="389"/>
      <c r="E28" s="3476" t="s">
        <v>3645</v>
      </c>
      <c r="F28" s="389"/>
      <c r="G28" s="3476" t="s">
        <v>3645</v>
      </c>
      <c r="H28" s="389"/>
      <c r="I28" s="3476" t="s">
        <v>3645</v>
      </c>
      <c r="J28" s="389"/>
      <c r="K28" s="610"/>
      <c r="L28" s="2697"/>
      <c r="M28" s="2698"/>
      <c r="N28" s="2698"/>
      <c r="O28" s="2752"/>
      <c r="P28" s="3712"/>
      <c r="Q28" s="1329"/>
      <c r="R28" s="688"/>
      <c r="S28" s="689"/>
      <c r="T28" s="688"/>
      <c r="U28" s="689"/>
      <c r="V28" s="688"/>
      <c r="W28" s="689"/>
      <c r="X28" s="690"/>
      <c r="Y28" s="3712"/>
      <c r="Z28" s="52"/>
      <c r="AA28" s="1339">
        <v>1</v>
      </c>
      <c r="AB28" s="1339">
        <v>1</v>
      </c>
      <c r="AC28" s="1339">
        <v>1</v>
      </c>
    </row>
    <row r="29" spans="1:29" s="105" customFormat="1" ht="28.5">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12"/>
      <c r="Q29" s="1329" t="str">
        <f t="shared" ref="Q29" si="9">B29</f>
        <v>基础设施水平</v>
      </c>
      <c r="R29" s="688" t="s">
        <v>14</v>
      </c>
      <c r="S29" s="689">
        <f>F29</f>
        <v>100</v>
      </c>
      <c r="T29" s="688" t="s">
        <v>14</v>
      </c>
      <c r="U29" s="689">
        <f>H29</f>
        <v>100</v>
      </c>
      <c r="V29" s="688" t="s">
        <v>14</v>
      </c>
      <c r="W29" s="689">
        <f>J29</f>
        <v>100</v>
      </c>
      <c r="X29" s="690"/>
      <c r="Y29" s="3712"/>
      <c r="Z29" s="52" t="str">
        <f>Q29</f>
        <v>基础设施水平</v>
      </c>
      <c r="AA29" s="1339">
        <f>D29/F29</f>
        <v>1</v>
      </c>
      <c r="AB29" s="1339">
        <f>D29/H29</f>
        <v>1</v>
      </c>
      <c r="AC29" s="1339">
        <f>D29/J29</f>
        <v>1</v>
      </c>
    </row>
    <row r="30" spans="1:29" s="105" customFormat="1" ht="15">
      <c r="A30" s="587"/>
      <c r="B30" s="397"/>
      <c r="C30" s="1964" t="s">
        <v>3628</v>
      </c>
      <c r="D30" s="389"/>
      <c r="E30" s="3478" t="s">
        <v>3628</v>
      </c>
      <c r="F30" s="389"/>
      <c r="G30" s="3478" t="s">
        <v>3628</v>
      </c>
      <c r="H30" s="389"/>
      <c r="I30" s="3478" t="s">
        <v>3628</v>
      </c>
      <c r="J30" s="389"/>
      <c r="K30" s="610"/>
      <c r="L30" s="2697"/>
      <c r="M30" s="2698"/>
      <c r="N30" s="2698"/>
      <c r="O30" s="2752"/>
      <c r="P30" s="3712"/>
      <c r="Q30" s="1329"/>
      <c r="R30" s="688"/>
      <c r="S30" s="689"/>
      <c r="T30" s="688"/>
      <c r="U30" s="689"/>
      <c r="V30" s="688"/>
      <c r="W30" s="689"/>
      <c r="X30" s="690"/>
      <c r="Y30" s="3712"/>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12"/>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12"/>
      <c r="Z31" s="1342" t="str">
        <f t="shared" ref="Z31:Z45" si="13">Q31</f>
        <v>临街状况</v>
      </c>
      <c r="AA31" s="1339">
        <f t="shared" si="3"/>
        <v>1</v>
      </c>
      <c r="AB31" s="1339">
        <f t="shared" si="4"/>
        <v>1</v>
      </c>
      <c r="AC31" s="1339">
        <f t="shared" si="5"/>
        <v>1</v>
      </c>
    </row>
    <row r="32" spans="1:29" ht="27">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12"/>
      <c r="Q32" s="1338" t="str">
        <f t="shared" si="8"/>
        <v>毗邻道路的类型与等级</v>
      </c>
      <c r="R32" s="692" t="s">
        <v>14</v>
      </c>
      <c r="S32" s="693">
        <f t="shared" si="10"/>
        <v>100</v>
      </c>
      <c r="T32" s="692" t="s">
        <v>14</v>
      </c>
      <c r="U32" s="693">
        <f t="shared" si="11"/>
        <v>100</v>
      </c>
      <c r="V32" s="692" t="s">
        <v>14</v>
      </c>
      <c r="W32" s="693">
        <f t="shared" si="12"/>
        <v>100</v>
      </c>
      <c r="X32" s="1341"/>
      <c r="Y32" s="3712"/>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12"/>
      <c r="Q33" s="1338"/>
      <c r="R33" s="692"/>
      <c r="S33" s="693"/>
      <c r="T33" s="692"/>
      <c r="U33" s="693"/>
      <c r="V33" s="692"/>
      <c r="W33" s="693"/>
      <c r="X33" s="1341"/>
      <c r="Y33" s="3712"/>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12"/>
      <c r="Q34" s="1338" t="str">
        <f t="shared" si="8"/>
        <v>土地级别</v>
      </c>
      <c r="R34" s="692" t="s">
        <v>14</v>
      </c>
      <c r="S34" s="693">
        <f t="shared" si="10"/>
        <v>100</v>
      </c>
      <c r="T34" s="692" t="s">
        <v>14</v>
      </c>
      <c r="U34" s="693">
        <f t="shared" si="11"/>
        <v>100</v>
      </c>
      <c r="V34" s="692" t="s">
        <v>14</v>
      </c>
      <c r="W34" s="693">
        <f t="shared" si="12"/>
        <v>100</v>
      </c>
      <c r="X34" s="1341"/>
      <c r="Y34" s="3712"/>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12"/>
      <c r="Q35" s="1338">
        <f t="shared" si="8"/>
        <v>111</v>
      </c>
      <c r="R35" s="692" t="s">
        <v>14</v>
      </c>
      <c r="S35" s="693">
        <f t="shared" si="10"/>
        <v>100</v>
      </c>
      <c r="T35" s="692" t="s">
        <v>14</v>
      </c>
      <c r="U35" s="693">
        <f t="shared" si="11"/>
        <v>100</v>
      </c>
      <c r="V35" s="692" t="s">
        <v>14</v>
      </c>
      <c r="W35" s="693">
        <f t="shared" si="12"/>
        <v>100</v>
      </c>
      <c r="X35" s="1341"/>
      <c r="Y35" s="3712"/>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13" t="s">
        <v>1696</v>
      </c>
      <c r="Q36" s="1338">
        <f t="shared" si="8"/>
        <v>111</v>
      </c>
      <c r="R36" s="692" t="s">
        <v>14</v>
      </c>
      <c r="S36" s="693">
        <f t="shared" si="10"/>
        <v>100</v>
      </c>
      <c r="T36" s="692" t="s">
        <v>14</v>
      </c>
      <c r="U36" s="693">
        <f t="shared" si="11"/>
        <v>100</v>
      </c>
      <c r="V36" s="692" t="s">
        <v>14</v>
      </c>
      <c r="W36" s="693">
        <f t="shared" si="12"/>
        <v>100</v>
      </c>
      <c r="X36" s="1341"/>
      <c r="Y36" s="3714" t="s">
        <v>1696</v>
      </c>
      <c r="Z36" s="1342">
        <f t="shared" si="13"/>
        <v>111</v>
      </c>
      <c r="AA36" s="1339">
        <f t="shared" si="3"/>
        <v>1</v>
      </c>
      <c r="AB36" s="1339">
        <f t="shared" si="4"/>
        <v>1</v>
      </c>
      <c r="AC36" s="1339">
        <f t="shared" si="5"/>
        <v>1</v>
      </c>
    </row>
    <row r="37" spans="1:29" s="412" customFormat="1" ht="15.75"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14"/>
      <c r="Q37" s="1338">
        <f t="shared" si="8"/>
        <v>111</v>
      </c>
      <c r="R37" s="695" t="s">
        <v>14</v>
      </c>
      <c r="S37" s="696">
        <f t="shared" si="10"/>
        <v>100</v>
      </c>
      <c r="T37" s="695" t="s">
        <v>14</v>
      </c>
      <c r="U37" s="696">
        <f t="shared" si="11"/>
        <v>100</v>
      </c>
      <c r="V37" s="695" t="s">
        <v>14</v>
      </c>
      <c r="W37" s="696">
        <f t="shared" si="12"/>
        <v>100</v>
      </c>
      <c r="X37" s="697"/>
      <c r="Y37" s="3714"/>
      <c r="Z37" s="698">
        <f t="shared" si="13"/>
        <v>111</v>
      </c>
      <c r="AA37" s="1339">
        <f t="shared" si="3"/>
        <v>1</v>
      </c>
      <c r="AB37" s="1339">
        <f t="shared" si="4"/>
        <v>1</v>
      </c>
      <c r="AC37" s="1339">
        <f t="shared" si="5"/>
        <v>1</v>
      </c>
    </row>
    <row r="38" spans="1:29" ht="15">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14"/>
      <c r="Q38" s="1338" t="str">
        <f>B38</f>
        <v>宗地面积</v>
      </c>
      <c r="R38" s="692" t="s">
        <v>14</v>
      </c>
      <c r="S38" s="693">
        <f t="shared" si="10"/>
        <v>100</v>
      </c>
      <c r="T38" s="692" t="s">
        <v>14</v>
      </c>
      <c r="U38" s="693">
        <f t="shared" si="11"/>
        <v>100</v>
      </c>
      <c r="V38" s="692" t="s">
        <v>14</v>
      </c>
      <c r="W38" s="693">
        <f t="shared" si="12"/>
        <v>100</v>
      </c>
      <c r="X38" s="1341"/>
      <c r="Y38" s="3714"/>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14"/>
      <c r="Q39" s="1338" t="str">
        <f t="shared" ref="Q39:Q45" si="14">B39</f>
        <v>宗地形状</v>
      </c>
      <c r="R39" s="692" t="s">
        <v>14</v>
      </c>
      <c r="S39" s="693">
        <f t="shared" si="10"/>
        <v>100</v>
      </c>
      <c r="T39" s="692" t="s">
        <v>14</v>
      </c>
      <c r="U39" s="693">
        <f t="shared" si="11"/>
        <v>100</v>
      </c>
      <c r="V39" s="692" t="s">
        <v>14</v>
      </c>
      <c r="W39" s="693">
        <f t="shared" si="12"/>
        <v>100</v>
      </c>
      <c r="X39" s="1341"/>
      <c r="Y39" s="3714"/>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14"/>
      <c r="Q40" s="1338" t="str">
        <f t="shared" si="14"/>
        <v>临街宽度及深度</v>
      </c>
      <c r="R40" s="692" t="s">
        <v>14</v>
      </c>
      <c r="S40" s="693">
        <f t="shared" si="10"/>
        <v>100</v>
      </c>
      <c r="T40" s="692" t="s">
        <v>14</v>
      </c>
      <c r="U40" s="693">
        <f t="shared" si="11"/>
        <v>100</v>
      </c>
      <c r="V40" s="692" t="s">
        <v>14</v>
      </c>
      <c r="W40" s="693">
        <f t="shared" si="12"/>
        <v>100</v>
      </c>
      <c r="X40" s="1341"/>
      <c r="Y40" s="3714"/>
      <c r="Z40" s="1342" t="str">
        <f t="shared" si="13"/>
        <v>临街宽度及深度</v>
      </c>
      <c r="AA40" s="1339">
        <f t="shared" si="3"/>
        <v>1</v>
      </c>
      <c r="AB40" s="1339">
        <f t="shared" si="4"/>
        <v>1</v>
      </c>
      <c r="AC40" s="1339">
        <f t="shared" si="5"/>
        <v>1</v>
      </c>
    </row>
    <row r="41" spans="1:29" s="105" customFormat="1" ht="15">
      <c r="A41" s="414"/>
      <c r="B41" s="365" t="s">
        <v>1877</v>
      </c>
      <c r="C41" s="1966" t="s">
        <v>3630</v>
      </c>
      <c r="D41" s="117">
        <v>100</v>
      </c>
      <c r="E41" s="1966" t="s">
        <v>3630</v>
      </c>
      <c r="F41" s="376">
        <f>SUMIF(122:122,E41,123:123)-SUMIF(122:122,C41,123:123)+100</f>
        <v>100</v>
      </c>
      <c r="G41" s="1966" t="s">
        <v>3630</v>
      </c>
      <c r="H41" s="376">
        <f>SUMIF(122:122,G41,123:123)-SUMIF(122:122,C41,123:123)+100</f>
        <v>100</v>
      </c>
      <c r="I41" s="1966" t="s">
        <v>3630</v>
      </c>
      <c r="J41" s="376">
        <f>SUMIF(122:122,I41,123:123)-SUMIF(122:122,C41,123:123)+100</f>
        <v>100</v>
      </c>
      <c r="K41" s="551">
        <v>1</v>
      </c>
      <c r="L41" s="2697"/>
      <c r="M41" s="2698"/>
      <c r="N41" s="2698"/>
      <c r="O41" s="2752"/>
      <c r="P41" s="3714"/>
      <c r="Q41" s="1338" t="str">
        <f t="shared" si="14"/>
        <v>宗地开发程度</v>
      </c>
      <c r="R41" s="688" t="s">
        <v>14</v>
      </c>
      <c r="S41" s="689">
        <f t="shared" si="10"/>
        <v>100</v>
      </c>
      <c r="T41" s="688" t="s">
        <v>14</v>
      </c>
      <c r="U41" s="689">
        <f t="shared" si="11"/>
        <v>100</v>
      </c>
      <c r="V41" s="688" t="s">
        <v>14</v>
      </c>
      <c r="W41" s="689">
        <f t="shared" si="12"/>
        <v>100</v>
      </c>
      <c r="X41" s="690"/>
      <c r="Y41" s="3714"/>
      <c r="Z41" s="52" t="str">
        <f t="shared" si="13"/>
        <v>宗地开发程度</v>
      </c>
      <c r="AA41" s="691">
        <f t="shared" si="3"/>
        <v>1</v>
      </c>
      <c r="AB41" s="691">
        <f t="shared" si="4"/>
        <v>1</v>
      </c>
      <c r="AC41" s="691">
        <f t="shared" si="5"/>
        <v>1</v>
      </c>
    </row>
    <row r="42" spans="1:29" ht="15">
      <c r="A42" s="413"/>
      <c r="B42" s="365" t="s">
        <v>1878</v>
      </c>
      <c r="C42" s="1892" t="s">
        <v>3644</v>
      </c>
      <c r="D42" s="376">
        <v>100</v>
      </c>
      <c r="E42" s="1892" t="s">
        <v>3644</v>
      </c>
      <c r="F42" s="376">
        <f>SUMIF(124:124,E42,125:125)-SUMIF(124:124,C42,125:125)+100</f>
        <v>100</v>
      </c>
      <c r="G42" s="1892" t="s">
        <v>3644</v>
      </c>
      <c r="H42" s="376">
        <f>SUMIF(124:124,G42,125:125)-SUMIF(124:124,C42,125:125)+100</f>
        <v>100</v>
      </c>
      <c r="I42" s="1892" t="s">
        <v>3644</v>
      </c>
      <c r="J42" s="376">
        <f>SUMIF(124:124,I42,125:125)-SUMIF(124:124,C42,125:125)+100</f>
        <v>100</v>
      </c>
      <c r="K42" s="551">
        <v>2</v>
      </c>
      <c r="L42" s="2702"/>
      <c r="M42" s="2696"/>
      <c r="N42" s="2696"/>
      <c r="O42" s="2754"/>
      <c r="P42" s="3714" t="s">
        <v>1696</v>
      </c>
      <c r="Q42" s="1338" t="str">
        <f t="shared" si="14"/>
        <v>工程地质条件</v>
      </c>
      <c r="R42" s="692" t="s">
        <v>14</v>
      </c>
      <c r="S42" s="693">
        <f t="shared" si="10"/>
        <v>100</v>
      </c>
      <c r="T42" s="692" t="s">
        <v>14</v>
      </c>
      <c r="U42" s="693">
        <f t="shared" si="11"/>
        <v>100</v>
      </c>
      <c r="V42" s="692" t="s">
        <v>14</v>
      </c>
      <c r="W42" s="693">
        <f t="shared" si="12"/>
        <v>100</v>
      </c>
      <c r="X42" s="1341"/>
      <c r="Y42" s="3714"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14"/>
      <c r="Q43" s="1338">
        <f t="shared" si="14"/>
        <v>111</v>
      </c>
      <c r="R43" s="692" t="s">
        <v>14</v>
      </c>
      <c r="S43" s="693">
        <f t="shared" si="10"/>
        <v>100</v>
      </c>
      <c r="T43" s="692" t="s">
        <v>14</v>
      </c>
      <c r="U43" s="693">
        <f t="shared" si="11"/>
        <v>100</v>
      </c>
      <c r="V43" s="692" t="s">
        <v>14</v>
      </c>
      <c r="W43" s="693">
        <f t="shared" si="12"/>
        <v>100</v>
      </c>
      <c r="X43" s="1341"/>
      <c r="Y43" s="3714"/>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14"/>
      <c r="Q44" s="1338">
        <f t="shared" si="14"/>
        <v>111</v>
      </c>
      <c r="R44" s="692" t="s">
        <v>14</v>
      </c>
      <c r="S44" s="693">
        <f t="shared" si="10"/>
        <v>100</v>
      </c>
      <c r="T44" s="692" t="s">
        <v>14</v>
      </c>
      <c r="U44" s="693">
        <f t="shared" si="11"/>
        <v>100</v>
      </c>
      <c r="V44" s="692" t="s">
        <v>14</v>
      </c>
      <c r="W44" s="693">
        <f t="shared" si="12"/>
        <v>100</v>
      </c>
      <c r="X44" s="1341"/>
      <c r="Y44" s="3714"/>
      <c r="Z44" s="1342">
        <f t="shared" si="13"/>
        <v>111</v>
      </c>
      <c r="AA44" s="1339">
        <f t="shared" si="3"/>
        <v>1</v>
      </c>
      <c r="AB44" s="1339">
        <f t="shared" si="4"/>
        <v>1</v>
      </c>
      <c r="AC44" s="1339">
        <f t="shared" si="5"/>
        <v>1</v>
      </c>
    </row>
    <row r="45" spans="1:29" s="412" customFormat="1" ht="15.75"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14"/>
      <c r="Q45" s="1338">
        <f t="shared" si="14"/>
        <v>111</v>
      </c>
      <c r="R45" s="695" t="s">
        <v>14</v>
      </c>
      <c r="S45" s="696">
        <f t="shared" si="10"/>
        <v>100</v>
      </c>
      <c r="T45" s="695" t="s">
        <v>14</v>
      </c>
      <c r="U45" s="696">
        <f t="shared" si="11"/>
        <v>100</v>
      </c>
      <c r="V45" s="695" t="s">
        <v>14</v>
      </c>
      <c r="W45" s="696">
        <f t="shared" si="12"/>
        <v>100</v>
      </c>
      <c r="X45" s="697"/>
      <c r="Y45" s="3714"/>
      <c r="Z45" s="698">
        <f t="shared" si="13"/>
        <v>111</v>
      </c>
      <c r="AA45" s="1339">
        <f t="shared" si="3"/>
        <v>1</v>
      </c>
      <c r="AB45" s="1339">
        <f t="shared" si="4"/>
        <v>1</v>
      </c>
      <c r="AC45" s="1339">
        <f t="shared" si="5"/>
        <v>1</v>
      </c>
    </row>
    <row r="46" spans="1:29" ht="15">
      <c r="A46" s="420" t="s">
        <v>1844</v>
      </c>
      <c r="B46" s="1968" t="s">
        <v>1879</v>
      </c>
      <c r="C46" s="620" t="s">
        <v>0</v>
      </c>
      <c r="D46" s="422"/>
      <c r="E46" s="423">
        <f>土地案例!BF6</f>
        <v>1129</v>
      </c>
      <c r="F46" s="424"/>
      <c r="G46" s="425">
        <f>土地案例!BF12</f>
        <v>842</v>
      </c>
      <c r="H46" s="426"/>
      <c r="I46" s="423">
        <f>土地案例!BF13</f>
        <v>844</v>
      </c>
      <c r="J46" s="426"/>
      <c r="K46" s="701"/>
      <c r="L46" s="2704"/>
      <c r="M46" s="2705"/>
      <c r="N46" s="2696"/>
      <c r="O46" s="2705"/>
      <c r="P46" s="3710" t="str">
        <f>A46</f>
        <v>成交单价</v>
      </c>
      <c r="Q46" s="3710"/>
      <c r="R46" s="3715">
        <f>E46</f>
        <v>1129</v>
      </c>
      <c r="S46" s="3715"/>
      <c r="T46" s="3715">
        <f>G46</f>
        <v>842</v>
      </c>
      <c r="U46" s="3715"/>
      <c r="V46" s="3715">
        <f>I46</f>
        <v>844</v>
      </c>
      <c r="W46" s="3715"/>
      <c r="X46" s="677"/>
      <c r="Y46" s="699"/>
      <c r="Z46" s="677"/>
      <c r="AA46" s="677"/>
      <c r="AB46" s="677"/>
      <c r="AC46" s="677"/>
    </row>
    <row r="47" spans="1:29" ht="15.75" thickBot="1">
      <c r="A47" s="427" t="s">
        <v>1793</v>
      </c>
      <c r="B47" s="621"/>
      <c r="C47" s="430">
        <f>R48</f>
        <v>1042</v>
      </c>
      <c r="D47" s="2303" t="s">
        <v>2138</v>
      </c>
      <c r="E47" s="430">
        <f>R47</f>
        <v>1244</v>
      </c>
      <c r="F47" s="2304"/>
      <c r="G47" s="429">
        <f>T47</f>
        <v>939</v>
      </c>
      <c r="H47" s="2304"/>
      <c r="I47" s="430">
        <f>V47</f>
        <v>942</v>
      </c>
      <c r="J47" s="2304"/>
      <c r="K47" s="2306">
        <f>F47+H47+J47</f>
        <v>0</v>
      </c>
      <c r="L47" s="2704"/>
      <c r="M47" s="2705"/>
      <c r="N47" s="2705"/>
      <c r="O47" s="2705"/>
      <c r="P47" s="3710" t="str">
        <f>A47</f>
        <v>比较价值（元/平方米）</v>
      </c>
      <c r="Q47" s="3710"/>
      <c r="R47" s="3703">
        <f>ROUND(PRODUCT(R46,AA7:AA45),0)</f>
        <v>1244</v>
      </c>
      <c r="S47" s="3703"/>
      <c r="T47" s="3703">
        <f>ROUND(PRODUCT(T46,AB7:AB45),0)</f>
        <v>939</v>
      </c>
      <c r="U47" s="3703"/>
      <c r="V47" s="3703">
        <f>ROUND(PRODUCT(V46,AC7:AC45),0)</f>
        <v>942</v>
      </c>
      <c r="W47" s="3703"/>
      <c r="X47" s="677"/>
      <c r="Y47" s="677"/>
      <c r="Z47" s="677"/>
      <c r="AA47" s="677"/>
      <c r="AB47" s="677"/>
      <c r="AC47" s="677"/>
    </row>
    <row r="48" spans="1:29" ht="15.75" thickBot="1">
      <c r="A48" s="431" t="s">
        <v>1880</v>
      </c>
      <c r="B48" s="432"/>
      <c r="C48" s="433">
        <f>R48</f>
        <v>1042</v>
      </c>
      <c r="D48" s="433"/>
      <c r="E48" s="433"/>
      <c r="F48" s="433"/>
      <c r="G48" s="433"/>
      <c r="H48" s="433"/>
      <c r="I48" s="433"/>
      <c r="J48" s="433"/>
      <c r="K48" s="702"/>
      <c r="L48" s="2704"/>
      <c r="M48" s="2705"/>
      <c r="N48" s="2705"/>
      <c r="O48" s="2705"/>
      <c r="P48" s="3704" t="str">
        <f>A48</f>
        <v>估价对象XX用房的比较价值（楼面单价，元/平方米）</v>
      </c>
      <c r="Q48" s="3705"/>
      <c r="R48" s="3706">
        <f>ROUND(IF(D47="简单平均",AVERAGE(R47:W47),R47*F47+T47*H47+V47*J47),0)</f>
        <v>1042</v>
      </c>
      <c r="S48" s="3706"/>
      <c r="T48" s="3706"/>
      <c r="U48" s="3706"/>
      <c r="V48" s="3706"/>
      <c r="W48" s="3706"/>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0.10186005314437563</v>
      </c>
      <c r="F51" s="439" t="str">
        <f>IF(OR(E51&gt;=0.3,E51&lt;=-0.3),"超过30%","")</f>
        <v/>
      </c>
      <c r="G51" s="438">
        <f>IF(G46&lt;G47,G47/G46-1,G46/G47-1)</f>
        <v>0.11520190023752974</v>
      </c>
      <c r="H51" s="439" t="str">
        <f>IF(OR(G51&gt;=0.3,G51&lt;=-0.3),"超过30%","")</f>
        <v/>
      </c>
      <c r="I51" s="438">
        <f>IF(I46&lt;I47,I47/I46-1,I46/I47-1)</f>
        <v>0.11611374407582931</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0.32481363152289666</v>
      </c>
      <c r="F52" s="439" t="str">
        <f>IF(OR(E52&gt;=0.2,E52&lt;=-0.2),"超过20%","")</f>
        <v>超过20%</v>
      </c>
      <c r="G52" s="438">
        <f>IF(G47&lt;I47,I47/G47-1,G47/I47-1)</f>
        <v>3.1948881789136685E-3</v>
      </c>
      <c r="H52" s="439" t="str">
        <f>IF(OR(G52&gt;=0.2,G52&lt;=-0.2),"超过20%","")</f>
        <v/>
      </c>
      <c r="I52" s="438">
        <f>IF(I47&lt;E47,E47/I47-1,I47/E47-1)</f>
        <v>0.32059447983014855</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0.34085510688836096</v>
      </c>
      <c r="F53" s="439" t="str">
        <f>IF(OR(E53&gt;=0.3,E53&lt;=-0.3),"超过30%","")</f>
        <v>超过30%</v>
      </c>
      <c r="G53" s="438">
        <f>IF(G46&lt;I46,I46/G46-1,G46/I46-1)</f>
        <v>2.3752969121140222E-3</v>
      </c>
      <c r="H53" s="439" t="str">
        <f>IF(OR(G53&gt;=0.3,G53&lt;=-0.3),"超过30%","")</f>
        <v/>
      </c>
      <c r="I53" s="438">
        <f>IF(I46&lt;E46,E46/I46-1,I46/E46-1)</f>
        <v>0.33767772511848348</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5"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07" t="s">
        <v>1887</v>
      </c>
      <c r="H55" s="3708"/>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1042</v>
      </c>
      <c r="C56" s="628">
        <v>1</v>
      </c>
      <c r="D56" s="931">
        <v>1</v>
      </c>
      <c r="E56" s="628">
        <f>'数据-汇总表'!E8+'数据-汇总表'!E9</f>
        <v>8275.91</v>
      </c>
      <c r="F56" s="873">
        <f t="shared" ref="F56:F64" si="15">ROUND(B56*E56/10000,0)</f>
        <v>862</v>
      </c>
      <c r="G56" s="3709"/>
      <c r="H56" s="3710"/>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5"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ht="13.5" thickBot="1">
      <c r="A65" s="633" t="s">
        <v>1903</v>
      </c>
      <c r="B65" s="634" t="s">
        <v>22</v>
      </c>
      <c r="C65" s="634" t="s">
        <v>23</v>
      </c>
      <c r="D65" s="634" t="s">
        <v>392</v>
      </c>
      <c r="E65" s="634">
        <f>IF(B46="楼面地价",SUM(E56:E64),'数据-汇总表'!D3)</f>
        <v>8275.91</v>
      </c>
      <c r="F65" s="635">
        <f>IF(B46="楼面地价",SUM(F56:F64),ROUND(C48*E65/10000,0))</f>
        <v>862</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1.75"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5">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7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5">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5.75"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c r="A74" s="466" t="s">
        <v>1719</v>
      </c>
      <c r="B74" s="467" t="s">
        <v>1685</v>
      </c>
      <c r="C74" s="3462" t="s">
        <v>3620</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5.75"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7.75"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5.75"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7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ht="15">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5.75"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5.75"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5.75"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5.75"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5.75"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5.75"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5.75"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7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5.75"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7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7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5.75"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15.75"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7.75"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7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7.75"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7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5.75"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5.75"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5"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5.75"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5"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5.75"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8.5">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ht="15">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5.75"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3621</v>
      </c>
      <c r="D118" s="3466" t="s">
        <v>3622</v>
      </c>
      <c r="E118" s="3466" t="s">
        <v>3623</v>
      </c>
      <c r="F118" s="3466" t="s">
        <v>3624</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5.75"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3625</v>
      </c>
      <c r="D120" s="3468" t="s">
        <v>3626</v>
      </c>
      <c r="E120" s="3468" t="s">
        <v>3627</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5.75"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3628</v>
      </c>
      <c r="D122" s="3469" t="s">
        <v>3629</v>
      </c>
      <c r="E122" s="3469" t="s">
        <v>3630</v>
      </c>
      <c r="F122" s="3469" t="s">
        <v>3631</v>
      </c>
      <c r="G122" s="3469" t="s">
        <v>3632</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3633</v>
      </c>
      <c r="D124" s="3468" t="s">
        <v>3634</v>
      </c>
      <c r="E124" s="3466" t="s">
        <v>3635</v>
      </c>
      <c r="F124" s="3466" t="s">
        <v>3636</v>
      </c>
      <c r="G124" s="3466" t="s">
        <v>3637</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5"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5.75"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5"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5.75"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5"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5.75"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
  <sheetViews>
    <sheetView topLeftCell="AO1" workbookViewId="0">
      <selection activeCell="AR21" sqref="AR21"/>
    </sheetView>
  </sheetViews>
  <sheetFormatPr defaultRowHeight="13.5"/>
  <cols>
    <col min="1" max="1" width="20" style="3424" customWidth="1"/>
    <col min="2" max="4" width="20" style="3424" hidden="1" customWidth="1"/>
    <col min="5" max="5" width="11" style="3424" customWidth="1"/>
    <col min="6" max="15" width="20" style="3424" customWidth="1"/>
    <col min="16" max="26" width="9.625" style="3424" customWidth="1"/>
    <col min="27" max="30" width="15.375" style="3424" customWidth="1"/>
    <col min="31" max="31" width="20" style="3424" customWidth="1"/>
    <col min="32" max="32" width="12.625" style="3424" customWidth="1"/>
    <col min="33" max="45" width="20" style="3424" customWidth="1"/>
    <col min="46" max="47" width="20" style="3424" hidden="1" customWidth="1"/>
    <col min="48" max="48" width="20" style="3424" customWidth="1"/>
    <col min="49" max="49" width="12.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0.74199999999999999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1129</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842</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844</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7" sqref="J27"/>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456" t="s">
        <v>3665</v>
      </c>
      <c r="C1" s="188"/>
      <c r="D1" s="188"/>
      <c r="E1" s="188"/>
      <c r="F1" s="188"/>
      <c r="G1" s="1113">
        <f>MATCH(B1,'数据-取费表'!A6:A16,0)+5</f>
        <v>6</v>
      </c>
    </row>
    <row r="2" spans="1:9" s="190" customFormat="1" ht="18" customHeight="1">
      <c r="A2" s="191" t="s">
        <v>1462</v>
      </c>
      <c r="B2" s="192">
        <f ca="1">IF(D2="——",C52,C52-E2)</f>
        <v>4632</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5597</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915</v>
      </c>
      <c r="D5" s="201" t="s">
        <v>1469</v>
      </c>
      <c r="E5" s="202" t="s">
        <v>1470</v>
      </c>
      <c r="F5" s="202" t="s">
        <v>1471</v>
      </c>
      <c r="G5" s="203"/>
    </row>
    <row r="6" spans="1:9" s="204" customFormat="1" ht="13.5" customHeight="1">
      <c r="A6" s="765" t="s">
        <v>1472</v>
      </c>
      <c r="B6" s="205" t="s">
        <v>1473</v>
      </c>
      <c r="C6" s="206">
        <f>'土地比较法-住宅、综合'!F56</f>
        <v>862</v>
      </c>
      <c r="D6" s="207"/>
      <c r="E6" s="208"/>
      <c r="F6" s="208"/>
      <c r="G6" s="209"/>
    </row>
    <row r="7" spans="1:9" s="204" customFormat="1" ht="13.5" customHeight="1">
      <c r="A7" s="765" t="s">
        <v>1474</v>
      </c>
      <c r="B7" s="205" t="s">
        <v>1475</v>
      </c>
      <c r="C7" s="210">
        <f>ROUND(C6*F7,0)</f>
        <v>26</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27</v>
      </c>
      <c r="D8" s="212"/>
      <c r="E8" s="210"/>
      <c r="F8" s="211"/>
      <c r="G8" s="1842" t="s">
        <v>3647</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3648</v>
      </c>
      <c r="H9" s="1124"/>
      <c r="I9" s="1844" t="s">
        <v>1479</v>
      </c>
    </row>
    <row r="10" spans="1:9" s="204" customFormat="1" ht="13.5" customHeight="1">
      <c r="A10" s="766" t="s">
        <v>356</v>
      </c>
      <c r="B10" s="214" t="s">
        <v>1480</v>
      </c>
      <c r="C10" s="215">
        <f ca="1">ROUND(D10*E10/10000,0)</f>
        <v>27</v>
      </c>
      <c r="D10" s="832">
        <f ca="1">IF(B1="",'数据-汇总表'!E6,IF(INDIRECT("'数据-取费表'!c"&amp;$G$1)="住宅",INDIRECT("'数据-取费表'!s"&amp;$G$1),INDIRECT("'数据-取费表'!k"&amp;$G$1)+INDIRECT("'数据-取费表'!s"&amp;$G$1)))</f>
        <v>8275.91</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8275.91</v>
      </c>
      <c r="E19" s="201">
        <f>'数据-取费表'!B31</f>
        <v>200</v>
      </c>
      <c r="F19" s="221"/>
      <c r="G19" s="1842" t="s">
        <v>3649</v>
      </c>
    </row>
    <row r="20" spans="1:7" s="204" customFormat="1" ht="13.5" customHeight="1">
      <c r="A20" s="245" t="s">
        <v>1493</v>
      </c>
      <c r="B20" s="200" t="s">
        <v>1494</v>
      </c>
      <c r="C20" s="222">
        <f ca="1">ROUND((C5+C19)*F20,0)</f>
        <v>18</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91">
        <f ca="1">ROUND(SUM(C23:C25),0)</f>
        <v>65</v>
      </c>
      <c r="D22" s="225">
        <f ca="1">C26</f>
        <v>6.9999999999999999E-4</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64</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v>
      </c>
      <c r="D25" s="228"/>
      <c r="E25" s="231"/>
      <c r="F25" s="229"/>
      <c r="G25" s="232" t="s">
        <v>1510</v>
      </c>
    </row>
    <row r="26" spans="1:7" s="204" customFormat="1">
      <c r="A26" s="767" t="s">
        <v>350</v>
      </c>
      <c r="B26" s="205" t="s">
        <v>1511</v>
      </c>
      <c r="C26" s="228">
        <f ca="1">ROUND(IF('数据-取费表'!B22&lt;=1,F21*F22*'数据-取费表'!B23/2,F21*(POWER((1+F22),'数据-取费表'!B23/2)-1)),4)</f>
        <v>6.9999999999999999E-4</v>
      </c>
      <c r="D26" s="228"/>
      <c r="E26" s="231"/>
      <c r="F26" s="229"/>
      <c r="G26" s="233"/>
    </row>
    <row r="27" spans="1:7" s="204" customFormat="1" ht="24.75">
      <c r="A27" s="245" t="s">
        <v>1512</v>
      </c>
      <c r="B27" s="234" t="s">
        <v>1513</v>
      </c>
      <c r="C27" s="235">
        <f ca="1">C28</f>
        <v>140</v>
      </c>
      <c r="D27" s="225">
        <f ca="1">C29</f>
        <v>3.0000000000000001E-3</v>
      </c>
      <c r="E27" s="226" t="s">
        <v>1514</v>
      </c>
      <c r="F27" s="236">
        <f ca="1">IF(B1="",'数据-取费表'!Q16,INDIRECT("'数据-取费表'!q"&amp;$G$1))</f>
        <v>0.15</v>
      </c>
      <c r="G27" s="237" t="s">
        <v>1515</v>
      </c>
    </row>
    <row r="28" spans="1:7" s="204" customFormat="1" ht="13.5" customHeight="1">
      <c r="A28" s="767" t="s">
        <v>346</v>
      </c>
      <c r="B28" s="238" t="s">
        <v>1516</v>
      </c>
      <c r="C28" s="239">
        <f ca="1">ROUND((C5+C19+C20)*F27*'数据-取费表'!B21/'数据-取费表'!B20,0)</f>
        <v>140</v>
      </c>
      <c r="D28" s="225"/>
      <c r="E28" s="226"/>
      <c r="F28" s="236"/>
      <c r="G28" s="237"/>
    </row>
    <row r="29" spans="1:7" s="204" customFormat="1" ht="13.5" customHeight="1">
      <c r="A29" s="767"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1232</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3910</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3583</v>
      </c>
      <c r="D34" s="207"/>
      <c r="E34" s="210"/>
      <c r="F34" s="247">
        <f ca="1">IF('数据-取费表'!B24=0,1,IF(B1="",'数据-取费表'!N16,INDIRECT("'数据-取费表'!n"&amp;$G$1)))</f>
        <v>1</v>
      </c>
      <c r="G34" s="209" t="s">
        <v>1526</v>
      </c>
    </row>
    <row r="35" spans="1:7" ht="13.5" customHeight="1">
      <c r="A35" s="767" t="s">
        <v>351</v>
      </c>
      <c r="B35" s="205" t="s">
        <v>1527</v>
      </c>
      <c r="C35" s="210">
        <f ca="1">ROUND(C34*F35,0)</f>
        <v>107</v>
      </c>
      <c r="D35" s="210"/>
      <c r="E35" s="210"/>
      <c r="F35" s="249">
        <f>'数据-取费表'!B33</f>
        <v>0.03</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166</v>
      </c>
      <c r="D37" s="207">
        <f ca="1">D19</f>
        <v>8275.91</v>
      </c>
      <c r="E37" s="239">
        <f>'数据-取费表'!B35</f>
        <v>200</v>
      </c>
      <c r="F37" s="249"/>
      <c r="G37" s="251" t="s">
        <v>1532</v>
      </c>
    </row>
    <row r="38" spans="1:7" ht="13.5" customHeight="1">
      <c r="A38" s="767" t="s">
        <v>354</v>
      </c>
      <c r="B38" s="205" t="s">
        <v>1533</v>
      </c>
      <c r="C38" s="210">
        <f ca="1">ROUND(C34*F38,0)</f>
        <v>54</v>
      </c>
      <c r="D38" s="210"/>
      <c r="E38" s="210"/>
      <c r="F38" s="249">
        <f>'数据-取费表'!B36</f>
        <v>1.4999999999999999E-2</v>
      </c>
      <c r="G38" s="209" t="s">
        <v>1528</v>
      </c>
    </row>
    <row r="39" spans="1:7" s="204" customFormat="1" ht="13.5" customHeight="1">
      <c r="A39" s="245" t="s">
        <v>1534</v>
      </c>
      <c r="B39" s="200" t="s">
        <v>1535</v>
      </c>
      <c r="C39" s="222">
        <f ca="1">ROUND(C33*F20,0)</f>
        <v>78</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138</v>
      </c>
      <c r="D41" s="225">
        <f ca="1">C44</f>
        <v>6.9999999999999999E-4</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135</v>
      </c>
      <c r="D42" s="228"/>
      <c r="E42" s="228"/>
      <c r="F42" s="229"/>
      <c r="G42" s="3745" t="s">
        <v>1544</v>
      </c>
    </row>
    <row r="43" spans="1:7" ht="13.5" customHeight="1">
      <c r="A43" s="767" t="s">
        <v>347</v>
      </c>
      <c r="B43" s="205" t="s">
        <v>1545</v>
      </c>
      <c r="C43" s="228">
        <f ca="1">ROUND(IF('数据-取费表'!B22&lt;=1,C39*F22*'数据-取费表'!B21/2,C39*(POWER((1+F22),'数据-取费表'!B21/2)-1)),0)</f>
        <v>3</v>
      </c>
      <c r="D43" s="228"/>
      <c r="E43" s="228"/>
      <c r="F43" s="229"/>
      <c r="G43" s="3746"/>
    </row>
    <row r="44" spans="1:7" ht="13.5" customHeight="1">
      <c r="A44" s="767" t="s">
        <v>348</v>
      </c>
      <c r="B44" s="205" t="s">
        <v>1546</v>
      </c>
      <c r="C44" s="228">
        <f ca="1">ROUND(IF('数据-取费表'!B22&lt;=1,C40*F22*'数据-取费表'!B21/2,C40*(POWER((1+F22),'数据-取费表'!B21/2)-1)),4)</f>
        <v>6.9999999999999999E-4</v>
      </c>
      <c r="D44" s="228"/>
      <c r="E44" s="228"/>
      <c r="F44" s="229"/>
      <c r="G44" s="3747"/>
    </row>
    <row r="45" spans="1:7" s="204" customFormat="1" ht="13.5" customHeight="1">
      <c r="A45" s="245" t="s">
        <v>1547</v>
      </c>
      <c r="B45" s="234" t="s">
        <v>1513</v>
      </c>
      <c r="C45" s="235">
        <f ca="1">C46</f>
        <v>598</v>
      </c>
      <c r="D45" s="225">
        <f ca="1">C47</f>
        <v>3.0000000000000001E-3</v>
      </c>
      <c r="E45" s="226" t="s">
        <v>1539</v>
      </c>
      <c r="F45" s="236">
        <f ca="1">F27</f>
        <v>0.15</v>
      </c>
      <c r="G45" s="237" t="s">
        <v>1548</v>
      </c>
    </row>
    <row r="46" spans="1:7" s="204" customFormat="1" ht="13.5" customHeight="1">
      <c r="A46" s="767" t="s">
        <v>346</v>
      </c>
      <c r="B46" s="238" t="s">
        <v>1549</v>
      </c>
      <c r="C46" s="239">
        <f ca="1">ROUND((C33+C39)*F27,0)</f>
        <v>598</v>
      </c>
      <c r="D46" s="253"/>
      <c r="E46" s="226"/>
      <c r="F46" s="236"/>
      <c r="G46" s="237"/>
    </row>
    <row r="47" spans="1:7" s="204" customFormat="1" ht="13.5" customHeight="1">
      <c r="A47" s="767" t="s">
        <v>347</v>
      </c>
      <c r="B47" s="238" t="s">
        <v>1550</v>
      </c>
      <c r="C47" s="228">
        <f ca="1">ROUND(C40*F27,4)</f>
        <v>3.0000000000000001E-3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5113</v>
      </c>
      <c r="D49" s="222"/>
      <c r="E49" s="222"/>
      <c r="F49" s="254"/>
      <c r="G49" s="224" t="s">
        <v>1554</v>
      </c>
    </row>
    <row r="50" spans="1:7" s="248" customFormat="1" ht="24">
      <c r="A50" s="245" t="s">
        <v>1555</v>
      </c>
      <c r="B50" s="200" t="s">
        <v>1556</v>
      </c>
      <c r="C50" s="222"/>
      <c r="D50" s="222"/>
      <c r="E50" s="222"/>
      <c r="F50" s="254">
        <f>IF('数据-取费表'!B24=0,'数据-取费表'!N16,1)</f>
        <v>0.66500000000000004</v>
      </c>
      <c r="G50" s="237" t="s">
        <v>1557</v>
      </c>
    </row>
    <row r="51" spans="1:7" ht="16.5" customHeight="1">
      <c r="A51" s="245" t="s">
        <v>1558</v>
      </c>
      <c r="B51" s="200" t="s">
        <v>1559</v>
      </c>
      <c r="C51" s="222">
        <f ca="1">ROUND(C49*F50,0)</f>
        <v>3400</v>
      </c>
      <c r="D51" s="222"/>
      <c r="E51" s="222"/>
      <c r="F51" s="254"/>
      <c r="G51" s="224" t="s">
        <v>1560</v>
      </c>
    </row>
    <row r="52" spans="1:7" s="198" customFormat="1" ht="16.5" thickBot="1">
      <c r="A52" s="255" t="s">
        <v>1561</v>
      </c>
      <c r="B52" s="256"/>
      <c r="C52" s="257">
        <f ca="1">C31+C51</f>
        <v>4632</v>
      </c>
      <c r="D52" s="256"/>
      <c r="E52" s="256"/>
      <c r="F52" s="256"/>
      <c r="G52" s="258"/>
    </row>
    <row r="55" spans="1:7" ht="15">
      <c r="B55" s="260" t="s">
        <v>1562</v>
      </c>
      <c r="C55" s="261"/>
    </row>
    <row r="56" spans="1:7">
      <c r="B56" s="263" t="s">
        <v>802</v>
      </c>
      <c r="C56" s="265">
        <f ca="1">1-C57</f>
        <v>0.26600000000000001</v>
      </c>
    </row>
    <row r="57" spans="1:7">
      <c r="B57" s="263" t="s">
        <v>803</v>
      </c>
      <c r="C57" s="264">
        <f ca="1">ROUND(C51/C52,3)</f>
        <v>0.73399999999999999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3659.5277000000001</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4422</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274760</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274760</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274760</v>
      </c>
      <c r="D10" s="832">
        <f ca="1">IF(B1="",'数据-汇总表'!E6,IF(INDIRECT("'数据-取费表'!c"&amp;$G$1)="住宅",INDIRECT("'数据-取费表'!s"&amp;$G$1),INDIRECT("'数据-取费表'!k"&amp;$G$1)+INDIRECT("'数据-取费表'!s"&amp;$G$1)))</f>
        <v>8275.91</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1655182</v>
      </c>
      <c r="D19" s="836">
        <f ca="1">D9+D10</f>
        <v>8275.91</v>
      </c>
      <c r="E19" s="201">
        <f>'数据-取费表'!B31</f>
        <v>200</v>
      </c>
      <c r="F19" s="221"/>
      <c r="G19" s="1842"/>
    </row>
    <row r="20" spans="1:7" s="204" customFormat="1" ht="13.5" customHeight="1">
      <c r="A20" s="245" t="s">
        <v>1574</v>
      </c>
      <c r="B20" s="200" t="s">
        <v>1575</v>
      </c>
      <c r="C20" s="222">
        <f ca="1">ROUND((C5+C19)*F20,0)</f>
        <v>38599</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1114">
        <f ca="1">ROUND(SUM(C23:C25),0)</f>
        <v>136795</v>
      </c>
      <c r="D22" s="225">
        <f ca="1">C26</f>
        <v>6.9999999999999999E-4</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19285</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116178</v>
      </c>
      <c r="D24" s="228"/>
      <c r="E24" s="228"/>
      <c r="F24" s="229"/>
      <c r="G24" s="230" t="s">
        <v>1586</v>
      </c>
    </row>
    <row r="25" spans="1:7" s="204" customFormat="1" ht="24">
      <c r="A25" s="767" t="s">
        <v>1476</v>
      </c>
      <c r="B25" s="205" t="s">
        <v>1587</v>
      </c>
      <c r="C25" s="1115">
        <f ca="1">ROUND(IF('数据-取费表'!B22&lt;=1,C20*F22*'数据-取费表'!B22/2,C20*(POWER((1+F22),'数据-取费表'!B22/2)-1)),0)</f>
        <v>1332</v>
      </c>
      <c r="D25" s="228"/>
      <c r="E25" s="231"/>
      <c r="F25" s="229"/>
      <c r="G25" s="232" t="s">
        <v>1588</v>
      </c>
    </row>
    <row r="26" spans="1:7" s="204" customFormat="1">
      <c r="A26" s="767" t="s">
        <v>350</v>
      </c>
      <c r="B26" s="205" t="s">
        <v>1511</v>
      </c>
      <c r="C26" s="228">
        <f ca="1">ROUND(IF('数据-取费表'!B22&lt;=1,F21*F22*'数据-取费表'!B22/2,F21*(POWER((1+F22),'数据-取费表'!B22/2)-1)),4)</f>
        <v>6.9999999999999999E-4</v>
      </c>
      <c r="D26" s="228"/>
      <c r="E26" s="231"/>
      <c r="F26" s="229"/>
      <c r="G26" s="233"/>
    </row>
    <row r="27" spans="1:7" s="204" customFormat="1" ht="24.75">
      <c r="A27" s="245" t="s">
        <v>1512</v>
      </c>
      <c r="B27" s="234" t="s">
        <v>1513</v>
      </c>
      <c r="C27" s="235">
        <f ca="1">C28</f>
        <v>295281</v>
      </c>
      <c r="D27" s="225">
        <f ca="1">C29</f>
        <v>3.0000000000000001E-3</v>
      </c>
      <c r="E27" s="226" t="s">
        <v>1514</v>
      </c>
      <c r="F27" s="236">
        <f ca="1">IF(B1="",'数据-取费表'!Q16,INDIRECT("'数据-取费表'!q"&amp;$G$1))</f>
        <v>0.15</v>
      </c>
      <c r="G27" s="237" t="s">
        <v>1515</v>
      </c>
    </row>
    <row r="28" spans="1:7" s="204" customFormat="1" ht="13.5" customHeight="1">
      <c r="A28" s="767" t="s">
        <v>346</v>
      </c>
      <c r="B28" s="238" t="s">
        <v>1516</v>
      </c>
      <c r="C28" s="239">
        <f ca="1">ROUND((C5+C19+C20)*F27,0)</f>
        <v>295281</v>
      </c>
      <c r="D28" s="225"/>
      <c r="E28" s="226"/>
      <c r="F28" s="236"/>
      <c r="G28" s="237"/>
    </row>
    <row r="29" spans="1:7" s="204" customFormat="1" ht="13.5" customHeight="1">
      <c r="A29" s="767"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2598352</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39093784</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35826414</v>
      </c>
      <c r="D34" s="207"/>
      <c r="E34" s="210"/>
      <c r="F34" s="247"/>
      <c r="G34" s="209"/>
    </row>
    <row r="35" spans="1:7" ht="13.5" customHeight="1">
      <c r="A35" s="767" t="s">
        <v>351</v>
      </c>
      <c r="B35" s="205" t="s">
        <v>1527</v>
      </c>
      <c r="C35" s="210">
        <f ca="1">ROUND(C34*F35,0)</f>
        <v>1074792</v>
      </c>
      <c r="D35" s="210"/>
      <c r="E35" s="210"/>
      <c r="F35" s="249">
        <f>'数据-取费表'!B33</f>
        <v>0.03</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1655182</v>
      </c>
      <c r="D37" s="207">
        <f ca="1">D19</f>
        <v>8275.91</v>
      </c>
      <c r="E37" s="239">
        <f>'数据-取费表'!B35</f>
        <v>200</v>
      </c>
      <c r="F37" s="249"/>
      <c r="G37" s="251"/>
    </row>
    <row r="38" spans="1:7" ht="13.5" customHeight="1">
      <c r="A38" s="767" t="s">
        <v>354</v>
      </c>
      <c r="B38" s="205" t="s">
        <v>1533</v>
      </c>
      <c r="C38" s="210">
        <f ca="1">ROUND(C34*F38,0)</f>
        <v>537396</v>
      </c>
      <c r="D38" s="210"/>
      <c r="E38" s="210"/>
      <c r="F38" s="249">
        <f>'数据-取费表'!B36</f>
        <v>1.4999999999999999E-2</v>
      </c>
      <c r="G38" s="209" t="s">
        <v>1528</v>
      </c>
    </row>
    <row r="39" spans="1:7" s="204" customFormat="1" ht="13.5" customHeight="1">
      <c r="A39" s="245" t="s">
        <v>1534</v>
      </c>
      <c r="B39" s="200" t="s">
        <v>1535</v>
      </c>
      <c r="C39" s="222">
        <f ca="1">ROUND(C33*F20,0)</f>
        <v>781876</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1375711</v>
      </c>
      <c r="D41" s="225">
        <f ca="1">C44</f>
        <v>6.9999999999999999E-4</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1348736</v>
      </c>
      <c r="D42" s="228"/>
      <c r="E42" s="228"/>
      <c r="F42" s="229"/>
      <c r="G42" s="3745" t="s">
        <v>1591</v>
      </c>
    </row>
    <row r="43" spans="1:7" ht="13.5" customHeight="1">
      <c r="A43" s="767" t="s">
        <v>347</v>
      </c>
      <c r="B43" s="205" t="s">
        <v>1545</v>
      </c>
      <c r="C43" s="228">
        <f ca="1">ROUND(IF('数据-取费表'!B22&lt;=1,C39*F22*'数据-取费表'!B20/2,C39*(POWER((1+F22),'数据-取费表'!B20/2)-1)),0)</f>
        <v>26975</v>
      </c>
      <c r="D43" s="228"/>
      <c r="E43" s="228"/>
      <c r="F43" s="229"/>
      <c r="G43" s="3746"/>
    </row>
    <row r="44" spans="1:7" ht="13.5" customHeight="1">
      <c r="A44" s="767" t="s">
        <v>348</v>
      </c>
      <c r="B44" s="205" t="s">
        <v>1546</v>
      </c>
      <c r="C44" s="228">
        <f ca="1">ROUND(IF('数据-取费表'!B22&lt;=1,C40*F22*'数据-取费表'!B20/2,C40*(POWER((1+F22),'数据-取费表'!B20/2)-1)),4)</f>
        <v>6.9999999999999999E-4</v>
      </c>
      <c r="D44" s="228"/>
      <c r="E44" s="228"/>
      <c r="F44" s="229"/>
      <c r="G44" s="3747"/>
    </row>
    <row r="45" spans="1:7" s="204" customFormat="1" ht="13.5" customHeight="1">
      <c r="A45" s="245" t="s">
        <v>1547</v>
      </c>
      <c r="B45" s="234" t="s">
        <v>1513</v>
      </c>
      <c r="C45" s="235">
        <f ca="1">C46</f>
        <v>5981349</v>
      </c>
      <c r="D45" s="225">
        <f ca="1">C47</f>
        <v>3.0000000000000001E-3</v>
      </c>
      <c r="E45" s="226" t="s">
        <v>1539</v>
      </c>
      <c r="F45" s="236">
        <f ca="1">F27</f>
        <v>0.15</v>
      </c>
      <c r="G45" s="237" t="s">
        <v>1548</v>
      </c>
    </row>
    <row r="46" spans="1:7" s="204" customFormat="1" ht="13.5" customHeight="1">
      <c r="A46" s="767" t="s">
        <v>346</v>
      </c>
      <c r="B46" s="238" t="s">
        <v>1549</v>
      </c>
      <c r="C46" s="239">
        <f ca="1">ROUND((C33+C39)*F27,0)</f>
        <v>5981349</v>
      </c>
      <c r="D46" s="253"/>
      <c r="E46" s="226"/>
      <c r="F46" s="236"/>
      <c r="G46" s="237"/>
    </row>
    <row r="47" spans="1:7" s="204" customFormat="1" ht="13.5" customHeight="1">
      <c r="A47" s="767"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51123195</v>
      </c>
      <c r="D49" s="222"/>
      <c r="E49" s="222"/>
      <c r="F49" s="254"/>
      <c r="G49" s="224" t="s">
        <v>1554</v>
      </c>
    </row>
    <row r="50" spans="1:7" s="248" customFormat="1">
      <c r="A50" s="245" t="s">
        <v>1555</v>
      </c>
      <c r="B50" s="200" t="s">
        <v>1556</v>
      </c>
      <c r="C50" s="222"/>
      <c r="D50" s="222"/>
      <c r="E50" s="222"/>
      <c r="F50" s="254">
        <f>IF('数据-取费表'!B24=0,'数据-取费表'!N16,1)</f>
        <v>0.66500000000000004</v>
      </c>
      <c r="G50" s="237"/>
    </row>
    <row r="51" spans="1:7" ht="16.5" customHeight="1">
      <c r="A51" s="245" t="s">
        <v>1558</v>
      </c>
      <c r="B51" s="200" t="s">
        <v>1593</v>
      </c>
      <c r="C51" s="222">
        <f ca="1">ROUND(C49*F50,0)</f>
        <v>33996925</v>
      </c>
      <c r="D51" s="222"/>
      <c r="E51" s="222"/>
      <c r="F51" s="254"/>
      <c r="G51" s="224" t="s">
        <v>1560</v>
      </c>
    </row>
    <row r="52" spans="1:7" s="198" customFormat="1" ht="16.5" thickBot="1">
      <c r="A52" s="255" t="s">
        <v>1561</v>
      </c>
      <c r="B52" s="256"/>
      <c r="C52" s="257">
        <f ca="1">C31+C51</f>
        <v>36595277</v>
      </c>
      <c r="D52" s="256"/>
      <c r="E52" s="256"/>
      <c r="F52" s="256"/>
      <c r="G52" s="258"/>
    </row>
    <row r="55" spans="1:7" ht="15">
      <c r="B55" s="260" t="s">
        <v>1562</v>
      </c>
      <c r="C55" s="261"/>
    </row>
    <row r="56" spans="1:7">
      <c r="B56" s="263" t="s">
        <v>802</v>
      </c>
      <c r="C56" s="265">
        <f ca="1">1-C57</f>
        <v>7.0999999999999952E-2</v>
      </c>
    </row>
    <row r="57" spans="1:7">
      <c r="B57" s="263" t="s">
        <v>803</v>
      </c>
      <c r="C57" s="26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5">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0.03</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8275.91</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8275.91</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27</v>
      </c>
      <c r="D20" s="833">
        <f ca="1">IF(C1="",'数据-汇总表'!E6,IF(INDIRECT("'数据-取费表'!c"&amp;$K$1)="住宅",INDIRECT("'数据-取费表'!s"&amp;$K$1),INDIRECT("'数据-取费表'!k"&amp;$K$1)+INDIRECT("'数据-取费表'!s"&amp;$K$1)))</f>
        <v>8275.91</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0.02</v>
      </c>
      <c r="G22" s="5" t="s">
        <v>1631</v>
      </c>
      <c r="H22" s="784"/>
      <c r="I22" s="784"/>
      <c r="J22" s="784"/>
      <c r="K22" s="785"/>
    </row>
    <row r="23" spans="1:33" s="790" customFormat="1" ht="13.5" customHeight="1">
      <c r="A23" s="777" t="s">
        <v>1603</v>
      </c>
      <c r="B23" s="800" t="s">
        <v>1632</v>
      </c>
      <c r="C23" s="801">
        <f ca="1">ROUND(C4*F23*F11,0)</f>
        <v>0</v>
      </c>
      <c r="D23" s="271"/>
      <c r="E23" s="271"/>
      <c r="F23" s="803">
        <f>'数据-取费表'!B38</f>
        <v>0.02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0.15</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8" t="s">
        <v>694</v>
      </c>
      <c r="C6" s="1061">
        <f ca="1">ROUND(F6*F8*F7*(1-F9),0)</f>
        <v>0</v>
      </c>
      <c r="D6" s="145" t="s">
        <v>2106</v>
      </c>
      <c r="E6" s="292" t="s">
        <v>696</v>
      </c>
      <c r="F6" s="293">
        <f ca="1">INDIRECT("'数据-取费表'!u"&amp;$G$1)</f>
        <v>0</v>
      </c>
      <c r="G6" s="1370"/>
      <c r="H6" s="1056" t="s">
        <v>398</v>
      </c>
      <c r="I6" s="3748" t="s">
        <v>694</v>
      </c>
      <c r="J6" s="291">
        <f ca="1">ROUND(M6*M8*M7*(1-M9),0)</f>
        <v>0</v>
      </c>
      <c r="K6" s="1362" t="s">
        <v>2107</v>
      </c>
      <c r="L6" s="292" t="s">
        <v>696</v>
      </c>
      <c r="M6" s="293">
        <f ca="1">INDIRECT("'数据-取费表'!z"&amp;$G$1)</f>
        <v>0</v>
      </c>
    </row>
    <row r="7" spans="1:37" ht="18" customHeight="1">
      <c r="A7" s="1060"/>
      <c r="B7" s="3749"/>
      <c r="C7" s="1062"/>
      <c r="D7" s="297"/>
      <c r="E7" s="1063" t="s">
        <v>697</v>
      </c>
      <c r="F7" s="293">
        <f ca="1">IF(INDIRECT("'数据-取费表'!ah"&amp;$G$1)="",INDIRECT("'数据-取费表'!k"&amp;$G$1),INDIRECT("'数据-取费表'!ah"&amp;$G$1))</f>
        <v>0</v>
      </c>
      <c r="G7" s="1370"/>
      <c r="H7" s="294"/>
      <c r="I7" s="3749"/>
      <c r="J7" s="296"/>
      <c r="K7" s="297"/>
      <c r="L7" s="292" t="s">
        <v>697</v>
      </c>
      <c r="M7" s="293">
        <f ca="1">F7</f>
        <v>0</v>
      </c>
    </row>
    <row r="8" spans="1:37" ht="18" customHeight="1">
      <c r="A8" s="294"/>
      <c r="B8" s="3749"/>
      <c r="C8" s="296"/>
      <c r="D8" s="297"/>
      <c r="E8" s="292" t="s">
        <v>698</v>
      </c>
      <c r="F8" s="293">
        <f ca="1">INDIRECT("'数据-取费表'!ai"&amp;$G$1)</f>
        <v>0</v>
      </c>
      <c r="G8" s="1370"/>
      <c r="H8" s="294"/>
      <c r="I8" s="3749"/>
      <c r="J8" s="296"/>
      <c r="K8" s="297"/>
      <c r="L8" s="292" t="s">
        <v>698</v>
      </c>
      <c r="M8" s="293">
        <f ca="1">INDIRECT("'数据-取费表'!ai"&amp;$G$1)</f>
        <v>0</v>
      </c>
    </row>
    <row r="9" spans="1:37" ht="18" customHeight="1">
      <c r="A9" s="294"/>
      <c r="B9" s="3750"/>
      <c r="C9" s="296"/>
      <c r="D9" s="297"/>
      <c r="E9" s="292" t="s">
        <v>699</v>
      </c>
      <c r="F9" s="302">
        <f ca="1">INDIRECT("'数据-取费表'!w"&amp;$G$1)</f>
        <v>0</v>
      </c>
      <c r="G9" s="1370"/>
      <c r="H9" s="294"/>
      <c r="I9" s="3750"/>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0.02</v>
      </c>
      <c r="G20" s="1382"/>
      <c r="H20" s="969" t="s">
        <v>680</v>
      </c>
      <c r="I20" s="145" t="s">
        <v>730</v>
      </c>
      <c r="J20" s="22">
        <f ca="1">ROUND(M20*M21,0)</f>
        <v>0</v>
      </c>
      <c r="K20" s="314" t="s">
        <v>731</v>
      </c>
      <c r="L20" s="292" t="s">
        <v>732</v>
      </c>
      <c r="M20" s="315">
        <f>'数据-取费表'!B52</f>
        <v>2</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0.02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2</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6.9999999999999999E-4</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2</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5"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51" t="s">
        <v>837</v>
      </c>
      <c r="L53" s="3752"/>
      <c r="O53" s="1404" t="s">
        <v>409</v>
      </c>
      <c r="P53" s="1405" t="s">
        <v>838</v>
      </c>
      <c r="Q53" s="1406" t="e">
        <f ca="1">Q47+Q48</f>
        <v>#DIV/0!</v>
      </c>
      <c r="R53" s="1406" t="s">
        <v>410</v>
      </c>
    </row>
    <row r="54" spans="1:18" s="1370" customFormat="1" ht="13.5"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IF(项目基本情况!B11="自然人","——",ROUND(F62*F63,0))</f>
        <v>0</v>
      </c>
      <c r="D62" s="952" t="s">
        <v>786</v>
      </c>
      <c r="E62" s="937" t="s">
        <v>787</v>
      </c>
      <c r="F62" s="315">
        <f t="shared" si="0"/>
        <v>2</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O10" sqref="O10"/>
    </sheetView>
  </sheetViews>
  <sheetFormatPr defaultRowHeight="13.15" customHeight="1"/>
  <cols>
    <col min="1" max="1" width="9.5" style="2822" customWidth="1"/>
    <col min="2" max="2" width="8.875" style="2822"/>
    <col min="3" max="5" width="12.875" style="2822" customWidth="1"/>
    <col min="6" max="6" width="47.5" style="2822" customWidth="1"/>
    <col min="7" max="7" width="13" style="2975" customWidth="1"/>
    <col min="8" max="8" width="8.875" style="2816"/>
    <col min="9" max="9" width="8.875" style="2817"/>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15" customHeight="1">
      <c r="A2" s="1371" t="s">
        <v>2315</v>
      </c>
      <c r="B2" s="2823">
        <f ca="1">IF(D2="——",C40,C40+E2)</f>
        <v>52714</v>
      </c>
      <c r="C2" s="2824" t="s">
        <v>2316</v>
      </c>
      <c r="D2" s="3417" t="s">
        <v>3352</v>
      </c>
      <c r="E2" s="3418">
        <f ca="1">收益法!L46</f>
        <v>414</v>
      </c>
      <c r="F2" s="2826"/>
      <c r="G2" s="2827"/>
      <c r="H2" s="2828"/>
      <c r="I2" s="2829"/>
      <c r="J2" s="3759" t="s">
        <v>2317</v>
      </c>
      <c r="K2" s="3760"/>
      <c r="L2" s="2830" t="s">
        <v>2318</v>
      </c>
      <c r="M2" s="2830" t="s">
        <v>2319</v>
      </c>
      <c r="N2" s="2830" t="s">
        <v>2320</v>
      </c>
      <c r="O2" s="2830" t="s">
        <v>2321</v>
      </c>
      <c r="P2" s="2830" t="s">
        <v>2322</v>
      </c>
      <c r="Q2" s="2831" t="s">
        <v>2323</v>
      </c>
      <c r="R2" s="2832" t="s">
        <v>2324</v>
      </c>
      <c r="S2" s="2821"/>
      <c r="T2" s="2821"/>
      <c r="U2" s="2821"/>
      <c r="V2" s="2829"/>
    </row>
    <row r="3" spans="1:22" s="2833" customFormat="1" ht="13.15" customHeight="1">
      <c r="A3" s="2834" t="s">
        <v>2325</v>
      </c>
      <c r="B3" s="2835">
        <f ca="1">ROUND(B2*10000/B4,0)</f>
        <v>63696</v>
      </c>
      <c r="C3" s="2824" t="s">
        <v>2326</v>
      </c>
      <c r="D3" s="2824"/>
      <c r="E3" s="2825"/>
      <c r="F3" s="2826"/>
      <c r="G3" s="2827"/>
      <c r="H3" s="2828"/>
      <c r="I3" s="2829"/>
      <c r="J3" s="3761" t="s">
        <v>2327</v>
      </c>
      <c r="K3" s="3762"/>
      <c r="L3" s="2836"/>
      <c r="M3" s="2836"/>
      <c r="N3" s="2836"/>
      <c r="O3" s="2836"/>
      <c r="P3" s="2836"/>
      <c r="Q3" s="2837"/>
      <c r="R3" s="2838">
        <f>SUM(L3:Q3)</f>
        <v>0</v>
      </c>
      <c r="S3" s="2821"/>
      <c r="T3" s="2821"/>
      <c r="U3" s="2821"/>
      <c r="V3" s="2829"/>
    </row>
    <row r="4" spans="1:22" s="2833" customFormat="1" ht="13.15" customHeight="1">
      <c r="A4" s="2839" t="s">
        <v>2328</v>
      </c>
      <c r="B4" s="2840">
        <f>'数据-汇总表'!E3</f>
        <v>8275.91</v>
      </c>
      <c r="C4" s="2824"/>
      <c r="D4" s="2824"/>
      <c r="E4" s="2825"/>
      <c r="F4" s="2826"/>
      <c r="G4" s="2827"/>
      <c r="H4" s="2828"/>
      <c r="I4" s="2829"/>
      <c r="J4" s="3761" t="s">
        <v>2329</v>
      </c>
      <c r="K4" s="3762"/>
      <c r="L4" s="2841"/>
      <c r="M4" s="2841"/>
      <c r="N4" s="2841"/>
      <c r="O4" s="2841"/>
      <c r="P4" s="2841"/>
      <c r="Q4" s="2842"/>
      <c r="R4" s="2843">
        <f>SUM(L4:Q4)</f>
        <v>0</v>
      </c>
      <c r="S4" s="2821"/>
      <c r="T4" s="2821"/>
      <c r="U4" s="2821"/>
      <c r="V4" s="2829"/>
    </row>
    <row r="5" spans="1:22" s="2833" customFormat="1" ht="13.15" customHeight="1" thickBot="1">
      <c r="A5" s="2844" t="s">
        <v>2330</v>
      </c>
      <c r="B5" s="2845">
        <f>'数据-汇总表'!D3</f>
        <v>47032</v>
      </c>
      <c r="C5" s="2824"/>
      <c r="D5" s="2846"/>
      <c r="E5" s="2826"/>
      <c r="F5" s="2826"/>
      <c r="G5" s="2827"/>
      <c r="H5" s="2828"/>
      <c r="I5" s="2829"/>
      <c r="J5" s="2847" t="s">
        <v>2331</v>
      </c>
      <c r="K5" s="2848"/>
      <c r="L5" s="2848"/>
      <c r="M5" s="2849"/>
      <c r="N5" s="2849"/>
      <c r="O5" s="2849"/>
      <c r="P5" s="2849"/>
      <c r="Q5" s="2849"/>
      <c r="R5" s="2832">
        <f>SUM(R14,R19,R24,R25,R27,R28)</f>
        <v>17750</v>
      </c>
      <c r="S5" s="2821"/>
      <c r="T5" s="2821" t="s">
        <v>2332</v>
      </c>
      <c r="U5" s="2821" t="e">
        <f>ROUND(R5*10000/365/R3,1)</f>
        <v>#DIV/0!</v>
      </c>
      <c r="V5" s="2829"/>
    </row>
    <row r="6" spans="1:22" s="2833" customFormat="1" ht="13.15" customHeight="1" thickBot="1">
      <c r="A6" s="3767" t="s">
        <v>2333</v>
      </c>
      <c r="B6" s="3768"/>
      <c r="C6" s="3769"/>
      <c r="D6" s="2850">
        <f>R5</f>
        <v>17750</v>
      </c>
      <c r="E6" s="2851"/>
      <c r="F6" s="2852"/>
      <c r="G6" s="2853"/>
      <c r="H6" s="2828"/>
      <c r="I6" s="2829"/>
      <c r="J6" s="3753">
        <v>1</v>
      </c>
      <c r="K6" s="3754"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15" customHeight="1">
      <c r="A7" s="2856" t="s">
        <v>2343</v>
      </c>
      <c r="B7" s="2857"/>
      <c r="C7" s="2858"/>
      <c r="D7" s="2859">
        <f ca="1">SUM(D9,D10,D11,D17,0)</f>
        <v>9904</v>
      </c>
      <c r="E7" s="2860">
        <f ca="1">E9+E10+E11+E17</f>
        <v>0.55791549295774645</v>
      </c>
      <c r="F7" s="2861"/>
      <c r="G7" s="2862"/>
      <c r="H7" s="2828"/>
      <c r="I7" s="2829"/>
      <c r="J7" s="3753"/>
      <c r="K7" s="3755"/>
      <c r="L7" s="3486" t="s">
        <v>3650</v>
      </c>
      <c r="M7" s="3487"/>
      <c r="N7" s="3488"/>
      <c r="O7" s="3489"/>
      <c r="P7" s="3489"/>
      <c r="Q7" s="3490">
        <v>365</v>
      </c>
      <c r="R7" s="3491">
        <f>ROUND(M7*N7*O7*P7*Q7/10000,0)</f>
        <v>0</v>
      </c>
      <c r="S7" s="2821"/>
      <c r="T7" s="2821" t="s">
        <v>2344</v>
      </c>
      <c r="U7" s="2821"/>
      <c r="V7" s="2829"/>
    </row>
    <row r="8" spans="1:22" s="2833" customFormat="1" ht="13.15" customHeight="1">
      <c r="A8" s="2868" t="s">
        <v>2345</v>
      </c>
      <c r="B8" s="3770" t="s">
        <v>2346</v>
      </c>
      <c r="C8" s="3771"/>
      <c r="D8" s="2869" t="s">
        <v>2347</v>
      </c>
      <c r="E8" s="2870" t="s">
        <v>2348</v>
      </c>
      <c r="F8" s="2871" t="s">
        <v>2349</v>
      </c>
      <c r="G8" s="2872"/>
      <c r="H8" s="2828"/>
      <c r="I8" s="2829"/>
      <c r="J8" s="3753"/>
      <c r="K8" s="3755"/>
      <c r="L8" s="3486" t="s">
        <v>3651</v>
      </c>
      <c r="M8" s="3487"/>
      <c r="N8" s="3488"/>
      <c r="O8" s="3489"/>
      <c r="P8" s="3489"/>
      <c r="Q8" s="3490">
        <v>365</v>
      </c>
      <c r="R8" s="3491">
        <f t="shared" ref="R8:R13" si="0">ROUND(M8*N8*O8*P8*Q8/10000,0)</f>
        <v>0</v>
      </c>
      <c r="S8" s="2821"/>
      <c r="T8" s="2821" t="s">
        <v>2350</v>
      </c>
      <c r="U8" s="2821"/>
      <c r="V8" s="2829"/>
    </row>
    <row r="9" spans="1:22" s="2833" customFormat="1" ht="13.15" customHeight="1">
      <c r="A9" s="2868">
        <v>1</v>
      </c>
      <c r="B9" s="3770" t="s">
        <v>2351</v>
      </c>
      <c r="C9" s="3771"/>
      <c r="D9" s="2869">
        <f>ROUND(D6*E9,0)</f>
        <v>4438</v>
      </c>
      <c r="E9" s="3495">
        <v>0.25</v>
      </c>
      <c r="F9" s="2873" t="s">
        <v>2352</v>
      </c>
      <c r="G9" s="2853"/>
      <c r="H9" s="2828"/>
      <c r="I9" s="2829"/>
      <c r="J9" s="3753"/>
      <c r="K9" s="3755"/>
      <c r="L9" s="3492" t="s">
        <v>3652</v>
      </c>
      <c r="M9" s="3487">
        <v>8</v>
      </c>
      <c r="N9" s="3488">
        <f>N12</f>
        <v>1880</v>
      </c>
      <c r="O9" s="3493">
        <v>0.6</v>
      </c>
      <c r="P9" s="3493">
        <v>0.5</v>
      </c>
      <c r="Q9" s="3490">
        <v>365</v>
      </c>
      <c r="R9" s="3491">
        <f t="shared" si="0"/>
        <v>165</v>
      </c>
      <c r="S9" s="2821"/>
      <c r="T9" s="2821"/>
      <c r="U9" s="2821"/>
      <c r="V9" s="2829"/>
    </row>
    <row r="10" spans="1:22" s="2833" customFormat="1" ht="13.15" customHeight="1">
      <c r="A10" s="2868">
        <v>2</v>
      </c>
      <c r="B10" s="3770" t="s">
        <v>2353</v>
      </c>
      <c r="C10" s="3771"/>
      <c r="D10" s="2869">
        <f>ROUND(D6*E10,0)</f>
        <v>2663</v>
      </c>
      <c r="E10" s="3495">
        <v>0.15</v>
      </c>
      <c r="F10" s="2873" t="s">
        <v>2354</v>
      </c>
      <c r="G10" s="2853"/>
      <c r="H10" s="2828"/>
      <c r="I10" s="2829"/>
      <c r="J10" s="3753"/>
      <c r="K10" s="3755"/>
      <c r="L10" s="3486" t="s">
        <v>3653</v>
      </c>
      <c r="M10" s="3487">
        <v>1284</v>
      </c>
      <c r="N10" s="3488">
        <v>760</v>
      </c>
      <c r="O10" s="3493">
        <f>O9</f>
        <v>0.6</v>
      </c>
      <c r="P10" s="3493">
        <f>P9</f>
        <v>0.5</v>
      </c>
      <c r="Q10" s="3490">
        <v>365</v>
      </c>
      <c r="R10" s="3491">
        <f t="shared" si="0"/>
        <v>10685</v>
      </c>
      <c r="S10" s="2821"/>
      <c r="T10" s="2821"/>
      <c r="U10" s="2821"/>
      <c r="V10" s="2829"/>
    </row>
    <row r="11" spans="1:22" s="2833" customFormat="1" ht="13.15" customHeight="1">
      <c r="A11" s="2868">
        <v>3</v>
      </c>
      <c r="B11" s="3770" t="s">
        <v>2355</v>
      </c>
      <c r="C11" s="3771"/>
      <c r="D11" s="2869">
        <f ca="1">D12+D14+D15+D16</f>
        <v>1028</v>
      </c>
      <c r="E11" s="2874">
        <f ca="1">D11/D6</f>
        <v>5.7915492957746478E-2</v>
      </c>
      <c r="F11" s="2871"/>
      <c r="G11" s="2872"/>
      <c r="H11" s="2828"/>
      <c r="I11" s="2829"/>
      <c r="J11" s="3753"/>
      <c r="K11" s="3755"/>
      <c r="L11" s="3492" t="s">
        <v>3654</v>
      </c>
      <c r="M11" s="3487">
        <v>44</v>
      </c>
      <c r="N11" s="3488">
        <v>880</v>
      </c>
      <c r="O11" s="3493">
        <f t="shared" ref="O11:P13" si="1">O10</f>
        <v>0.6</v>
      </c>
      <c r="P11" s="3493">
        <f t="shared" si="1"/>
        <v>0.5</v>
      </c>
      <c r="Q11" s="3490">
        <v>365</v>
      </c>
      <c r="R11" s="3491">
        <f t="shared" si="0"/>
        <v>424</v>
      </c>
      <c r="S11" s="2821"/>
      <c r="T11" s="2821"/>
      <c r="U11" s="2821"/>
      <c r="V11" s="2829"/>
    </row>
    <row r="12" spans="1:22" s="2833" customFormat="1" ht="13.15" customHeight="1">
      <c r="A12" s="2875" t="s">
        <v>2356</v>
      </c>
      <c r="B12" s="3763" t="s">
        <v>2357</v>
      </c>
      <c r="C12" s="3764"/>
      <c r="D12" s="2876">
        <f ca="1">ROUND(D13*1.2%*(1-30%),0)</f>
        <v>43</v>
      </c>
      <c r="E12" s="2877">
        <v>1.2E-2</v>
      </c>
      <c r="F12" s="2871" t="s">
        <v>2358</v>
      </c>
      <c r="G12" s="2872"/>
      <c r="H12" s="2828"/>
      <c r="I12" s="2829"/>
      <c r="J12" s="3753"/>
      <c r="K12" s="3755"/>
      <c r="L12" s="3492" t="s">
        <v>3655</v>
      </c>
      <c r="M12" s="3487">
        <f>44+45</f>
        <v>89</v>
      </c>
      <c r="N12" s="3488">
        <v>1880</v>
      </c>
      <c r="O12" s="3493">
        <f t="shared" si="1"/>
        <v>0.6</v>
      </c>
      <c r="P12" s="3493">
        <f t="shared" si="1"/>
        <v>0.5</v>
      </c>
      <c r="Q12" s="3490">
        <v>365</v>
      </c>
      <c r="R12" s="3491">
        <f t="shared" si="0"/>
        <v>1832</v>
      </c>
      <c r="S12" s="2821"/>
      <c r="T12" s="2821"/>
      <c r="U12" s="2821"/>
      <c r="V12" s="2829"/>
    </row>
    <row r="13" spans="1:22" s="2833" customFormat="1" ht="13.15" customHeight="1">
      <c r="A13" s="2875"/>
      <c r="B13" s="2878"/>
      <c r="C13" s="2879" t="s">
        <v>2359</v>
      </c>
      <c r="D13" s="2880">
        <f ca="1">成本法!C49</f>
        <v>5113</v>
      </c>
      <c r="E13" s="2881"/>
      <c r="F13" s="2871"/>
      <c r="G13" s="2872"/>
      <c r="H13" s="2828"/>
      <c r="I13" s="2829"/>
      <c r="J13" s="3753"/>
      <c r="K13" s="3755"/>
      <c r="L13" s="3492" t="s">
        <v>3656</v>
      </c>
      <c r="M13" s="3487">
        <v>3</v>
      </c>
      <c r="N13" s="3488">
        <v>1280</v>
      </c>
      <c r="O13" s="3493">
        <f t="shared" si="1"/>
        <v>0.6</v>
      </c>
      <c r="P13" s="3493">
        <f t="shared" si="1"/>
        <v>0.5</v>
      </c>
      <c r="Q13" s="3490">
        <v>365</v>
      </c>
      <c r="R13" s="3491">
        <f t="shared" si="0"/>
        <v>42</v>
      </c>
      <c r="S13" s="2821"/>
      <c r="T13" s="2821"/>
      <c r="U13" s="2821"/>
      <c r="V13" s="2829"/>
    </row>
    <row r="14" spans="1:22" s="2833" customFormat="1" ht="13.15" customHeight="1">
      <c r="A14" s="2875" t="s">
        <v>2360</v>
      </c>
      <c r="B14" s="3763" t="s">
        <v>2361</v>
      </c>
      <c r="C14" s="3764"/>
      <c r="D14" s="2876">
        <f>ROUND(E14*B5/10000,0)</f>
        <v>9</v>
      </c>
      <c r="E14" s="3501">
        <v>2</v>
      </c>
      <c r="F14" s="2871" t="s">
        <v>2362</v>
      </c>
      <c r="G14" s="2872"/>
      <c r="H14" s="2828"/>
      <c r="I14" s="2829"/>
      <c r="J14" s="3753"/>
      <c r="K14" s="3756"/>
      <c r="L14" s="2882" t="s">
        <v>2363</v>
      </c>
      <c r="M14" s="2883">
        <f>SUM(M7:M13)</f>
        <v>1428</v>
      </c>
      <c r="N14" s="2883">
        <f>ROUND((N7*M7+N8*M8+N9*M9+N10*M10+N11*M11+N12*M12+N13*M13)/M14,0)</f>
        <v>841</v>
      </c>
      <c r="O14" s="2884"/>
      <c r="P14" s="2884"/>
      <c r="Q14" s="2885"/>
      <c r="R14" s="2832">
        <f>SUM(R7:R13)</f>
        <v>13148</v>
      </c>
      <c r="S14" s="2821"/>
      <c r="T14" s="2821"/>
      <c r="U14" s="2821"/>
      <c r="V14" s="2829"/>
    </row>
    <row r="15" spans="1:22" s="2833" customFormat="1" ht="13.15" customHeight="1">
      <c r="A15" s="2875" t="s">
        <v>2364</v>
      </c>
      <c r="B15" s="3763" t="s">
        <v>2365</v>
      </c>
      <c r="C15" s="3764"/>
      <c r="D15" s="2876">
        <f>ROUND(D6*E15,0)</f>
        <v>976</v>
      </c>
      <c r="E15" s="2877">
        <v>5.5E-2</v>
      </c>
      <c r="F15" s="2871" t="s">
        <v>2366</v>
      </c>
      <c r="G15" s="2853"/>
      <c r="H15" s="2828"/>
      <c r="I15" s="2829"/>
      <c r="J15" s="3753">
        <v>2</v>
      </c>
      <c r="K15" s="3754"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15" customHeight="1">
      <c r="A16" s="2875" t="s">
        <v>2373</v>
      </c>
      <c r="B16" s="3763" t="s">
        <v>2374</v>
      </c>
      <c r="C16" s="3764"/>
      <c r="D16" s="2887">
        <f>D6*E16</f>
        <v>0</v>
      </c>
      <c r="E16" s="2888"/>
      <c r="F16" s="2873" t="s">
        <v>2375</v>
      </c>
      <c r="G16" s="2853"/>
      <c r="H16" s="2828"/>
      <c r="I16" s="2829"/>
      <c r="J16" s="3753"/>
      <c r="K16" s="3755"/>
      <c r="L16" s="2863" t="s">
        <v>2376</v>
      </c>
      <c r="M16" s="2864"/>
      <c r="N16" s="2864"/>
      <c r="O16" s="2865"/>
      <c r="P16" s="2866">
        <v>365</v>
      </c>
      <c r="Q16" s="2840"/>
      <c r="R16" s="2886">
        <f>ROUND(M16*N16*O16*P16/10000,0)</f>
        <v>0</v>
      </c>
      <c r="S16" s="2821"/>
      <c r="T16" s="2821"/>
      <c r="U16" s="2821"/>
      <c r="V16" s="2829"/>
    </row>
    <row r="17" spans="1:22" s="2833" customFormat="1" ht="13.15" customHeight="1" thickBot="1">
      <c r="A17" s="2889">
        <v>4</v>
      </c>
      <c r="B17" s="3765" t="s">
        <v>2377</v>
      </c>
      <c r="C17" s="3766"/>
      <c r="D17" s="2890">
        <f>ROUND(D6*E17,0)</f>
        <v>1775</v>
      </c>
      <c r="E17" s="3499">
        <v>0.1</v>
      </c>
      <c r="F17" s="2891" t="s">
        <v>2378</v>
      </c>
      <c r="G17" s="2853"/>
      <c r="H17" s="2828"/>
      <c r="I17" s="2829"/>
      <c r="J17" s="3753"/>
      <c r="K17" s="3755"/>
      <c r="L17" s="2863" t="s">
        <v>2379</v>
      </c>
      <c r="M17" s="2864"/>
      <c r="N17" s="2864"/>
      <c r="O17" s="2865"/>
      <c r="P17" s="2866">
        <v>365</v>
      </c>
      <c r="Q17" s="2840"/>
      <c r="R17" s="2886">
        <f>ROUND(M17*N17*O17*P17/10000,0)</f>
        <v>0</v>
      </c>
      <c r="S17" s="2821"/>
      <c r="T17" s="2821"/>
      <c r="U17" s="2821"/>
      <c r="V17" s="2829"/>
    </row>
    <row r="18" spans="1:22" s="2833" customFormat="1" ht="13.15" customHeight="1" thickBot="1">
      <c r="A18" s="2856" t="s">
        <v>2380</v>
      </c>
      <c r="B18" s="2857"/>
      <c r="C18" s="2857"/>
      <c r="D18" s="2892">
        <f>ROUND(D6*E18,0)</f>
        <v>888</v>
      </c>
      <c r="E18" s="3500">
        <v>0.05</v>
      </c>
      <c r="F18" s="2893" t="s">
        <v>2381</v>
      </c>
      <c r="G18" s="2853"/>
      <c r="H18" s="2828"/>
      <c r="I18" s="2829"/>
      <c r="J18" s="3753"/>
      <c r="K18" s="3755"/>
      <c r="L18" s="2863" t="s">
        <v>2382</v>
      </c>
      <c r="M18" s="2864"/>
      <c r="N18" s="2864"/>
      <c r="O18" s="2865"/>
      <c r="P18" s="2866">
        <v>365</v>
      </c>
      <c r="Q18" s="2840"/>
      <c r="R18" s="2886">
        <f>ROUND(M18*N18*O18*P18/10000,0)</f>
        <v>0</v>
      </c>
      <c r="S18" s="2821"/>
      <c r="T18" s="2821"/>
      <c r="U18" s="2821"/>
      <c r="V18" s="2829"/>
    </row>
    <row r="19" spans="1:22" s="2833" customFormat="1" ht="13.15" customHeight="1" thickBot="1">
      <c r="A19" s="2894" t="s">
        <v>2383</v>
      </c>
      <c r="B19" s="2851"/>
      <c r="C19" s="2851"/>
      <c r="D19" s="2851"/>
      <c r="E19" s="2851"/>
      <c r="F19" s="2852"/>
      <c r="G19" s="2872"/>
      <c r="H19" s="2828"/>
      <c r="I19" s="2829"/>
      <c r="J19" s="3753"/>
      <c r="K19" s="3756"/>
      <c r="L19" s="2882" t="s">
        <v>2363</v>
      </c>
      <c r="M19" s="2883"/>
      <c r="N19" s="2883">
        <f>SUM(N16:N18)</f>
        <v>0</v>
      </c>
      <c r="O19" s="2884"/>
      <c r="P19" s="2895" t="s">
        <v>3658</v>
      </c>
      <c r="Q19" s="3489">
        <v>0.25</v>
      </c>
      <c r="R19" s="2896">
        <f>ROUND(IF(P19="按比例",R14*Q19,SUM(R16:R18)),0)</f>
        <v>3287</v>
      </c>
      <c r="S19" s="2821"/>
      <c r="T19" s="2821"/>
      <c r="U19" s="2821"/>
      <c r="V19" s="2829"/>
    </row>
    <row r="20" spans="1:22" s="2833" customFormat="1" ht="13.15" customHeight="1">
      <c r="A20" s="2856"/>
      <c r="B20" s="2857"/>
      <c r="C20" s="2857"/>
      <c r="D20" s="2857"/>
      <c r="E20" s="2857"/>
      <c r="F20" s="2897"/>
      <c r="G20" s="2872"/>
      <c r="H20" s="2828"/>
      <c r="I20" s="2829"/>
      <c r="J20" s="3753">
        <v>3</v>
      </c>
      <c r="K20" s="3754" t="s">
        <v>2384</v>
      </c>
      <c r="L20" s="2863" t="s">
        <v>2385</v>
      </c>
      <c r="M20" s="2864" t="s">
        <v>2386</v>
      </c>
      <c r="N20" s="2898" t="s">
        <v>2387</v>
      </c>
      <c r="O20" s="2865" t="s">
        <v>2388</v>
      </c>
      <c r="P20" s="2866" t="s">
        <v>2389</v>
      </c>
      <c r="Q20" s="3488" t="s">
        <v>3657</v>
      </c>
      <c r="R20" s="2886" t="s">
        <v>2390</v>
      </c>
      <c r="S20" s="2899"/>
      <c r="T20" s="2899"/>
      <c r="U20" s="2899"/>
      <c r="V20" s="2829"/>
    </row>
    <row r="21" spans="1:22" s="2833" customFormat="1" ht="13.15" customHeight="1">
      <c r="A21" s="2856"/>
      <c r="B21" s="2857"/>
      <c r="C21" s="2900" t="s">
        <v>2391</v>
      </c>
      <c r="D21" s="2901" t="s">
        <v>2392</v>
      </c>
      <c r="E21" s="2902" t="s">
        <v>2393</v>
      </c>
      <c r="F21" s="2897"/>
      <c r="G21" s="2872"/>
      <c r="H21" s="2828"/>
      <c r="I21" s="2829"/>
      <c r="J21" s="3753"/>
      <c r="K21" s="3755"/>
      <c r="L21" s="2863" t="s">
        <v>2394</v>
      </c>
      <c r="M21" s="2864"/>
      <c r="N21" s="2864"/>
      <c r="O21" s="2865"/>
      <c r="P21" s="2866">
        <v>365</v>
      </c>
      <c r="Q21" s="3488"/>
      <c r="R21" s="2903">
        <f>ROUND(M21*N21*O21*P21/10000,0)</f>
        <v>0</v>
      </c>
      <c r="S21" s="2899"/>
      <c r="T21" s="2899"/>
      <c r="U21" s="2899"/>
      <c r="V21" s="2829"/>
    </row>
    <row r="22" spans="1:22" s="2833" customFormat="1" ht="13.15" customHeight="1">
      <c r="A22" s="2856"/>
      <c r="B22" s="2857"/>
      <c r="C22" s="2904" t="s">
        <v>2395</v>
      </c>
      <c r="D22" s="2905" t="s">
        <v>2396</v>
      </c>
      <c r="E22" s="2906" t="s">
        <v>2397</v>
      </c>
      <c r="F22" s="2897"/>
      <c r="G22" s="2907"/>
      <c r="H22" s="2828"/>
      <c r="I22" s="2829"/>
      <c r="J22" s="3753"/>
      <c r="K22" s="3755"/>
      <c r="L22" s="2863" t="s">
        <v>2398</v>
      </c>
      <c r="M22" s="2864"/>
      <c r="N22" s="2864"/>
      <c r="O22" s="2865"/>
      <c r="P22" s="2866">
        <v>365</v>
      </c>
      <c r="Q22" s="3488"/>
      <c r="R22" s="2903">
        <f>ROUND(M22*N22*O22*P22/10000,0)</f>
        <v>0</v>
      </c>
      <c r="S22" s="2899"/>
      <c r="T22" s="2899"/>
      <c r="U22" s="2899"/>
      <c r="V22" s="2829"/>
    </row>
    <row r="23" spans="1:22" s="2833" customFormat="1" ht="13.15" customHeight="1">
      <c r="A23" s="2908">
        <v>1</v>
      </c>
      <c r="B23" s="2909" t="s">
        <v>2399</v>
      </c>
      <c r="C23" s="2910">
        <f>D6</f>
        <v>17750</v>
      </c>
      <c r="D23" s="2911">
        <f>C23*(1+D24)</f>
        <v>17750</v>
      </c>
      <c r="E23" s="2912">
        <f>D23*(1+E24)</f>
        <v>17750</v>
      </c>
      <c r="F23" s="2913"/>
      <c r="G23" s="2914"/>
      <c r="H23" s="2828"/>
      <c r="I23" s="2829"/>
      <c r="J23" s="3753"/>
      <c r="K23" s="3755"/>
      <c r="L23" s="2863" t="s">
        <v>2400</v>
      </c>
      <c r="M23" s="2864"/>
      <c r="N23" s="2864"/>
      <c r="O23" s="2865"/>
      <c r="P23" s="2866">
        <v>365</v>
      </c>
      <c r="Q23" s="3488"/>
      <c r="R23" s="2903">
        <f>ROUND(M23*N23*O23*P23/10000,0)</f>
        <v>0</v>
      </c>
      <c r="S23" s="2821"/>
      <c r="T23" s="2821"/>
      <c r="U23" s="2821"/>
      <c r="V23" s="2829"/>
    </row>
    <row r="24" spans="1:22" s="2833" customFormat="1" ht="13.15" customHeight="1">
      <c r="A24" s="2915"/>
      <c r="B24" s="2916" t="s">
        <v>2401</v>
      </c>
      <c r="C24" s="2917"/>
      <c r="D24" s="2918"/>
      <c r="E24" s="2919"/>
      <c r="F24" s="2920"/>
      <c r="G24" s="2914"/>
      <c r="H24" s="2828"/>
      <c r="I24" s="2829"/>
      <c r="J24" s="3753"/>
      <c r="K24" s="3756"/>
      <c r="L24" s="2882" t="s">
        <v>2363</v>
      </c>
      <c r="M24" s="2883">
        <f>SUM(M21:M23)</f>
        <v>0</v>
      </c>
      <c r="N24" s="2883"/>
      <c r="O24" s="2884"/>
      <c r="P24" s="2895" t="s">
        <v>3658</v>
      </c>
      <c r="Q24" s="3489">
        <v>0.1</v>
      </c>
      <c r="R24" s="2896">
        <f>ROUND(IF(P24="按比例",R14*Q24,SUM(R21:R23)),0)</f>
        <v>1315</v>
      </c>
      <c r="S24" s="2821"/>
      <c r="T24" s="2821"/>
      <c r="U24" s="2821"/>
      <c r="V24" s="2829"/>
    </row>
    <row r="25" spans="1:22" s="2927" customFormat="1" ht="13.15" customHeight="1">
      <c r="A25" s="2915"/>
      <c r="B25" s="2916"/>
      <c r="C25" s="2917"/>
      <c r="D25" s="2918"/>
      <c r="E25" s="2919"/>
      <c r="F25" s="2920"/>
      <c r="G25" s="2907"/>
      <c r="H25" s="2828"/>
      <c r="I25" s="2829"/>
      <c r="J25" s="2921">
        <v>4</v>
      </c>
      <c r="K25" s="2922" t="s">
        <v>2402</v>
      </c>
      <c r="L25" s="2923"/>
      <c r="M25" s="2923"/>
      <c r="N25" s="2923"/>
      <c r="O25" s="2923"/>
      <c r="P25" s="2924"/>
      <c r="Q25" s="3494">
        <v>0</v>
      </c>
      <c r="R25" s="2896">
        <f>ROUND(R14*Q25,0)</f>
        <v>0</v>
      </c>
      <c r="S25" s="2821"/>
      <c r="T25" s="2821"/>
      <c r="U25" s="2821"/>
      <c r="V25" s="2926"/>
    </row>
    <row r="26" spans="1:22" s="2927" customFormat="1" ht="13.15" customHeight="1">
      <c r="A26" s="2908">
        <v>2</v>
      </c>
      <c r="B26" s="2909" t="s">
        <v>2403</v>
      </c>
      <c r="C26" s="2910">
        <f ca="1">D7</f>
        <v>9904</v>
      </c>
      <c r="D26" s="2911">
        <f>D23*D27</f>
        <v>0</v>
      </c>
      <c r="E26" s="2912">
        <f>E23*E27</f>
        <v>0</v>
      </c>
      <c r="F26" s="2913"/>
      <c r="G26" s="2914"/>
      <c r="H26" s="2828"/>
      <c r="I26" s="2829"/>
      <c r="J26" s="3757">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15" customHeight="1">
      <c r="A27" s="2915"/>
      <c r="B27" s="2916" t="s">
        <v>2409</v>
      </c>
      <c r="C27" s="2934">
        <f ca="1">E7</f>
        <v>0.55791549295774645</v>
      </c>
      <c r="D27" s="2918"/>
      <c r="E27" s="2919"/>
      <c r="F27" s="2920"/>
      <c r="G27" s="2914"/>
      <c r="H27" s="2935"/>
      <c r="I27" s="2926"/>
      <c r="J27" s="3758"/>
      <c r="K27" s="2936"/>
      <c r="L27" s="2937"/>
      <c r="M27" s="2938"/>
      <c r="N27" s="2939"/>
      <c r="O27" s="2939"/>
      <c r="P27" s="2939"/>
      <c r="Q27" s="2940"/>
      <c r="R27" s="2896">
        <f>ROUND(O27*N27*P27*(1-Q27)/10000,0)</f>
        <v>0</v>
      </c>
      <c r="S27" s="2821"/>
      <c r="T27" s="2821"/>
      <c r="U27" s="2821"/>
      <c r="V27" s="2829"/>
    </row>
    <row r="28" spans="1:22" s="2927" customFormat="1" ht="13.15"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15" customHeight="1">
      <c r="A29" s="2908">
        <v>3</v>
      </c>
      <c r="B29" s="2909" t="s">
        <v>2415</v>
      </c>
      <c r="C29" s="2910">
        <f>C23*C30</f>
        <v>887.5</v>
      </c>
      <c r="D29" s="2911">
        <f>D23*C30</f>
        <v>887.5</v>
      </c>
      <c r="E29" s="2912">
        <f>E23*C30</f>
        <v>887.5</v>
      </c>
      <c r="F29" s="2913"/>
      <c r="G29" s="2914"/>
      <c r="H29" s="2828"/>
      <c r="I29" s="2829"/>
      <c r="J29" s="2899"/>
      <c r="K29" s="2899"/>
      <c r="L29" s="2899"/>
      <c r="M29" s="2899"/>
      <c r="N29" s="2899"/>
      <c r="O29" s="2899"/>
      <c r="P29" s="2899"/>
      <c r="Q29" s="2899"/>
      <c r="R29" s="2899"/>
      <c r="S29" s="2899"/>
      <c r="T29" s="2899"/>
      <c r="U29" s="2899"/>
      <c r="V29" s="2926"/>
    </row>
    <row r="30" spans="1:22" s="2833" customFormat="1" ht="13.15"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15"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15" customHeight="1">
      <c r="A32" s="2908">
        <v>4</v>
      </c>
      <c r="B32" s="2909" t="s">
        <v>2417</v>
      </c>
      <c r="C32" s="2910">
        <f ca="1">C23-C26-C29</f>
        <v>6958.5</v>
      </c>
      <c r="D32" s="2911">
        <f>D23-D26-D29</f>
        <v>16862.5</v>
      </c>
      <c r="E32" s="2912">
        <f>E23-E26-E29</f>
        <v>16862.5</v>
      </c>
      <c r="F32" s="2913"/>
      <c r="G32" s="2907"/>
      <c r="H32" s="2828"/>
      <c r="I32" s="2829"/>
      <c r="J32" s="3759" t="s">
        <v>2317</v>
      </c>
      <c r="K32" s="3760"/>
      <c r="L32" s="2830" t="s">
        <v>2318</v>
      </c>
      <c r="M32" s="2830" t="s">
        <v>2319</v>
      </c>
      <c r="N32" s="2830" t="s">
        <v>2320</v>
      </c>
      <c r="O32" s="2830" t="s">
        <v>2321</v>
      </c>
      <c r="P32" s="2830" t="s">
        <v>2322</v>
      </c>
      <c r="Q32" s="2831" t="s">
        <v>2323</v>
      </c>
      <c r="R32" s="2950" t="s">
        <v>2324</v>
      </c>
      <c r="S32" s="2899"/>
      <c r="T32" s="2821"/>
      <c r="U32" s="2821"/>
      <c r="V32" s="2926"/>
    </row>
    <row r="33" spans="1:23" s="2833" customFormat="1" ht="13.15" customHeight="1">
      <c r="A33" s="2908"/>
      <c r="B33" s="2909"/>
      <c r="C33" s="2910"/>
      <c r="D33" s="2951"/>
      <c r="E33" s="2952"/>
      <c r="F33" s="2913"/>
      <c r="G33" s="2907"/>
      <c r="H33" s="2935"/>
      <c r="I33" s="2926"/>
      <c r="J33" s="3761" t="s">
        <v>2327</v>
      </c>
      <c r="K33" s="3762"/>
      <c r="L33" s="2836"/>
      <c r="M33" s="2836"/>
      <c r="N33" s="2836"/>
      <c r="O33" s="2836"/>
      <c r="P33" s="2836"/>
      <c r="Q33" s="2837"/>
      <c r="R33" s="2953">
        <f>SUM(L33:Q33)</f>
        <v>0</v>
      </c>
      <c r="S33" s="2899"/>
      <c r="T33" s="2821"/>
      <c r="U33" s="2821"/>
      <c r="V33" s="2829"/>
    </row>
    <row r="34" spans="1:23" s="2833" customFormat="1" ht="13.15" customHeight="1">
      <c r="A34" s="2908">
        <v>5</v>
      </c>
      <c r="B34" s="2909" t="s">
        <v>2418</v>
      </c>
      <c r="C34" s="3496">
        <f>'[1]数据-取费表'!I6</f>
        <v>0.06</v>
      </c>
      <c r="D34" s="2954">
        <v>0</v>
      </c>
      <c r="E34" s="2955">
        <v>0</v>
      </c>
      <c r="F34" s="2913"/>
      <c r="G34" s="2907"/>
      <c r="H34" s="2935"/>
      <c r="I34" s="2926"/>
      <c r="J34" s="3761" t="s">
        <v>2329</v>
      </c>
      <c r="K34" s="3762"/>
      <c r="L34" s="2841"/>
      <c r="M34" s="2841"/>
      <c r="N34" s="2841"/>
      <c r="O34" s="2841"/>
      <c r="P34" s="2841"/>
      <c r="Q34" s="2842"/>
      <c r="R34" s="2956">
        <f>SUM(L34:Q34)</f>
        <v>0</v>
      </c>
      <c r="S34" s="2899"/>
      <c r="T34" s="2821"/>
      <c r="U34" s="2821" t="e">
        <f>ROUND(R35*10000/365/R33,1)</f>
        <v>#DIV/0!</v>
      </c>
      <c r="V34" s="2829"/>
    </row>
    <row r="35" spans="1:23" s="2833" customFormat="1" ht="13.15"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15" customHeight="1" thickBot="1">
      <c r="A36" s="2908">
        <v>7</v>
      </c>
      <c r="B36" s="2961" t="s">
        <v>2420</v>
      </c>
      <c r="C36" s="3498">
        <f>'[1]数据-取费表'!F6</f>
        <v>10.29</v>
      </c>
      <c r="D36" s="2962">
        <v>0</v>
      </c>
      <c r="E36" s="2963">
        <v>0</v>
      </c>
      <c r="F36" s="2964">
        <f>C36+D36+E36</f>
        <v>10.29</v>
      </c>
      <c r="G36" s="2907"/>
      <c r="H36" s="2828"/>
      <c r="I36" s="2829"/>
      <c r="J36" s="3753">
        <v>1</v>
      </c>
      <c r="K36" s="3754" t="s">
        <v>2421</v>
      </c>
      <c r="L36" s="2854"/>
      <c r="M36" s="2855"/>
      <c r="N36" s="2855"/>
      <c r="O36" s="2855"/>
      <c r="P36" s="2855"/>
      <c r="Q36" s="2855"/>
      <c r="R36" s="2838" t="s">
        <v>2341</v>
      </c>
      <c r="S36" s="2899"/>
      <c r="T36" s="2821" t="s">
        <v>2342</v>
      </c>
      <c r="U36" s="2821"/>
      <c r="V36" s="2829"/>
    </row>
    <row r="37" spans="1:23" s="2833" customFormat="1" ht="13.15" customHeight="1">
      <c r="A37" s="2908"/>
      <c r="B37" s="2909"/>
      <c r="C37" s="2909"/>
      <c r="D37" s="2909"/>
      <c r="E37" s="2909"/>
      <c r="F37" s="2913"/>
      <c r="G37" s="2907"/>
      <c r="H37" s="2828"/>
      <c r="I37" s="2829"/>
      <c r="J37" s="3753"/>
      <c r="K37" s="3755"/>
      <c r="L37" s="2863"/>
      <c r="M37" s="2864"/>
      <c r="N37" s="2840"/>
      <c r="O37" s="2865"/>
      <c r="P37" s="2865"/>
      <c r="Q37" s="2866"/>
      <c r="R37" s="2867"/>
      <c r="S37" s="2899"/>
      <c r="T37" s="2821" t="s">
        <v>2344</v>
      </c>
      <c r="U37" s="2821"/>
      <c r="V37" s="2829"/>
    </row>
    <row r="38" spans="1:23" s="2833" customFormat="1" ht="13.15" customHeight="1">
      <c r="A38" s="2908">
        <v>8</v>
      </c>
      <c r="B38" s="2909"/>
      <c r="C38" s="2869">
        <f ca="1">ROUND(C32*(1-((1+C35)/(1+C34))^C36)/(C34-C35),0)</f>
        <v>52300</v>
      </c>
      <c r="D38" s="2869"/>
      <c r="E38" s="2869"/>
      <c r="F38" s="2913"/>
      <c r="G38" s="2907"/>
      <c r="H38" s="2828"/>
      <c r="I38" s="2829"/>
      <c r="J38" s="3753"/>
      <c r="K38" s="3755"/>
      <c r="L38" s="2863"/>
      <c r="M38" s="2864"/>
      <c r="N38" s="2840"/>
      <c r="O38" s="2865"/>
      <c r="P38" s="2865"/>
      <c r="Q38" s="2866"/>
      <c r="R38" s="2867"/>
      <c r="S38" s="2899"/>
      <c r="T38" s="2821" t="s">
        <v>2350</v>
      </c>
      <c r="U38" s="2821"/>
      <c r="V38" s="2829"/>
    </row>
    <row r="39" spans="1:23" s="2833" customFormat="1" ht="13.15" customHeight="1">
      <c r="A39" s="2908">
        <v>9</v>
      </c>
      <c r="B39" s="2909" t="s">
        <v>2422</v>
      </c>
      <c r="C39" s="2876">
        <f ca="1">C38</f>
        <v>52300</v>
      </c>
      <c r="D39" s="2909"/>
      <c r="E39" s="2909"/>
      <c r="F39" s="2913"/>
      <c r="G39" s="2965"/>
      <c r="H39" s="2828"/>
      <c r="I39" s="2829"/>
      <c r="J39" s="3753"/>
      <c r="K39" s="3755"/>
      <c r="L39" s="2863"/>
      <c r="M39" s="2864"/>
      <c r="N39" s="2840"/>
      <c r="O39" s="2865"/>
      <c r="P39" s="2865"/>
      <c r="Q39" s="2866"/>
      <c r="R39" s="2867"/>
      <c r="S39" s="2899"/>
      <c r="T39" s="2821"/>
      <c r="U39" s="2821"/>
      <c r="V39" s="2829"/>
    </row>
    <row r="40" spans="1:23" s="2833" customFormat="1" ht="13.15" customHeight="1">
      <c r="A40" s="2966">
        <v>10</v>
      </c>
      <c r="B40" s="2909" t="s">
        <v>2423</v>
      </c>
      <c r="C40" s="2967">
        <f ca="1">C39+D39+E39</f>
        <v>52300</v>
      </c>
      <c r="D40" s="2968"/>
      <c r="E40" s="2968"/>
      <c r="F40" s="2969"/>
      <c r="G40" s="2907"/>
      <c r="H40" s="2828"/>
      <c r="I40" s="2829"/>
      <c r="J40" s="3753"/>
      <c r="K40" s="3756"/>
      <c r="L40" s="2882" t="s">
        <v>2363</v>
      </c>
      <c r="M40" s="2883"/>
      <c r="N40" s="2883"/>
      <c r="O40" s="2884"/>
      <c r="P40" s="2884"/>
      <c r="Q40" s="2885"/>
      <c r="R40" s="2832">
        <f>SUM(R37:R39)</f>
        <v>0</v>
      </c>
      <c r="S40" s="2899"/>
      <c r="T40" s="2821"/>
      <c r="U40" s="2821"/>
      <c r="V40" s="2829"/>
    </row>
    <row r="41" spans="1:23" s="2833" customFormat="1" ht="13.15" customHeight="1" thickBot="1">
      <c r="A41" s="2970">
        <v>11</v>
      </c>
      <c r="B41" s="2971" t="s">
        <v>2424</v>
      </c>
      <c r="C41" s="2971">
        <f ca="1">ROUND(C40*10000/B4,0)</f>
        <v>63195</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15" customHeight="1">
      <c r="G42" s="2974"/>
      <c r="H42" s="2828"/>
      <c r="I42" s="2829"/>
      <c r="J42" s="3757">
        <v>3</v>
      </c>
      <c r="K42" s="2928" t="s">
        <v>2404</v>
      </c>
      <c r="L42" s="2929"/>
      <c r="M42" s="2930"/>
      <c r="N42" s="2931" t="s">
        <v>2405</v>
      </c>
      <c r="O42" s="2931" t="s">
        <v>2406</v>
      </c>
      <c r="P42" s="2932" t="s">
        <v>2407</v>
      </c>
      <c r="Q42" s="2932" t="s">
        <v>2408</v>
      </c>
      <c r="R42" s="2838" t="s">
        <v>2341</v>
      </c>
      <c r="S42" s="2933"/>
      <c r="T42" s="2933"/>
      <c r="U42" s="2821"/>
      <c r="V42" s="2829"/>
    </row>
    <row r="43" spans="1:23" ht="13.15" customHeight="1">
      <c r="A43" s="2833"/>
      <c r="B43" s="2833"/>
      <c r="C43" s="2833"/>
      <c r="D43" s="2833"/>
      <c r="E43" s="2833"/>
      <c r="F43" s="2833"/>
      <c r="I43" s="2816"/>
      <c r="J43" s="3758"/>
      <c r="K43" s="2936"/>
      <c r="L43" s="2937"/>
      <c r="M43" s="2938"/>
      <c r="N43" s="2864"/>
      <c r="O43" s="2864"/>
      <c r="P43" s="2864"/>
      <c r="Q43" s="2925"/>
      <c r="R43" s="2896">
        <f>ROUND(O43*N43*P43*(1-Q43)/10000,0)</f>
        <v>0</v>
      </c>
      <c r="S43" s="2899"/>
      <c r="T43" s="2821"/>
      <c r="V43" s="2976"/>
      <c r="W43" s="2977"/>
    </row>
    <row r="44" spans="1:23" ht="13.15"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3" t="s">
        <v>1658</v>
      </c>
      <c r="B1" s="1854"/>
      <c r="C1" s="1854"/>
      <c r="D1" s="1854"/>
      <c r="E1" s="1855"/>
      <c r="F1" s="2687"/>
      <c r="G1" s="1475"/>
      <c r="H1" s="1475"/>
      <c r="I1" s="1475"/>
      <c r="J1" s="1475"/>
      <c r="K1" s="1475"/>
      <c r="L1" s="1475"/>
      <c r="M1" s="1475"/>
      <c r="N1" s="1475"/>
      <c r="O1" s="1475"/>
      <c r="P1" s="1475"/>
      <c r="Q1" s="1475"/>
      <c r="R1" s="1475"/>
      <c r="S1" s="1475"/>
    </row>
    <row r="2" spans="1:22" ht="15.75">
      <c r="A2" s="1856" t="s">
        <v>1462</v>
      </c>
      <c r="B2" s="1857">
        <f ca="1">SUMIF(B6:B13,"&lt;&gt;#ref!",B6:B13)</f>
        <v>1116</v>
      </c>
      <c r="C2" s="1858" t="s">
        <v>1651</v>
      </c>
      <c r="D2" s="1859" t="s">
        <v>1652</v>
      </c>
      <c r="E2" s="2588">
        <f>SUM(E6:E13)</f>
        <v>8275.91</v>
      </c>
      <c r="F2" s="2687"/>
      <c r="G2" s="1475"/>
      <c r="H2" s="1475"/>
      <c r="I2" s="1475"/>
      <c r="J2" s="1475"/>
      <c r="K2" s="1475"/>
      <c r="L2" s="1475"/>
      <c r="M2" s="1475"/>
      <c r="N2" s="1475"/>
      <c r="O2" s="1475"/>
      <c r="P2" s="1475"/>
      <c r="Q2" s="1475"/>
      <c r="R2" s="1475"/>
      <c r="S2" s="1475"/>
    </row>
    <row r="3" spans="1:22" ht="15.75">
      <c r="A3" s="1856" t="s">
        <v>686</v>
      </c>
      <c r="B3" s="2582">
        <f ca="1">ROUND(B2*10000/E2,0)</f>
        <v>1348</v>
      </c>
      <c r="C3" s="1858" t="s">
        <v>1659</v>
      </c>
      <c r="D3" s="2689"/>
      <c r="E3" s="2691"/>
      <c r="F3" s="2687"/>
      <c r="G3" s="1475"/>
      <c r="H3" s="1475"/>
      <c r="I3" s="1475"/>
      <c r="J3" s="1475"/>
      <c r="K3" s="1475"/>
      <c r="L3" s="1475"/>
      <c r="M3" s="1475"/>
      <c r="N3" s="1475"/>
      <c r="O3" s="1475"/>
      <c r="P3" s="1475"/>
      <c r="Q3" s="1475"/>
      <c r="R3" s="1475"/>
      <c r="S3" s="1475"/>
    </row>
    <row r="4" spans="1:22" ht="15.75">
      <c r="A4" s="2692"/>
      <c r="B4" s="2689"/>
      <c r="C4" s="2689"/>
      <c r="D4" s="2689"/>
      <c r="E4" s="2691"/>
      <c r="F4" s="2687"/>
      <c r="G4" s="1475"/>
      <c r="H4" s="1475"/>
      <c r="I4" s="1475"/>
      <c r="J4" s="1475"/>
      <c r="K4" s="1475"/>
      <c r="L4" s="1475"/>
      <c r="M4" s="1475"/>
      <c r="N4" s="1475"/>
      <c r="O4" s="1475"/>
      <c r="P4" s="1475"/>
      <c r="Q4" s="1475"/>
      <c r="R4" s="1475"/>
      <c r="S4" s="1475"/>
    </row>
    <row r="5" spans="1:22" ht="15">
      <c r="A5" s="2584" t="s">
        <v>1653</v>
      </c>
      <c r="B5" s="3772" t="s">
        <v>1654</v>
      </c>
      <c r="C5" s="3773"/>
      <c r="D5" s="2688"/>
      <c r="E5" s="1860" t="s">
        <v>1655</v>
      </c>
      <c r="F5" s="1861" t="s">
        <v>1656</v>
      </c>
      <c r="G5" s="1475"/>
      <c r="H5" s="1475"/>
      <c r="I5" s="1475"/>
      <c r="J5" s="1475"/>
      <c r="K5" s="1475"/>
      <c r="L5" s="1475"/>
      <c r="M5" s="1475"/>
      <c r="N5" s="1475"/>
      <c r="O5" s="1475"/>
      <c r="P5" s="1475"/>
      <c r="Q5" s="1475"/>
      <c r="R5" s="1475"/>
      <c r="S5" s="1475"/>
    </row>
    <row r="6" spans="1:22">
      <c r="A6" s="2585" t="str">
        <f>'数据-取费表'!AN6</f>
        <v>收益法</v>
      </c>
      <c r="B6" s="2583">
        <f ca="1">IF(F6="是",'数据-取费表'!AO6,0)</f>
        <v>1116</v>
      </c>
      <c r="C6" s="1858" t="s">
        <v>1651</v>
      </c>
      <c r="D6" s="2689"/>
      <c r="E6" s="2587">
        <f>IF(OR(A6=0,F6="否"),0,'数据-取费表'!K6+'数据-取费表'!S6)</f>
        <v>8275.91</v>
      </c>
      <c r="F6" s="1862" t="s">
        <v>1657</v>
      </c>
      <c r="G6" s="1475"/>
      <c r="H6" s="1475"/>
      <c r="I6" s="1475"/>
      <c r="J6" s="1475"/>
      <c r="K6" s="1475"/>
      <c r="L6" s="1475"/>
      <c r="M6" s="1475"/>
      <c r="N6" s="1475"/>
      <c r="O6" s="1475"/>
      <c r="P6" s="1475"/>
      <c r="Q6" s="1475"/>
      <c r="R6" s="1475"/>
      <c r="S6" s="1475"/>
    </row>
    <row r="7" spans="1:22">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8275.91</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5">
      <c r="A4" s="345" t="s">
        <v>1666</v>
      </c>
      <c r="B4" s="346"/>
      <c r="C4" s="3707" t="s">
        <v>1667</v>
      </c>
      <c r="D4" s="3719"/>
      <c r="E4" s="3720" t="s">
        <v>1668</v>
      </c>
      <c r="F4" s="3721"/>
      <c r="G4" s="3707" t="s">
        <v>1669</v>
      </c>
      <c r="H4" s="3719"/>
      <c r="I4" s="3707" t="s">
        <v>1670</v>
      </c>
      <c r="J4" s="3719"/>
      <c r="K4" s="1875" t="s">
        <v>1671</v>
      </c>
      <c r="L4" s="2695"/>
      <c r="M4" s="2696"/>
      <c r="N4" s="2696"/>
      <c r="O4" s="2696"/>
      <c r="P4" s="3722" t="s">
        <v>1672</v>
      </c>
      <c r="Q4" s="3723"/>
      <c r="R4" s="3728" t="s">
        <v>1668</v>
      </c>
      <c r="S4" s="3729"/>
      <c r="T4" s="3728" t="s">
        <v>1669</v>
      </c>
      <c r="U4" s="3729"/>
      <c r="V4" s="3715" t="s">
        <v>1670</v>
      </c>
      <c r="W4" s="3715"/>
      <c r="X4" s="1341"/>
      <c r="Y4" s="3728" t="s">
        <v>1672</v>
      </c>
      <c r="Z4" s="3729"/>
      <c r="AA4" s="3716" t="s">
        <v>1668</v>
      </c>
      <c r="AB4" s="3716" t="s">
        <v>1669</v>
      </c>
      <c r="AC4" s="3716" t="s">
        <v>1670</v>
      </c>
    </row>
    <row r="5" spans="1:29" ht="15">
      <c r="A5" s="348"/>
      <c r="B5" s="349"/>
      <c r="C5" s="3736" t="s">
        <v>1673</v>
      </c>
      <c r="D5" s="3737"/>
      <c r="E5" s="3743" t="s">
        <v>1674</v>
      </c>
      <c r="F5" s="3744"/>
      <c r="G5" s="3736" t="s">
        <v>1675</v>
      </c>
      <c r="H5" s="3737"/>
      <c r="I5" s="3736" t="s">
        <v>1676</v>
      </c>
      <c r="J5" s="3737"/>
      <c r="K5" s="1876"/>
      <c r="L5" s="2695"/>
      <c r="M5" s="2696"/>
      <c r="N5" s="2696"/>
      <c r="O5" s="2696"/>
      <c r="P5" s="3724"/>
      <c r="Q5" s="3725"/>
      <c r="R5" s="3730"/>
      <c r="S5" s="3731"/>
      <c r="T5" s="3730"/>
      <c r="U5" s="3731"/>
      <c r="V5" s="3715"/>
      <c r="W5" s="3715"/>
      <c r="X5" s="1341"/>
      <c r="Y5" s="3730"/>
      <c r="Z5" s="3731"/>
      <c r="AA5" s="3717"/>
      <c r="AB5" s="3717"/>
      <c r="AC5" s="3717"/>
    </row>
    <row r="6" spans="1:29" ht="15.75" thickBot="1">
      <c r="A6" s="350"/>
      <c r="B6" s="351"/>
      <c r="C6" s="3734" t="s">
        <v>1677</v>
      </c>
      <c r="D6" s="3735"/>
      <c r="E6" s="3741" t="s">
        <v>1677</v>
      </c>
      <c r="F6" s="3742"/>
      <c r="G6" s="3734" t="s">
        <v>1677</v>
      </c>
      <c r="H6" s="3735"/>
      <c r="I6" s="3734" t="s">
        <v>1677</v>
      </c>
      <c r="J6" s="3735"/>
      <c r="K6" s="1876" t="s">
        <v>1678</v>
      </c>
      <c r="L6" s="2695"/>
      <c r="M6" s="2696"/>
      <c r="N6" s="2696"/>
      <c r="O6" s="2696"/>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38" t="s">
        <v>1680</v>
      </c>
      <c r="Q7" s="3740"/>
      <c r="R7" s="688" t="s">
        <v>20</v>
      </c>
      <c r="S7" s="689">
        <f t="shared" ref="S7:S15" si="0">F7</f>
        <v>0</v>
      </c>
      <c r="T7" s="688" t="s">
        <v>20</v>
      </c>
      <c r="U7" s="689">
        <f t="shared" ref="U7:U15" si="1">H7</f>
        <v>0</v>
      </c>
      <c r="V7" s="688" t="s">
        <v>20</v>
      </c>
      <c r="W7" s="689">
        <f t="shared" ref="W7:W15"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38" t="s">
        <v>1683</v>
      </c>
      <c r="Q8" s="3739"/>
      <c r="R8" s="688" t="s">
        <v>20</v>
      </c>
      <c r="S8" s="689">
        <f t="shared" si="0"/>
        <v>100</v>
      </c>
      <c r="T8" s="688" t="s">
        <v>20</v>
      </c>
      <c r="U8" s="689">
        <f t="shared" si="1"/>
        <v>100</v>
      </c>
      <c r="V8" s="688" t="s">
        <v>20</v>
      </c>
      <c r="W8" s="689">
        <f t="shared" si="2"/>
        <v>100</v>
      </c>
      <c r="X8" s="690"/>
      <c r="Y8" s="3738" t="s">
        <v>1683</v>
      </c>
      <c r="Z8" s="3739"/>
      <c r="AA8" s="691">
        <f t="shared" ref="AA8:AA19" si="3">D8/F8</f>
        <v>1</v>
      </c>
      <c r="AB8" s="691">
        <f t="shared" ref="AB8:AB19" si="4">D8/H8</f>
        <v>1</v>
      </c>
      <c r="AC8" s="691">
        <f t="shared" ref="AC8:AC19" si="5">D8/J8</f>
        <v>1</v>
      </c>
    </row>
    <row r="9" spans="1:29" s="105" customFormat="1">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09"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09"/>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09"/>
      <c r="Q11" s="1329" t="str">
        <f t="shared" si="6"/>
        <v>容积率</v>
      </c>
      <c r="R11" s="688" t="s">
        <v>18</v>
      </c>
      <c r="S11" s="689" t="e">
        <f t="shared" si="0"/>
        <v>#N/A</v>
      </c>
      <c r="T11" s="688" t="s">
        <v>18</v>
      </c>
      <c r="U11" s="689" t="e">
        <f t="shared" si="1"/>
        <v>#N/A</v>
      </c>
      <c r="V11" s="688" t="s">
        <v>18</v>
      </c>
      <c r="W11" s="689" t="e">
        <f t="shared" si="2"/>
        <v>#N/A</v>
      </c>
      <c r="X11" s="690"/>
      <c r="Y11" s="3610"/>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09"/>
      <c r="Q12" s="1329">
        <f t="shared" si="6"/>
        <v>111</v>
      </c>
      <c r="R12" s="688" t="s">
        <v>18</v>
      </c>
      <c r="S12" s="689">
        <f t="shared" si="0"/>
        <v>100</v>
      </c>
      <c r="T12" s="688" t="s">
        <v>18</v>
      </c>
      <c r="U12" s="689">
        <f t="shared" si="1"/>
        <v>100</v>
      </c>
      <c r="V12" s="688" t="s">
        <v>18</v>
      </c>
      <c r="W12" s="689">
        <f t="shared" si="2"/>
        <v>100</v>
      </c>
      <c r="X12" s="690"/>
      <c r="Y12" s="3610"/>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09"/>
      <c r="Q13" s="1329">
        <f t="shared" si="6"/>
        <v>111</v>
      </c>
      <c r="R13" s="688" t="s">
        <v>18</v>
      </c>
      <c r="S13" s="689">
        <f t="shared" si="0"/>
        <v>100</v>
      </c>
      <c r="T13" s="688" t="s">
        <v>18</v>
      </c>
      <c r="U13" s="689">
        <f t="shared" si="1"/>
        <v>100</v>
      </c>
      <c r="V13" s="688" t="s">
        <v>18</v>
      </c>
      <c r="W13" s="689">
        <f t="shared" si="2"/>
        <v>100</v>
      </c>
      <c r="X13" s="690"/>
      <c r="Y13" s="3610"/>
      <c r="Z13" s="52">
        <f t="shared" si="7"/>
        <v>111</v>
      </c>
      <c r="AA13" s="691">
        <f t="shared" si="3"/>
        <v>1</v>
      </c>
      <c r="AB13" s="691">
        <f t="shared" si="4"/>
        <v>1</v>
      </c>
      <c r="AC13" s="691">
        <f t="shared" si="5"/>
        <v>1</v>
      </c>
    </row>
    <row r="14" spans="1:29" ht="15.75"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09"/>
      <c r="Q14" s="1329">
        <f t="shared" si="6"/>
        <v>111</v>
      </c>
      <c r="R14" s="688" t="s">
        <v>18</v>
      </c>
      <c r="S14" s="689">
        <f t="shared" si="0"/>
        <v>100</v>
      </c>
      <c r="T14" s="688" t="s">
        <v>18</v>
      </c>
      <c r="U14" s="689">
        <f t="shared" si="1"/>
        <v>100</v>
      </c>
      <c r="V14" s="688" t="s">
        <v>18</v>
      </c>
      <c r="W14" s="689">
        <f t="shared" si="2"/>
        <v>100</v>
      </c>
      <c r="X14" s="690"/>
      <c r="Y14" s="3610"/>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80" t="s">
        <v>1691</v>
      </c>
      <c r="Q15" s="1338" t="str">
        <f t="shared" si="6"/>
        <v>居住社区成熟度</v>
      </c>
      <c r="R15" s="692" t="s">
        <v>18</v>
      </c>
      <c r="S15" s="693">
        <f t="shared" si="0"/>
        <v>100</v>
      </c>
      <c r="T15" s="692" t="s">
        <v>18</v>
      </c>
      <c r="U15" s="693">
        <f t="shared" si="1"/>
        <v>100</v>
      </c>
      <c r="V15" s="692" t="s">
        <v>18</v>
      </c>
      <c r="W15" s="693">
        <f t="shared" si="2"/>
        <v>100</v>
      </c>
      <c r="X15" s="1341"/>
      <c r="Y15" s="3711"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81"/>
      <c r="Q16" s="1338"/>
      <c r="R16" s="692"/>
      <c r="S16" s="693"/>
      <c r="T16" s="692"/>
      <c r="U16" s="693"/>
      <c r="V16" s="692"/>
      <c r="W16" s="693"/>
      <c r="X16" s="1341"/>
      <c r="Y16" s="3712"/>
      <c r="Z16" s="1342"/>
      <c r="AA16" s="1339">
        <v>1</v>
      </c>
      <c r="AB16" s="1339">
        <v>1</v>
      </c>
      <c r="AC16" s="1339">
        <v>1</v>
      </c>
    </row>
    <row r="17" spans="1:29" ht="128.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81"/>
      <c r="Q17" s="1338" t="str">
        <f>B17</f>
        <v>交通便捷度</v>
      </c>
      <c r="R17" s="692" t="s">
        <v>18</v>
      </c>
      <c r="S17" s="693">
        <f>F17</f>
        <v>100</v>
      </c>
      <c r="T17" s="692" t="s">
        <v>18</v>
      </c>
      <c r="U17" s="693">
        <f>H17</f>
        <v>100</v>
      </c>
      <c r="V17" s="692" t="s">
        <v>18</v>
      </c>
      <c r="W17" s="693">
        <f>J17</f>
        <v>100</v>
      </c>
      <c r="X17" s="1341"/>
      <c r="Y17" s="3712"/>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81"/>
      <c r="Q18" s="1338"/>
      <c r="R18" s="692"/>
      <c r="S18" s="693"/>
      <c r="T18" s="692"/>
      <c r="U18" s="693"/>
      <c r="V18" s="692"/>
      <c r="W18" s="693"/>
      <c r="X18" s="1341"/>
      <c r="Y18" s="3712"/>
      <c r="Z18" s="1342"/>
      <c r="AA18" s="1339">
        <v>1</v>
      </c>
      <c r="AB18" s="1339">
        <v>1</v>
      </c>
      <c r="AC18" s="1339">
        <v>1</v>
      </c>
    </row>
    <row r="19" spans="1:29" ht="57">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81"/>
      <c r="Q19" s="1338" t="str">
        <f>B19</f>
        <v>公共配套设施</v>
      </c>
      <c r="R19" s="692" t="s">
        <v>18</v>
      </c>
      <c r="S19" s="693">
        <f>F19</f>
        <v>100</v>
      </c>
      <c r="T19" s="692" t="s">
        <v>18</v>
      </c>
      <c r="U19" s="693">
        <f>H19</f>
        <v>100</v>
      </c>
      <c r="V19" s="692" t="s">
        <v>18</v>
      </c>
      <c r="W19" s="693">
        <f>J19</f>
        <v>100</v>
      </c>
      <c r="X19" s="1341"/>
      <c r="Y19" s="3712"/>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81"/>
      <c r="Q20" s="1338"/>
      <c r="R20" s="692"/>
      <c r="S20" s="693"/>
      <c r="T20" s="692"/>
      <c r="U20" s="693"/>
      <c r="V20" s="692"/>
      <c r="W20" s="693"/>
      <c r="X20" s="1341"/>
      <c r="Y20" s="3712"/>
      <c r="Z20" s="1342"/>
      <c r="AA20" s="1339">
        <v>1</v>
      </c>
      <c r="AB20" s="1339">
        <v>1</v>
      </c>
      <c r="AC20" s="1339">
        <v>1</v>
      </c>
    </row>
    <row r="21" spans="1:29" ht="42.75">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81"/>
      <c r="Q21" s="1338" t="str">
        <f>B21</f>
        <v>基础设施水平</v>
      </c>
      <c r="R21" s="692" t="s">
        <v>14</v>
      </c>
      <c r="S21" s="693">
        <f>F21</f>
        <v>100</v>
      </c>
      <c r="T21" s="692" t="s">
        <v>14</v>
      </c>
      <c r="U21" s="693">
        <f>H21</f>
        <v>100</v>
      </c>
      <c r="V21" s="692" t="s">
        <v>14</v>
      </c>
      <c r="W21" s="693">
        <f>J21</f>
        <v>100</v>
      </c>
      <c r="X21" s="1341"/>
      <c r="Y21" s="3712"/>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81"/>
      <c r="Q22" s="1338"/>
      <c r="R22" s="692"/>
      <c r="S22" s="693"/>
      <c r="T22" s="692"/>
      <c r="U22" s="693"/>
      <c r="V22" s="692"/>
      <c r="W22" s="693"/>
      <c r="X22" s="1341"/>
      <c r="Y22" s="3712"/>
      <c r="Z22" s="1342"/>
      <c r="AA22" s="1339">
        <v>1</v>
      </c>
      <c r="AB22" s="1339">
        <v>1</v>
      </c>
      <c r="AC22" s="1339">
        <v>1</v>
      </c>
    </row>
    <row r="23" spans="1:29" ht="71.25">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81"/>
      <c r="Q23" s="1338" t="str">
        <f>B23</f>
        <v>自然及人文环境</v>
      </c>
      <c r="R23" s="692" t="s">
        <v>18</v>
      </c>
      <c r="S23" s="693">
        <f>F23</f>
        <v>100</v>
      </c>
      <c r="T23" s="692" t="s">
        <v>18</v>
      </c>
      <c r="U23" s="693">
        <f>H23</f>
        <v>100</v>
      </c>
      <c r="V23" s="692" t="s">
        <v>18</v>
      </c>
      <c r="W23" s="693">
        <f>J23</f>
        <v>100</v>
      </c>
      <c r="X23" s="1341"/>
      <c r="Y23" s="3712"/>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81"/>
      <c r="Q24" s="1338"/>
      <c r="R24" s="692"/>
      <c r="S24" s="693"/>
      <c r="T24" s="692"/>
      <c r="U24" s="693"/>
      <c r="V24" s="692"/>
      <c r="W24" s="693"/>
      <c r="X24" s="1341"/>
      <c r="Y24" s="3712"/>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81"/>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12"/>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81"/>
      <c r="Q26" s="1338" t="str">
        <f t="shared" si="11"/>
        <v>朝向</v>
      </c>
      <c r="R26" s="692" t="s">
        <v>18</v>
      </c>
      <c r="S26" s="693">
        <f t="shared" si="12"/>
        <v>100</v>
      </c>
      <c r="T26" s="692" t="s">
        <v>18</v>
      </c>
      <c r="U26" s="693">
        <f t="shared" si="13"/>
        <v>100</v>
      </c>
      <c r="V26" s="692" t="s">
        <v>18</v>
      </c>
      <c r="W26" s="693">
        <f t="shared" si="14"/>
        <v>100</v>
      </c>
      <c r="X26" s="1341"/>
      <c r="Y26" s="3712"/>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81"/>
      <c r="Q27" s="1329">
        <f t="shared" si="11"/>
        <v>111</v>
      </c>
      <c r="R27" s="688" t="s">
        <v>18</v>
      </c>
      <c r="S27" s="689">
        <f t="shared" si="12"/>
        <v>100</v>
      </c>
      <c r="T27" s="688" t="s">
        <v>18</v>
      </c>
      <c r="U27" s="689">
        <f t="shared" si="13"/>
        <v>100</v>
      </c>
      <c r="V27" s="688" t="s">
        <v>18</v>
      </c>
      <c r="W27" s="689">
        <f t="shared" si="14"/>
        <v>100</v>
      </c>
      <c r="X27" s="690"/>
      <c r="Y27" s="3712"/>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81"/>
      <c r="Q28" s="1338">
        <f t="shared" si="11"/>
        <v>111</v>
      </c>
      <c r="R28" s="692" t="s">
        <v>18</v>
      </c>
      <c r="S28" s="693">
        <f t="shared" si="12"/>
        <v>100</v>
      </c>
      <c r="T28" s="692" t="s">
        <v>18</v>
      </c>
      <c r="U28" s="693">
        <f t="shared" si="13"/>
        <v>100</v>
      </c>
      <c r="V28" s="692" t="s">
        <v>18</v>
      </c>
      <c r="W28" s="693">
        <f t="shared" si="14"/>
        <v>100</v>
      </c>
      <c r="X28" s="1341"/>
      <c r="Y28" s="3712"/>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81"/>
      <c r="Q29" s="1338">
        <f t="shared" si="11"/>
        <v>111</v>
      </c>
      <c r="R29" s="692" t="s">
        <v>18</v>
      </c>
      <c r="S29" s="693">
        <f t="shared" si="12"/>
        <v>100</v>
      </c>
      <c r="T29" s="692" t="s">
        <v>18</v>
      </c>
      <c r="U29" s="693">
        <f t="shared" si="13"/>
        <v>100</v>
      </c>
      <c r="V29" s="692" t="s">
        <v>18</v>
      </c>
      <c r="W29" s="693">
        <f t="shared" si="14"/>
        <v>100</v>
      </c>
      <c r="X29" s="1341"/>
      <c r="Y29" s="3712"/>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81"/>
      <c r="Q30" s="1338">
        <f t="shared" si="11"/>
        <v>111</v>
      </c>
      <c r="R30" s="692" t="s">
        <v>18</v>
      </c>
      <c r="S30" s="693">
        <f t="shared" si="12"/>
        <v>100</v>
      </c>
      <c r="T30" s="692" t="s">
        <v>18</v>
      </c>
      <c r="U30" s="693">
        <f t="shared" si="13"/>
        <v>100</v>
      </c>
      <c r="V30" s="692" t="s">
        <v>18</v>
      </c>
      <c r="W30" s="693">
        <f t="shared" si="14"/>
        <v>100</v>
      </c>
      <c r="X30" s="1341"/>
      <c r="Y30" s="3712"/>
      <c r="Z30" s="1342">
        <f t="shared" si="18"/>
        <v>111</v>
      </c>
      <c r="AA30" s="1339">
        <f t="shared" si="15"/>
        <v>1</v>
      </c>
      <c r="AB30" s="1339">
        <f t="shared" si="16"/>
        <v>1</v>
      </c>
      <c r="AC30" s="1339">
        <f t="shared" si="17"/>
        <v>1</v>
      </c>
    </row>
    <row r="31" spans="1:29" ht="15.75"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81"/>
      <c r="Q31" s="1338">
        <f t="shared" si="11"/>
        <v>111</v>
      </c>
      <c r="R31" s="692" t="s">
        <v>18</v>
      </c>
      <c r="S31" s="693">
        <f t="shared" si="12"/>
        <v>100</v>
      </c>
      <c r="T31" s="692" t="s">
        <v>18</v>
      </c>
      <c r="U31" s="693">
        <f t="shared" si="13"/>
        <v>100</v>
      </c>
      <c r="V31" s="692" t="s">
        <v>18</v>
      </c>
      <c r="W31" s="693">
        <f t="shared" si="14"/>
        <v>100</v>
      </c>
      <c r="X31" s="1341"/>
      <c r="Y31" s="3712"/>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6" t="s">
        <v>1696</v>
      </c>
      <c r="Q32" s="1338" t="str">
        <f t="shared" si="11"/>
        <v>建筑类型</v>
      </c>
      <c r="R32" s="692" t="s">
        <v>18</v>
      </c>
      <c r="S32" s="693">
        <f t="shared" si="12"/>
        <v>100</v>
      </c>
      <c r="T32" s="692" t="s">
        <v>18</v>
      </c>
      <c r="U32" s="693">
        <f t="shared" si="13"/>
        <v>100</v>
      </c>
      <c r="V32" s="692" t="s">
        <v>18</v>
      </c>
      <c r="W32" s="693">
        <f t="shared" si="14"/>
        <v>100</v>
      </c>
      <c r="X32" s="1341"/>
      <c r="Y32" s="3714"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7"/>
      <c r="Q33" s="694" t="str">
        <f t="shared" si="11"/>
        <v>项目建筑规模</v>
      </c>
      <c r="R33" s="695" t="s">
        <v>18</v>
      </c>
      <c r="S33" s="696" t="e">
        <f t="shared" si="12"/>
        <v>#N/A</v>
      </c>
      <c r="T33" s="695" t="s">
        <v>18</v>
      </c>
      <c r="U33" s="696" t="e">
        <f t="shared" si="13"/>
        <v>#N/A</v>
      </c>
      <c r="V33" s="695" t="s">
        <v>18</v>
      </c>
      <c r="W33" s="696" t="e">
        <f t="shared" si="14"/>
        <v>#N/A</v>
      </c>
      <c r="X33" s="697"/>
      <c r="Y33" s="3714"/>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7"/>
      <c r="Q34" s="1338" t="str">
        <f t="shared" si="11"/>
        <v>建筑结构</v>
      </c>
      <c r="R34" s="692" t="s">
        <v>18</v>
      </c>
      <c r="S34" s="693">
        <f t="shared" si="12"/>
        <v>100</v>
      </c>
      <c r="T34" s="692" t="s">
        <v>18</v>
      </c>
      <c r="U34" s="693">
        <f t="shared" si="13"/>
        <v>100</v>
      </c>
      <c r="V34" s="692" t="s">
        <v>18</v>
      </c>
      <c r="W34" s="693">
        <f t="shared" si="14"/>
        <v>100</v>
      </c>
      <c r="X34" s="1341"/>
      <c r="Y34" s="3714"/>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7"/>
      <c r="Q35" s="1338" t="str">
        <f t="shared" si="11"/>
        <v>建筑品质</v>
      </c>
      <c r="R35" s="692" t="s">
        <v>18</v>
      </c>
      <c r="S35" s="693">
        <f t="shared" si="12"/>
        <v>100</v>
      </c>
      <c r="T35" s="692" t="s">
        <v>18</v>
      </c>
      <c r="U35" s="693">
        <f t="shared" si="13"/>
        <v>100</v>
      </c>
      <c r="V35" s="692" t="s">
        <v>18</v>
      </c>
      <c r="W35" s="693">
        <f t="shared" si="14"/>
        <v>100</v>
      </c>
      <c r="X35" s="1341"/>
      <c r="Y35" s="3714"/>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7"/>
      <c r="Q36" s="1338" t="str">
        <f t="shared" si="11"/>
        <v>公共部分装修</v>
      </c>
      <c r="R36" s="692" t="s">
        <v>18</v>
      </c>
      <c r="S36" s="693">
        <f t="shared" si="12"/>
        <v>100</v>
      </c>
      <c r="T36" s="692" t="s">
        <v>18</v>
      </c>
      <c r="U36" s="693">
        <f t="shared" si="13"/>
        <v>100</v>
      </c>
      <c r="V36" s="692" t="s">
        <v>18</v>
      </c>
      <c r="W36" s="693">
        <f t="shared" si="14"/>
        <v>100</v>
      </c>
      <c r="X36" s="1341"/>
      <c r="Y36" s="3714"/>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7"/>
      <c r="Q37" s="1329" t="str">
        <f t="shared" si="11"/>
        <v>成新度</v>
      </c>
      <c r="R37" s="688" t="s">
        <v>18</v>
      </c>
      <c r="S37" s="689" t="e">
        <f t="shared" si="12"/>
        <v>#N/A</v>
      </c>
      <c r="T37" s="688" t="s">
        <v>18</v>
      </c>
      <c r="U37" s="689" t="e">
        <f t="shared" si="13"/>
        <v>#N/A</v>
      </c>
      <c r="V37" s="688" t="s">
        <v>18</v>
      </c>
      <c r="W37" s="689" t="e">
        <f t="shared" si="14"/>
        <v>#N/A</v>
      </c>
      <c r="X37" s="690"/>
      <c r="Y37" s="3714"/>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7" t="s">
        <v>1696</v>
      </c>
      <c r="Q38" s="1338" t="str">
        <f t="shared" si="11"/>
        <v>物业管理</v>
      </c>
      <c r="R38" s="692" t="s">
        <v>18</v>
      </c>
      <c r="S38" s="693">
        <f t="shared" si="12"/>
        <v>100</v>
      </c>
      <c r="T38" s="692" t="s">
        <v>18</v>
      </c>
      <c r="U38" s="693">
        <f t="shared" si="13"/>
        <v>100</v>
      </c>
      <c r="V38" s="692" t="s">
        <v>18</v>
      </c>
      <c r="W38" s="693">
        <f t="shared" si="14"/>
        <v>100</v>
      </c>
      <c r="X38" s="1341"/>
      <c r="Y38" s="3714"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7"/>
      <c r="Q39" s="1338" t="str">
        <f t="shared" si="11"/>
        <v>市政基础设施</v>
      </c>
      <c r="R39" s="692" t="s">
        <v>18</v>
      </c>
      <c r="S39" s="693">
        <f t="shared" si="12"/>
        <v>100</v>
      </c>
      <c r="T39" s="692" t="s">
        <v>18</v>
      </c>
      <c r="U39" s="693">
        <f t="shared" si="13"/>
        <v>100</v>
      </c>
      <c r="V39" s="692" t="s">
        <v>18</v>
      </c>
      <c r="W39" s="693">
        <f t="shared" si="14"/>
        <v>100</v>
      </c>
      <c r="X39" s="1341"/>
      <c r="Y39" s="3714"/>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7"/>
      <c r="Q40" s="1338" t="str">
        <f t="shared" si="11"/>
        <v>房型</v>
      </c>
      <c r="R40" s="692" t="s">
        <v>18</v>
      </c>
      <c r="S40" s="693">
        <f t="shared" si="12"/>
        <v>100</v>
      </c>
      <c r="T40" s="692" t="s">
        <v>18</v>
      </c>
      <c r="U40" s="693">
        <f t="shared" si="13"/>
        <v>100</v>
      </c>
      <c r="V40" s="692" t="s">
        <v>18</v>
      </c>
      <c r="W40" s="693">
        <f t="shared" si="14"/>
        <v>100</v>
      </c>
      <c r="X40" s="1341"/>
      <c r="Y40" s="3714"/>
      <c r="Z40" s="1342" t="str">
        <f t="shared" si="18"/>
        <v>房型</v>
      </c>
      <c r="AA40" s="1339">
        <f t="shared" si="15"/>
        <v>1</v>
      </c>
      <c r="AB40" s="1339">
        <f t="shared" si="16"/>
        <v>1</v>
      </c>
      <c r="AC40" s="1339">
        <f t="shared" si="17"/>
        <v>1</v>
      </c>
    </row>
    <row r="41" spans="1:29" s="412" customFormat="1" ht="28.5">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7"/>
      <c r="Q41" s="694" t="str">
        <f t="shared" si="11"/>
        <v>单套/主力户型建筑面积</v>
      </c>
      <c r="R41" s="695" t="s">
        <v>18</v>
      </c>
      <c r="S41" s="696">
        <f t="shared" si="12"/>
        <v>100</v>
      </c>
      <c r="T41" s="695" t="s">
        <v>18</v>
      </c>
      <c r="U41" s="696">
        <f t="shared" si="13"/>
        <v>100</v>
      </c>
      <c r="V41" s="695" t="s">
        <v>18</v>
      </c>
      <c r="W41" s="696">
        <f t="shared" si="14"/>
        <v>100</v>
      </c>
      <c r="X41" s="697"/>
      <c r="Y41" s="3714"/>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7"/>
      <c r="Q42" s="1338" t="str">
        <f t="shared" si="11"/>
        <v>内部装修</v>
      </c>
      <c r="R42" s="692" t="s">
        <v>18</v>
      </c>
      <c r="S42" s="693">
        <f t="shared" si="12"/>
        <v>100</v>
      </c>
      <c r="T42" s="692" t="s">
        <v>18</v>
      </c>
      <c r="U42" s="693">
        <f t="shared" si="13"/>
        <v>100</v>
      </c>
      <c r="V42" s="692" t="s">
        <v>18</v>
      </c>
      <c r="W42" s="693">
        <f t="shared" si="14"/>
        <v>100</v>
      </c>
      <c r="X42" s="1341"/>
      <c r="Y42" s="3714"/>
      <c r="Z42" s="1342" t="str">
        <f t="shared" si="18"/>
        <v>内部装修</v>
      </c>
      <c r="AA42" s="1339">
        <f t="shared" si="15"/>
        <v>1</v>
      </c>
      <c r="AB42" s="1339">
        <f t="shared" si="16"/>
        <v>1</v>
      </c>
      <c r="AC42" s="1339">
        <f t="shared" si="17"/>
        <v>1</v>
      </c>
    </row>
    <row r="43" spans="1:29" ht="15">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7"/>
      <c r="Q43" s="1338" t="str">
        <f t="shared" si="11"/>
        <v>内部装修维护情况</v>
      </c>
      <c r="R43" s="692" t="s">
        <v>18</v>
      </c>
      <c r="S43" s="693">
        <f t="shared" si="12"/>
        <v>100</v>
      </c>
      <c r="T43" s="692" t="s">
        <v>18</v>
      </c>
      <c r="U43" s="693">
        <f t="shared" si="13"/>
        <v>100</v>
      </c>
      <c r="V43" s="692" t="s">
        <v>18</v>
      </c>
      <c r="W43" s="693">
        <f t="shared" si="14"/>
        <v>100</v>
      </c>
      <c r="X43" s="1341"/>
      <c r="Y43" s="3714"/>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7"/>
      <c r="Q44" s="1329">
        <f t="shared" si="11"/>
        <v>111</v>
      </c>
      <c r="R44" s="688" t="s">
        <v>18</v>
      </c>
      <c r="S44" s="689">
        <f t="shared" si="12"/>
        <v>100</v>
      </c>
      <c r="T44" s="688" t="s">
        <v>18</v>
      </c>
      <c r="U44" s="689">
        <f t="shared" si="13"/>
        <v>100</v>
      </c>
      <c r="V44" s="688" t="s">
        <v>18</v>
      </c>
      <c r="W44" s="689">
        <f t="shared" si="14"/>
        <v>100</v>
      </c>
      <c r="X44" s="690"/>
      <c r="Y44" s="3714"/>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7"/>
      <c r="Q45" s="1338">
        <f t="shared" si="11"/>
        <v>111</v>
      </c>
      <c r="R45" s="692" t="s">
        <v>18</v>
      </c>
      <c r="S45" s="693">
        <f t="shared" si="12"/>
        <v>100</v>
      </c>
      <c r="T45" s="692" t="s">
        <v>18</v>
      </c>
      <c r="U45" s="693">
        <f t="shared" si="13"/>
        <v>100</v>
      </c>
      <c r="V45" s="692" t="s">
        <v>18</v>
      </c>
      <c r="W45" s="693">
        <f t="shared" si="14"/>
        <v>100</v>
      </c>
      <c r="X45" s="1341"/>
      <c r="Y45" s="3714"/>
      <c r="Z45" s="1342">
        <f t="shared" si="18"/>
        <v>111</v>
      </c>
      <c r="AA45" s="1339">
        <f t="shared" si="15"/>
        <v>1</v>
      </c>
      <c r="AB45" s="1339">
        <f t="shared" si="16"/>
        <v>1</v>
      </c>
      <c r="AC45" s="1339">
        <f t="shared" si="17"/>
        <v>1</v>
      </c>
    </row>
    <row r="46" spans="1:29" ht="15.75"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8"/>
      <c r="Q46" s="1338">
        <f t="shared" si="11"/>
        <v>111</v>
      </c>
      <c r="R46" s="692" t="s">
        <v>17</v>
      </c>
      <c r="S46" s="693">
        <f t="shared" si="12"/>
        <v>100</v>
      </c>
      <c r="T46" s="692" t="s">
        <v>17</v>
      </c>
      <c r="U46" s="693">
        <f t="shared" si="13"/>
        <v>100</v>
      </c>
      <c r="V46" s="692" t="s">
        <v>17</v>
      </c>
      <c r="W46" s="693">
        <f t="shared" si="14"/>
        <v>100</v>
      </c>
      <c r="X46" s="1341"/>
      <c r="Y46" s="3779"/>
      <c r="Z46" s="1342">
        <f t="shared" si="18"/>
        <v>111</v>
      </c>
      <c r="AA46" s="1339">
        <f t="shared" si="15"/>
        <v>1</v>
      </c>
      <c r="AB46" s="1339">
        <f t="shared" si="16"/>
        <v>1</v>
      </c>
      <c r="AC46" s="1339">
        <f t="shared" si="17"/>
        <v>1</v>
      </c>
    </row>
    <row r="47" spans="1:29" ht="15">
      <c r="A47" s="420" t="s">
        <v>1708</v>
      </c>
      <c r="B47" s="421"/>
      <c r="C47" s="1141" t="s">
        <v>16</v>
      </c>
      <c r="D47" s="1142"/>
      <c r="E47" s="1143"/>
      <c r="F47" s="1144"/>
      <c r="G47" s="1145"/>
      <c r="H47" s="1146"/>
      <c r="I47" s="1143"/>
      <c r="J47" s="1146"/>
      <c r="K47" s="1900"/>
      <c r="L47" s="2704"/>
      <c r="M47" s="2705"/>
      <c r="N47" s="2696"/>
      <c r="O47" s="2705"/>
      <c r="P47" s="3710" t="str">
        <f>A47</f>
        <v>成交单价（元/平方米）</v>
      </c>
      <c r="Q47" s="3710"/>
      <c r="R47" s="3775">
        <f>E47</f>
        <v>0</v>
      </c>
      <c r="S47" s="3775"/>
      <c r="T47" s="3775">
        <f>G47</f>
        <v>0</v>
      </c>
      <c r="U47" s="3775"/>
      <c r="V47" s="3775">
        <f>I47</f>
        <v>0</v>
      </c>
      <c r="W47" s="3775"/>
      <c r="X47" s="677"/>
      <c r="Y47" s="699"/>
      <c r="Z47" s="677"/>
      <c r="AA47" s="677"/>
      <c r="AB47" s="677"/>
      <c r="AC47" s="677"/>
    </row>
    <row r="48" spans="1:29" ht="15.7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10" t="str">
        <f>A48</f>
        <v>比较价值（元/平方米）</v>
      </c>
      <c r="Q48" s="3710"/>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677"/>
      <c r="Y48" s="677"/>
      <c r="Z48" s="677"/>
      <c r="AA48" s="677"/>
      <c r="AB48" s="677"/>
      <c r="AC48" s="677"/>
    </row>
    <row r="49" spans="1:29" ht="15.75" thickBot="1">
      <c r="A49" s="431" t="s">
        <v>1710</v>
      </c>
      <c r="B49" s="432"/>
      <c r="C49" s="1149" t="e">
        <f>R49</f>
        <v>#DIV/0!</v>
      </c>
      <c r="D49" s="1150"/>
      <c r="E49" s="1150"/>
      <c r="F49" s="1150"/>
      <c r="G49" s="1150"/>
      <c r="H49" s="1150"/>
      <c r="I49" s="1150"/>
      <c r="J49" s="1150"/>
      <c r="K49" s="1901"/>
      <c r="L49" s="2704"/>
      <c r="M49" s="2705"/>
      <c r="N49" s="2705"/>
      <c r="O49" s="2705"/>
      <c r="P49" s="3704" t="str">
        <f>A49</f>
        <v>估价对象XX用房的比较价值（楼面单价，元/平方米）</v>
      </c>
      <c r="Q49" s="3705"/>
      <c r="R49" s="3774" t="e">
        <f>IF(F1="售价",ROUND(IF(D48="简单平均",AVERAGE(R48:V48),R48*F48+T48*H48+V48*J48),0),ROUND(IF(D48="简单平均",AVERAGE(R48:V48),R48*F48+T48*H48+V48*J48),1))</f>
        <v>#DIV/0!</v>
      </c>
      <c r="S49" s="3774"/>
      <c r="T49" s="3774"/>
      <c r="U49" s="3774"/>
      <c r="V49" s="3774"/>
      <c r="W49" s="3774"/>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1.75" thickBot="1">
      <c r="A57" s="681" t="s">
        <v>1714</v>
      </c>
      <c r="B57" s="677"/>
      <c r="C57" s="682"/>
      <c r="D57" s="682"/>
      <c r="E57" s="682"/>
      <c r="F57" s="683"/>
      <c r="G57" s="683"/>
      <c r="H57" s="682"/>
      <c r="I57" s="682"/>
      <c r="J57" s="682"/>
      <c r="K57" s="928"/>
      <c r="L57" s="929"/>
      <c r="M57" s="927"/>
      <c r="N57" s="927"/>
      <c r="O57" s="927"/>
      <c r="P57" s="1904"/>
      <c r="Q57" s="443"/>
    </row>
    <row r="58" spans="1:29" s="447" customFormat="1" ht="15">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ht="15">
      <c r="A59" s="448"/>
      <c r="B59" s="1905"/>
      <c r="C59" s="1169">
        <v>100</v>
      </c>
      <c r="D59" s="450"/>
      <c r="E59" s="451"/>
      <c r="F59" s="451"/>
      <c r="G59" s="451"/>
      <c r="H59" s="451"/>
      <c r="I59" s="451"/>
      <c r="J59" s="451"/>
      <c r="K59" s="451"/>
      <c r="L59" s="451"/>
      <c r="M59" s="452"/>
      <c r="N59" s="451"/>
      <c r="O59" s="452"/>
      <c r="P59" s="1906"/>
    </row>
    <row r="60" spans="1:29" s="105" customFormat="1" ht="15.75" thickBot="1">
      <c r="A60" s="454" t="s">
        <v>1716</v>
      </c>
      <c r="B60" s="455"/>
      <c r="C60" s="456"/>
      <c r="D60" s="457"/>
      <c r="E60" s="457"/>
      <c r="F60" s="457"/>
      <c r="G60" s="457"/>
      <c r="H60" s="457"/>
      <c r="I60" s="457"/>
      <c r="J60" s="457"/>
      <c r="K60" s="457"/>
      <c r="L60" s="457"/>
      <c r="M60" s="458"/>
      <c r="N60" s="457"/>
      <c r="O60" s="458"/>
      <c r="P60" s="1906"/>
      <c r="Q60" s="443"/>
    </row>
    <row r="61" spans="1:29" s="105" customFormat="1" ht="15">
      <c r="A61" s="460" t="s">
        <v>1717</v>
      </c>
      <c r="B61" s="449"/>
      <c r="C61" s="461" t="s">
        <v>1718</v>
      </c>
      <c r="D61" s="462"/>
      <c r="E61" s="462"/>
      <c r="F61" s="462"/>
      <c r="G61" s="462"/>
      <c r="H61" s="462"/>
      <c r="I61" s="462"/>
      <c r="J61" s="462"/>
      <c r="K61" s="462"/>
      <c r="L61" s="463"/>
      <c r="M61" s="464"/>
      <c r="N61" s="919"/>
      <c r="O61" s="919"/>
      <c r="P61" s="1907"/>
      <c r="Q61" s="443"/>
    </row>
    <row r="62" spans="1:29" s="105" customFormat="1" ht="15.75" thickBot="1">
      <c r="A62" s="460"/>
      <c r="B62" s="449"/>
      <c r="C62" s="450">
        <v>100</v>
      </c>
      <c r="D62" s="451"/>
      <c r="E62" s="451"/>
      <c r="F62" s="451"/>
      <c r="G62" s="451"/>
      <c r="H62" s="451"/>
      <c r="I62" s="451"/>
      <c r="J62" s="451"/>
      <c r="K62" s="451"/>
      <c r="L62" s="451"/>
      <c r="M62" s="453"/>
      <c r="N62" s="919"/>
      <c r="O62" s="919"/>
      <c r="P62" s="1906"/>
      <c r="Q62" s="443"/>
    </row>
    <row r="63" spans="1:29">
      <c r="A63" s="466" t="s">
        <v>1719</v>
      </c>
      <c r="B63" s="467" t="s">
        <v>1685</v>
      </c>
      <c r="C63" s="468">
        <f>C9</f>
        <v>0</v>
      </c>
      <c r="D63" s="469"/>
      <c r="E63" s="469"/>
      <c r="F63" s="469"/>
      <c r="G63" s="469"/>
      <c r="H63" s="469"/>
      <c r="I63" s="469"/>
      <c r="J63" s="469"/>
      <c r="K63" s="470"/>
      <c r="L63" s="471"/>
      <c r="M63" s="472"/>
      <c r="N63" s="920"/>
      <c r="O63" s="920"/>
      <c r="P63" s="1908"/>
      <c r="Q63" s="443"/>
    </row>
    <row r="64" spans="1:29" ht="15.75" thickBot="1">
      <c r="A64" s="473"/>
      <c r="B64" s="474"/>
      <c r="C64" s="475">
        <v>100</v>
      </c>
      <c r="D64" s="475"/>
      <c r="E64" s="475"/>
      <c r="F64" s="475"/>
      <c r="G64" s="475"/>
      <c r="H64" s="475"/>
      <c r="I64" s="475"/>
      <c r="J64" s="475"/>
      <c r="K64" s="475"/>
      <c r="L64" s="475"/>
      <c r="M64" s="476"/>
      <c r="N64" s="921"/>
      <c r="O64" s="921"/>
      <c r="P64" s="1908"/>
      <c r="Q64" s="443"/>
    </row>
    <row r="65" spans="1:17" ht="27.75" thickTop="1">
      <c r="A65" s="473"/>
      <c r="B65" s="477" t="s">
        <v>1688</v>
      </c>
      <c r="C65" s="522"/>
      <c r="D65" s="522"/>
      <c r="E65" s="522"/>
      <c r="F65" s="522"/>
      <c r="G65" s="522"/>
      <c r="H65" s="522"/>
      <c r="I65" s="522"/>
      <c r="J65" s="522"/>
      <c r="K65" s="522"/>
      <c r="L65" s="522"/>
      <c r="M65" s="522"/>
      <c r="N65" s="921"/>
      <c r="O65" s="921"/>
      <c r="P65" s="1908"/>
      <c r="Q65" s="443"/>
    </row>
    <row r="66" spans="1:17" ht="15.75" thickBot="1">
      <c r="A66" s="473"/>
      <c r="B66" s="482"/>
      <c r="C66" s="475"/>
      <c r="D66" s="475"/>
      <c r="E66" s="475"/>
      <c r="F66" s="475"/>
      <c r="G66" s="475"/>
      <c r="H66" s="475"/>
      <c r="I66" s="475"/>
      <c r="J66" s="475"/>
      <c r="K66" s="475"/>
      <c r="L66" s="475"/>
      <c r="M66" s="476"/>
      <c r="N66" s="921"/>
      <c r="O66" s="921"/>
      <c r="P66" s="1908"/>
      <c r="Q66" s="443"/>
    </row>
    <row r="67" spans="1:17" ht="15.7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ht="15">
      <c r="A68" s="473"/>
      <c r="B68" s="487"/>
      <c r="C68" s="488"/>
      <c r="D68" s="488"/>
      <c r="E68" s="488"/>
      <c r="F68" s="488"/>
      <c r="G68" s="488"/>
      <c r="H68" s="488"/>
      <c r="I68" s="488"/>
      <c r="J68" s="488"/>
      <c r="K68" s="489"/>
      <c r="L68" s="490"/>
      <c r="M68" s="491"/>
      <c r="N68" s="920"/>
      <c r="O68" s="920"/>
      <c r="P68" s="1908"/>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5.75" thickTop="1">
      <c r="A70" s="492"/>
      <c r="B70" s="477">
        <f>B12</f>
        <v>111</v>
      </c>
      <c r="C70" s="493"/>
      <c r="D70" s="493"/>
      <c r="E70" s="493"/>
      <c r="F70" s="493"/>
      <c r="G70" s="493"/>
      <c r="H70" s="494"/>
      <c r="I70" s="494"/>
      <c r="J70" s="494"/>
      <c r="K70" s="494"/>
      <c r="L70" s="495"/>
      <c r="M70" s="496"/>
      <c r="N70" s="922"/>
      <c r="O70" s="922"/>
      <c r="P70" s="1909"/>
      <c r="Q70" s="498"/>
    </row>
    <row r="71" spans="1:17" s="412" customFormat="1" ht="15.75" thickBot="1">
      <c r="A71" s="492"/>
      <c r="B71" s="482"/>
      <c r="C71" s="499"/>
      <c r="D71" s="475"/>
      <c r="E71" s="475"/>
      <c r="F71" s="475"/>
      <c r="G71" s="475"/>
      <c r="H71" s="475"/>
      <c r="I71" s="475"/>
      <c r="J71" s="475"/>
      <c r="K71" s="475"/>
      <c r="L71" s="475"/>
      <c r="M71" s="476"/>
      <c r="N71" s="921"/>
      <c r="O71" s="921"/>
      <c r="P71" s="1909"/>
      <c r="Q71" s="498"/>
    </row>
    <row r="72" spans="1:17" s="412" customFormat="1" ht="15.75" thickTop="1">
      <c r="A72" s="492"/>
      <c r="B72" s="477">
        <f>B13</f>
        <v>111</v>
      </c>
      <c r="C72" s="493"/>
      <c r="D72" s="493"/>
      <c r="E72" s="493"/>
      <c r="F72" s="493"/>
      <c r="G72" s="493"/>
      <c r="H72" s="494"/>
      <c r="I72" s="494"/>
      <c r="J72" s="494"/>
      <c r="K72" s="494"/>
      <c r="L72" s="495"/>
      <c r="M72" s="496"/>
      <c r="N72" s="922"/>
      <c r="O72" s="922"/>
      <c r="P72" s="1910"/>
      <c r="Q72" s="500"/>
    </row>
    <row r="73" spans="1:17" s="412" customFormat="1" ht="15.75" thickBot="1">
      <c r="A73" s="492"/>
      <c r="B73" s="482"/>
      <c r="C73" s="499"/>
      <c r="D73" s="499"/>
      <c r="E73" s="499"/>
      <c r="F73" s="499"/>
      <c r="G73" s="499"/>
      <c r="H73" s="501"/>
      <c r="I73" s="501"/>
      <c r="J73" s="501"/>
      <c r="K73" s="501"/>
      <c r="L73" s="501"/>
      <c r="M73" s="502"/>
      <c r="N73" s="922"/>
      <c r="O73" s="922"/>
      <c r="P73" s="1909"/>
      <c r="Q73" s="498"/>
    </row>
    <row r="74" spans="1:17" s="412" customFormat="1" ht="15.75" thickTop="1">
      <c r="A74" s="492"/>
      <c r="B74" s="485">
        <f>B14</f>
        <v>111</v>
      </c>
      <c r="C74" s="493"/>
      <c r="D74" s="493"/>
      <c r="E74" s="493"/>
      <c r="F74" s="493"/>
      <c r="G74" s="462"/>
      <c r="H74" s="503"/>
      <c r="I74" s="503"/>
      <c r="J74" s="503"/>
      <c r="K74" s="503"/>
      <c r="L74" s="504"/>
      <c r="M74" s="505"/>
      <c r="N74" s="922"/>
      <c r="O74" s="922"/>
      <c r="P74" s="1911"/>
      <c r="Q74" s="498"/>
    </row>
    <row r="75" spans="1:17" s="412" customFormat="1" ht="15.75" thickBot="1">
      <c r="A75" s="507"/>
      <c r="B75" s="508"/>
      <c r="C75" s="509"/>
      <c r="D75" s="509"/>
      <c r="E75" s="509"/>
      <c r="F75" s="509"/>
      <c r="G75" s="509"/>
      <c r="H75" s="510"/>
      <c r="I75" s="510"/>
      <c r="J75" s="510"/>
      <c r="K75" s="510"/>
      <c r="L75" s="510"/>
      <c r="M75" s="511"/>
      <c r="N75" s="922"/>
      <c r="O75" s="922"/>
      <c r="P75" s="1909"/>
      <c r="Q75" s="498"/>
    </row>
    <row r="76" spans="1:17">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7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7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7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7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75" thickTop="1">
      <c r="A86" s="518"/>
      <c r="B86" s="477" t="s">
        <v>1734</v>
      </c>
      <c r="C86" s="493"/>
      <c r="D86" s="493"/>
      <c r="E86" s="493"/>
      <c r="F86" s="493"/>
      <c r="G86" s="493"/>
      <c r="H86" s="493"/>
      <c r="I86" s="493"/>
      <c r="J86" s="493"/>
      <c r="K86" s="493"/>
      <c r="L86" s="519"/>
      <c r="M86" s="520"/>
      <c r="N86" s="919"/>
      <c r="O86" s="919"/>
      <c r="P86" s="1908"/>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75" thickTop="1">
      <c r="A88" s="518"/>
      <c r="B88" s="477" t="s">
        <v>1735</v>
      </c>
      <c r="C88" s="493"/>
      <c r="D88" s="493"/>
      <c r="E88" s="493"/>
      <c r="F88" s="1913"/>
      <c r="G88" s="493"/>
      <c r="H88" s="493"/>
      <c r="I88" s="493"/>
      <c r="J88" s="493"/>
      <c r="K88" s="493"/>
      <c r="L88" s="493"/>
      <c r="M88" s="520"/>
      <c r="N88" s="919"/>
      <c r="O88" s="919"/>
      <c r="P88" s="1908"/>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5.75" thickTop="1">
      <c r="A90" s="492"/>
      <c r="B90" s="477">
        <f>B27</f>
        <v>111</v>
      </c>
      <c r="C90" s="493"/>
      <c r="D90" s="493"/>
      <c r="E90" s="493"/>
      <c r="F90" s="493"/>
      <c r="G90" s="493"/>
      <c r="H90" s="494"/>
      <c r="I90" s="494"/>
      <c r="J90" s="494"/>
      <c r="K90" s="494"/>
      <c r="L90" s="495"/>
      <c r="M90" s="496"/>
      <c r="N90" s="922"/>
      <c r="O90" s="922"/>
      <c r="P90" s="1909"/>
      <c r="Q90" s="498"/>
    </row>
    <row r="91" spans="1:17" s="412" customFormat="1" ht="15.75" thickBot="1">
      <c r="A91" s="492"/>
      <c r="B91" s="482"/>
      <c r="C91" s="499"/>
      <c r="D91" s="499"/>
      <c r="E91" s="499"/>
      <c r="F91" s="499"/>
      <c r="G91" s="499"/>
      <c r="H91" s="501"/>
      <c r="I91" s="501"/>
      <c r="J91" s="501"/>
      <c r="K91" s="501"/>
      <c r="L91" s="501"/>
      <c r="M91" s="502"/>
      <c r="N91" s="922"/>
      <c r="O91" s="922"/>
      <c r="P91" s="1909"/>
      <c r="Q91" s="498"/>
    </row>
    <row r="92" spans="1:17" ht="15.75" thickTop="1">
      <c r="A92" s="473"/>
      <c r="B92" s="477">
        <f>B28</f>
        <v>111</v>
      </c>
      <c r="C92" s="493"/>
      <c r="D92" s="493"/>
      <c r="E92" s="493"/>
      <c r="F92" s="493"/>
      <c r="G92" s="522"/>
      <c r="H92" s="522"/>
      <c r="I92" s="522"/>
      <c r="J92" s="522"/>
      <c r="K92" s="523"/>
      <c r="L92" s="524"/>
      <c r="M92" s="525"/>
      <c r="N92" s="920"/>
      <c r="O92" s="920"/>
      <c r="P92" s="1908"/>
      <c r="Q92" s="443"/>
    </row>
    <row r="93" spans="1:17" ht="15.75" thickBot="1">
      <c r="A93" s="473"/>
      <c r="B93" s="482"/>
      <c r="C93" s="499"/>
      <c r="D93" s="475"/>
      <c r="E93" s="475"/>
      <c r="F93" s="475"/>
      <c r="G93" s="475"/>
      <c r="H93" s="475"/>
      <c r="I93" s="475"/>
      <c r="J93" s="475"/>
      <c r="K93" s="475"/>
      <c r="L93" s="475"/>
      <c r="M93" s="476"/>
      <c r="N93" s="921"/>
      <c r="O93" s="921"/>
      <c r="P93" s="1908"/>
      <c r="Q93" s="443"/>
    </row>
    <row r="94" spans="1:17" ht="15.75" thickTop="1">
      <c r="A94" s="473"/>
      <c r="B94" s="477">
        <f>B29</f>
        <v>111</v>
      </c>
      <c r="C94" s="493"/>
      <c r="D94" s="493"/>
      <c r="E94" s="493"/>
      <c r="F94" s="493"/>
      <c r="G94" s="522"/>
      <c r="H94" s="522"/>
      <c r="I94" s="522"/>
      <c r="J94" s="522"/>
      <c r="K94" s="523"/>
      <c r="L94" s="524"/>
      <c r="M94" s="525"/>
      <c r="N94" s="920"/>
      <c r="O94" s="920"/>
      <c r="P94" s="1908"/>
      <c r="Q94" s="443"/>
    </row>
    <row r="95" spans="1:17" ht="15.75" thickBot="1">
      <c r="A95" s="473"/>
      <c r="B95" s="482"/>
      <c r="C95" s="499"/>
      <c r="D95" s="499"/>
      <c r="E95" s="499"/>
      <c r="F95" s="499"/>
      <c r="G95" s="475"/>
      <c r="H95" s="475"/>
      <c r="I95" s="475"/>
      <c r="J95" s="475"/>
      <c r="K95" s="475"/>
      <c r="L95" s="475"/>
      <c r="M95" s="476"/>
      <c r="N95" s="921"/>
      <c r="O95" s="921"/>
      <c r="P95" s="1908"/>
      <c r="Q95" s="443"/>
    </row>
    <row r="96" spans="1:17" ht="15.75" thickTop="1">
      <c r="A96" s="473"/>
      <c r="B96" s="477">
        <f>B30</f>
        <v>111</v>
      </c>
      <c r="C96" s="493"/>
      <c r="D96" s="493"/>
      <c r="E96" s="493"/>
      <c r="F96" s="493"/>
      <c r="G96" s="522"/>
      <c r="H96" s="522"/>
      <c r="I96" s="522"/>
      <c r="J96" s="522"/>
      <c r="K96" s="523"/>
      <c r="L96" s="524"/>
      <c r="M96" s="525"/>
      <c r="N96" s="920"/>
      <c r="O96" s="920"/>
      <c r="P96" s="1908"/>
      <c r="Q96" s="443"/>
    </row>
    <row r="97" spans="1:17" ht="15.75" thickBot="1">
      <c r="A97" s="473"/>
      <c r="B97" s="482"/>
      <c r="C97" s="509"/>
      <c r="D97" s="509"/>
      <c r="E97" s="509"/>
      <c r="F97" s="509"/>
      <c r="G97" s="475"/>
      <c r="H97" s="475"/>
      <c r="I97" s="475"/>
      <c r="J97" s="475"/>
      <c r="K97" s="475"/>
      <c r="L97" s="475"/>
      <c r="M97" s="476"/>
      <c r="N97" s="921"/>
      <c r="O97" s="921"/>
      <c r="P97" s="1908"/>
      <c r="Q97" s="443"/>
    </row>
    <row r="98" spans="1:17" ht="15.75" thickTop="1">
      <c r="A98" s="473"/>
      <c r="B98" s="485">
        <f>B31</f>
        <v>111</v>
      </c>
      <c r="C98" s="526"/>
      <c r="D98" s="526"/>
      <c r="E98" s="526"/>
      <c r="F98" s="526"/>
      <c r="G98" s="526"/>
      <c r="H98" s="526"/>
      <c r="I98" s="526"/>
      <c r="J98" s="526"/>
      <c r="K98" s="527"/>
      <c r="L98" s="528"/>
      <c r="M98" s="529"/>
      <c r="N98" s="920"/>
      <c r="O98" s="920"/>
      <c r="P98" s="1908"/>
      <c r="Q98" s="443"/>
    </row>
    <row r="99" spans="1:17" ht="15.75" thickBot="1">
      <c r="A99" s="1914"/>
      <c r="B99" s="508"/>
      <c r="C99" s="530"/>
      <c r="D99" s="530"/>
      <c r="E99" s="530"/>
      <c r="F99" s="530"/>
      <c r="G99" s="530"/>
      <c r="H99" s="530"/>
      <c r="I99" s="530"/>
      <c r="J99" s="530"/>
      <c r="K99" s="530"/>
      <c r="L99" s="530"/>
      <c r="M99" s="531"/>
      <c r="N99" s="921"/>
      <c r="O99" s="921"/>
      <c r="P99" s="1908"/>
      <c r="Q99" s="443"/>
    </row>
    <row r="100" spans="1:17">
      <c r="A100" s="466" t="s">
        <v>1694</v>
      </c>
      <c r="B100" s="467" t="s">
        <v>1736</v>
      </c>
      <c r="C100" s="469"/>
      <c r="D100" s="469"/>
      <c r="E100" s="469"/>
      <c r="F100" s="469"/>
      <c r="G100" s="469"/>
      <c r="H100" s="469"/>
      <c r="I100" s="469"/>
      <c r="J100" s="469"/>
      <c r="K100" s="470"/>
      <c r="L100" s="471"/>
      <c r="M100" s="472"/>
      <c r="N100" s="920"/>
      <c r="O100" s="920"/>
      <c r="P100" s="1908"/>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7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5.75"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8.5"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5.75"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15"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5.75" thickBot="1">
      <c r="A127" s="492"/>
      <c r="B127" s="482"/>
      <c r="C127" s="499"/>
      <c r="D127" s="475"/>
      <c r="E127" s="475"/>
      <c r="F127" s="475"/>
      <c r="G127" s="499"/>
      <c r="H127" s="501"/>
      <c r="I127" s="501"/>
      <c r="J127" s="501"/>
      <c r="K127" s="501"/>
      <c r="L127" s="501"/>
      <c r="M127" s="502"/>
      <c r="N127" s="922"/>
      <c r="O127" s="922"/>
      <c r="P127" s="1909"/>
      <c r="Q127" s="498"/>
    </row>
    <row r="128" spans="1:17" ht="15" thickTop="1">
      <c r="A128" s="538"/>
      <c r="B128" s="477">
        <f>B45</f>
        <v>111</v>
      </c>
      <c r="C128" s="493"/>
      <c r="D128" s="493"/>
      <c r="E128" s="493"/>
      <c r="F128" s="493"/>
      <c r="G128" s="522"/>
      <c r="H128" s="522"/>
      <c r="I128" s="522"/>
      <c r="J128" s="522"/>
      <c r="K128" s="523"/>
      <c r="L128" s="524"/>
      <c r="M128" s="525"/>
      <c r="N128" s="920"/>
      <c r="O128" s="920"/>
      <c r="P128" s="1908"/>
      <c r="Q128" s="443"/>
    </row>
    <row r="129" spans="1:17" ht="15.75" thickBot="1">
      <c r="A129" s="473"/>
      <c r="B129" s="482"/>
      <c r="C129" s="499"/>
      <c r="D129" s="499"/>
      <c r="E129" s="499"/>
      <c r="F129" s="499"/>
      <c r="G129" s="475"/>
      <c r="H129" s="475"/>
      <c r="I129" s="475"/>
      <c r="J129" s="475"/>
      <c r="K129" s="475"/>
      <c r="L129" s="475"/>
      <c r="M129" s="476"/>
      <c r="N129" s="921"/>
      <c r="O129" s="921"/>
      <c r="P129" s="1908"/>
      <c r="Q129" s="443"/>
    </row>
    <row r="130" spans="1:17" ht="15" thickTop="1">
      <c r="A130" s="538"/>
      <c r="B130" s="485">
        <f>B46</f>
        <v>111</v>
      </c>
      <c r="C130" s="493"/>
      <c r="D130" s="493"/>
      <c r="E130" s="493"/>
      <c r="F130" s="493"/>
      <c r="G130" s="526"/>
      <c r="H130" s="526"/>
      <c r="I130" s="526"/>
      <c r="J130" s="526"/>
      <c r="K130" s="462"/>
      <c r="L130" s="463"/>
      <c r="M130" s="529"/>
      <c r="N130" s="920"/>
      <c r="O130" s="920"/>
      <c r="P130" s="1908"/>
      <c r="Q130" s="443"/>
    </row>
    <row r="131" spans="1:17" ht="15.75"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5.75"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c r="B147" s="1915" t="s">
        <v>1764</v>
      </c>
    </row>
    <row r="148" spans="2:11">
      <c r="B148" s="191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8275.91</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5" t="s">
        <v>1772</v>
      </c>
      <c r="AC4" s="3716" t="s">
        <v>1773</v>
      </c>
    </row>
    <row r="5" spans="1:29" ht="15">
      <c r="A5" s="348"/>
      <c r="B5" s="349"/>
      <c r="C5" s="3736" t="s">
        <v>1673</v>
      </c>
      <c r="D5" s="3737"/>
      <c r="E5" s="3743" t="s">
        <v>1674</v>
      </c>
      <c r="F5" s="3744"/>
      <c r="G5" s="3736" t="s">
        <v>1675</v>
      </c>
      <c r="H5" s="3737"/>
      <c r="I5" s="3736" t="s">
        <v>1676</v>
      </c>
      <c r="J5" s="3737"/>
      <c r="K5" s="549"/>
      <c r="L5" s="2695"/>
      <c r="M5" s="2696"/>
      <c r="N5" s="2696"/>
      <c r="O5" s="2696"/>
      <c r="P5" s="3724"/>
      <c r="Q5" s="3725"/>
      <c r="R5" s="3730"/>
      <c r="S5" s="3731"/>
      <c r="T5" s="3730"/>
      <c r="U5" s="3731"/>
      <c r="V5" s="3715"/>
      <c r="W5" s="3715"/>
      <c r="X5" s="1341"/>
      <c r="Y5" s="3730"/>
      <c r="Z5" s="3731"/>
      <c r="AA5" s="3717"/>
      <c r="AB5" s="3715"/>
      <c r="AC5" s="3717"/>
    </row>
    <row r="6" spans="1:29" ht="15.75" thickBot="1">
      <c r="A6" s="350"/>
      <c r="B6" s="351"/>
      <c r="C6" s="3734" t="s">
        <v>1677</v>
      </c>
      <c r="D6" s="3735"/>
      <c r="E6" s="3741" t="s">
        <v>1677</v>
      </c>
      <c r="F6" s="3742"/>
      <c r="G6" s="3734" t="s">
        <v>1677</v>
      </c>
      <c r="H6" s="3735"/>
      <c r="I6" s="3734" t="s">
        <v>1677</v>
      </c>
      <c r="J6" s="3735"/>
      <c r="K6" s="549" t="s">
        <v>1678</v>
      </c>
      <c r="L6" s="2695"/>
      <c r="M6" s="2696"/>
      <c r="N6" s="2696"/>
      <c r="O6" s="2696"/>
      <c r="P6" s="3726"/>
      <c r="Q6" s="3727"/>
      <c r="R6" s="3730"/>
      <c r="S6" s="3731"/>
      <c r="T6" s="3732"/>
      <c r="U6" s="3733"/>
      <c r="V6" s="3715"/>
      <c r="W6" s="3715"/>
      <c r="X6" s="1341"/>
      <c r="Y6" s="3732"/>
      <c r="Z6" s="3733"/>
      <c r="AA6" s="3718"/>
      <c r="AB6" s="3715"/>
      <c r="AC6" s="3718"/>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38" t="s">
        <v>1680</v>
      </c>
      <c r="Q7" s="3740"/>
      <c r="R7" s="688" t="s">
        <v>14</v>
      </c>
      <c r="S7" s="689">
        <f t="shared" ref="S7:S15" si="0">F7</f>
        <v>0</v>
      </c>
      <c r="T7" s="688" t="s">
        <v>14</v>
      </c>
      <c r="U7" s="689">
        <f t="shared" ref="U7:U15" si="1">H7</f>
        <v>0</v>
      </c>
      <c r="V7" s="688" t="s">
        <v>14</v>
      </c>
      <c r="W7" s="689">
        <f t="shared" ref="W7:W15"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38" t="s">
        <v>1683</v>
      </c>
      <c r="Q8" s="3739"/>
      <c r="R8" s="688" t="s">
        <v>14</v>
      </c>
      <c r="S8" s="689">
        <f t="shared" si="0"/>
        <v>100</v>
      </c>
      <c r="T8" s="688" t="s">
        <v>14</v>
      </c>
      <c r="U8" s="689">
        <f t="shared" si="1"/>
        <v>100</v>
      </c>
      <c r="V8" s="688" t="s">
        <v>14</v>
      </c>
      <c r="W8" s="689">
        <f t="shared" si="2"/>
        <v>100</v>
      </c>
      <c r="X8" s="690"/>
      <c r="Y8" s="3738" t="s">
        <v>1683</v>
      </c>
      <c r="Z8" s="3739"/>
      <c r="AA8" s="691">
        <f t="shared" ref="AA8:AA46" si="3">D8/F8</f>
        <v>1</v>
      </c>
      <c r="AB8" s="691">
        <f t="shared" ref="AB8:AB46" si="4">D8/H8</f>
        <v>1</v>
      </c>
      <c r="AC8" s="691">
        <f t="shared" ref="AC8:AC46" si="5">D8/J8</f>
        <v>1</v>
      </c>
    </row>
    <row r="9" spans="1:29" s="105" customFormat="1">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09"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09"/>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09"/>
      <c r="Q11" s="1329" t="str">
        <f t="shared" si="6"/>
        <v>容积率</v>
      </c>
      <c r="R11" s="688" t="s">
        <v>14</v>
      </c>
      <c r="S11" s="689" t="e">
        <f t="shared" si="0"/>
        <v>#N/A</v>
      </c>
      <c r="T11" s="688" t="s">
        <v>14</v>
      </c>
      <c r="U11" s="689" t="e">
        <f t="shared" si="1"/>
        <v>#N/A</v>
      </c>
      <c r="V11" s="688" t="s">
        <v>14</v>
      </c>
      <c r="W11" s="689" t="e">
        <f t="shared" si="2"/>
        <v>#N/A</v>
      </c>
      <c r="X11" s="690"/>
      <c r="Y11" s="3610"/>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09"/>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09"/>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5.75"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09"/>
      <c r="Q14" s="1329">
        <f t="shared" si="6"/>
        <v>111</v>
      </c>
      <c r="R14" s="688" t="s">
        <v>14</v>
      </c>
      <c r="S14" s="689">
        <f t="shared" si="0"/>
        <v>100</v>
      </c>
      <c r="T14" s="688" t="s">
        <v>14</v>
      </c>
      <c r="U14" s="689">
        <f t="shared" si="1"/>
        <v>100</v>
      </c>
      <c r="V14" s="688" t="s">
        <v>14</v>
      </c>
      <c r="W14" s="689">
        <f t="shared" si="2"/>
        <v>100</v>
      </c>
      <c r="X14" s="690"/>
      <c r="Y14" s="3610"/>
      <c r="Z14" s="52">
        <f t="shared" si="7"/>
        <v>111</v>
      </c>
      <c r="AA14" s="691">
        <f t="shared" si="3"/>
        <v>1</v>
      </c>
      <c r="AB14" s="691">
        <f t="shared" si="4"/>
        <v>1</v>
      </c>
      <c r="AC14" s="691">
        <f t="shared" si="5"/>
        <v>1</v>
      </c>
    </row>
    <row r="15" spans="1:29" ht="85.5">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80" t="s">
        <v>1691</v>
      </c>
      <c r="Q15" s="1338" t="str">
        <f t="shared" si="6"/>
        <v>商业繁华度</v>
      </c>
      <c r="R15" s="692" t="s">
        <v>14</v>
      </c>
      <c r="S15" s="693">
        <f t="shared" si="0"/>
        <v>100</v>
      </c>
      <c r="T15" s="692" t="s">
        <v>14</v>
      </c>
      <c r="U15" s="693">
        <f t="shared" si="1"/>
        <v>100</v>
      </c>
      <c r="V15" s="692" t="s">
        <v>14</v>
      </c>
      <c r="W15" s="693">
        <f t="shared" si="2"/>
        <v>100</v>
      </c>
      <c r="X15" s="1341"/>
      <c r="Y15" s="3711"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81"/>
      <c r="Q16" s="1338"/>
      <c r="R16" s="692"/>
      <c r="S16" s="693"/>
      <c r="T16" s="692"/>
      <c r="U16" s="693"/>
      <c r="V16" s="692"/>
      <c r="W16" s="693"/>
      <c r="X16" s="1341"/>
      <c r="Y16" s="3712"/>
      <c r="Z16" s="1342"/>
      <c r="AA16" s="1339">
        <v>1</v>
      </c>
      <c r="AB16" s="1339">
        <v>1</v>
      </c>
      <c r="AC16" s="1339">
        <v>1</v>
      </c>
    </row>
    <row r="17" spans="1:29" ht="14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81"/>
      <c r="Q17" s="1338" t="str">
        <f>B17</f>
        <v>交通便捷度</v>
      </c>
      <c r="R17" s="692" t="s">
        <v>14</v>
      </c>
      <c r="S17" s="693">
        <f>F17</f>
        <v>100</v>
      </c>
      <c r="T17" s="692" t="s">
        <v>14</v>
      </c>
      <c r="U17" s="693">
        <f>H17</f>
        <v>100</v>
      </c>
      <c r="V17" s="692" t="s">
        <v>14</v>
      </c>
      <c r="W17" s="693">
        <f>J17</f>
        <v>100</v>
      </c>
      <c r="X17" s="1341"/>
      <c r="Y17" s="3712"/>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81"/>
      <c r="Q18" s="1338"/>
      <c r="R18" s="692"/>
      <c r="S18" s="693"/>
      <c r="T18" s="692"/>
      <c r="U18" s="693"/>
      <c r="V18" s="692"/>
      <c r="W18" s="693"/>
      <c r="X18" s="1341"/>
      <c r="Y18" s="3712"/>
      <c r="Z18" s="1342"/>
      <c r="AA18" s="1339">
        <v>1</v>
      </c>
      <c r="AB18" s="1339">
        <v>1</v>
      </c>
      <c r="AC18" s="1339">
        <v>1</v>
      </c>
    </row>
    <row r="19" spans="1:29" ht="71.25">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81"/>
      <c r="Q19" s="1338" t="str">
        <f>B19</f>
        <v>公共配套设施</v>
      </c>
      <c r="R19" s="692" t="s">
        <v>14</v>
      </c>
      <c r="S19" s="693">
        <f>F19</f>
        <v>100</v>
      </c>
      <c r="T19" s="692" t="s">
        <v>14</v>
      </c>
      <c r="U19" s="693">
        <f>H19</f>
        <v>100</v>
      </c>
      <c r="V19" s="692" t="s">
        <v>14</v>
      </c>
      <c r="W19" s="693">
        <f>J19</f>
        <v>100</v>
      </c>
      <c r="X19" s="1341"/>
      <c r="Y19" s="3712"/>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81"/>
      <c r="Q20" s="1338"/>
      <c r="R20" s="692"/>
      <c r="S20" s="693"/>
      <c r="T20" s="692"/>
      <c r="U20" s="693"/>
      <c r="V20" s="692"/>
      <c r="W20" s="693"/>
      <c r="X20" s="1341"/>
      <c r="Y20" s="3712"/>
      <c r="Z20" s="1342"/>
      <c r="AA20" s="1339">
        <v>1</v>
      </c>
      <c r="AB20" s="1339">
        <v>1</v>
      </c>
      <c r="AC20" s="1339">
        <v>1</v>
      </c>
    </row>
    <row r="21" spans="1:29" ht="42.75">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81"/>
      <c r="Q21" s="1338" t="str">
        <f>B21</f>
        <v>基础设施水平</v>
      </c>
      <c r="R21" s="692" t="s">
        <v>14</v>
      </c>
      <c r="S21" s="693">
        <f>F21</f>
        <v>100</v>
      </c>
      <c r="T21" s="692" t="s">
        <v>14</v>
      </c>
      <c r="U21" s="693">
        <f>H21</f>
        <v>100</v>
      </c>
      <c r="V21" s="692" t="s">
        <v>14</v>
      </c>
      <c r="W21" s="693">
        <f>J21</f>
        <v>100</v>
      </c>
      <c r="X21" s="1341"/>
      <c r="Y21" s="3712"/>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81"/>
      <c r="Q22" s="1338"/>
      <c r="R22" s="692"/>
      <c r="S22" s="693"/>
      <c r="T22" s="692"/>
      <c r="U22" s="693"/>
      <c r="V22" s="692"/>
      <c r="W22" s="693"/>
      <c r="X22" s="1341"/>
      <c r="Y22" s="3712"/>
      <c r="Z22" s="1342"/>
      <c r="AA22" s="1339">
        <v>1</v>
      </c>
      <c r="AB22" s="1339">
        <v>1</v>
      </c>
      <c r="AC22" s="1339">
        <v>1</v>
      </c>
    </row>
    <row r="23" spans="1:29" ht="85.5">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81"/>
      <c r="Q23" s="1338" t="str">
        <f>B23</f>
        <v>自然及人文环境</v>
      </c>
      <c r="R23" s="692" t="s">
        <v>14</v>
      </c>
      <c r="S23" s="693">
        <f>F23</f>
        <v>100</v>
      </c>
      <c r="T23" s="692" t="s">
        <v>14</v>
      </c>
      <c r="U23" s="693">
        <f>H23</f>
        <v>100</v>
      </c>
      <c r="V23" s="692" t="s">
        <v>14</v>
      </c>
      <c r="W23" s="693">
        <f>J23</f>
        <v>100</v>
      </c>
      <c r="X23" s="1341"/>
      <c r="Y23" s="3712"/>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81"/>
      <c r="Q24" s="1338"/>
      <c r="R24" s="692"/>
      <c r="S24" s="693"/>
      <c r="T24" s="692"/>
      <c r="U24" s="693"/>
      <c r="V24" s="692"/>
      <c r="W24" s="693"/>
      <c r="X24" s="1341"/>
      <c r="Y24" s="3712"/>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81"/>
      <c r="Q25" s="1338" t="str">
        <f t="shared" ref="Q25:Q46" si="11">B25</f>
        <v>临街状况</v>
      </c>
      <c r="R25" s="692" t="s">
        <v>14</v>
      </c>
      <c r="S25" s="693">
        <f>F25</f>
        <v>100</v>
      </c>
      <c r="T25" s="692" t="s">
        <v>14</v>
      </c>
      <c r="U25" s="693">
        <f>H25</f>
        <v>100</v>
      </c>
      <c r="V25" s="692" t="s">
        <v>14</v>
      </c>
      <c r="W25" s="693">
        <f>J25</f>
        <v>100</v>
      </c>
      <c r="X25" s="1341"/>
      <c r="Y25" s="3712"/>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81"/>
      <c r="Q26" s="1338" t="str">
        <f t="shared" si="11"/>
        <v>平面位置/可视性</v>
      </c>
      <c r="R26" s="692" t="s">
        <v>14</v>
      </c>
      <c r="S26" s="693">
        <f>F26</f>
        <v>100</v>
      </c>
      <c r="T26" s="692" t="s">
        <v>14</v>
      </c>
      <c r="U26" s="693">
        <f>H26</f>
        <v>100</v>
      </c>
      <c r="V26" s="692" t="s">
        <v>14</v>
      </c>
      <c r="W26" s="693">
        <f>J26</f>
        <v>100</v>
      </c>
      <c r="X26" s="1341"/>
      <c r="Y26" s="3712"/>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81"/>
      <c r="Q27" s="1329" t="str">
        <f t="shared" si="11"/>
        <v>人流量</v>
      </c>
      <c r="R27" s="688" t="s">
        <v>14</v>
      </c>
      <c r="S27" s="689">
        <f>F27</f>
        <v>100</v>
      </c>
      <c r="T27" s="688" t="s">
        <v>14</v>
      </c>
      <c r="U27" s="689">
        <f>H27</f>
        <v>100</v>
      </c>
      <c r="V27" s="688" t="s">
        <v>14</v>
      </c>
      <c r="W27" s="689">
        <f>J27</f>
        <v>100</v>
      </c>
      <c r="X27" s="690"/>
      <c r="Y27" s="3712"/>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81"/>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12"/>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81"/>
      <c r="Q29" s="1338">
        <f t="shared" si="11"/>
        <v>111</v>
      </c>
      <c r="R29" s="692" t="s">
        <v>14</v>
      </c>
      <c r="S29" s="693">
        <f t="shared" si="12"/>
        <v>100</v>
      </c>
      <c r="T29" s="692" t="s">
        <v>14</v>
      </c>
      <c r="U29" s="693">
        <f t="shared" si="13"/>
        <v>100</v>
      </c>
      <c r="V29" s="692" t="s">
        <v>14</v>
      </c>
      <c r="W29" s="693">
        <f t="shared" si="14"/>
        <v>100</v>
      </c>
      <c r="X29" s="1341"/>
      <c r="Y29" s="3712"/>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81"/>
      <c r="Q30" s="1338">
        <f t="shared" si="11"/>
        <v>111</v>
      </c>
      <c r="R30" s="692" t="s">
        <v>14</v>
      </c>
      <c r="S30" s="693">
        <f t="shared" si="12"/>
        <v>100</v>
      </c>
      <c r="T30" s="692" t="s">
        <v>14</v>
      </c>
      <c r="U30" s="693">
        <f t="shared" si="13"/>
        <v>100</v>
      </c>
      <c r="V30" s="692" t="s">
        <v>14</v>
      </c>
      <c r="W30" s="693">
        <f t="shared" si="14"/>
        <v>100</v>
      </c>
      <c r="X30" s="1341"/>
      <c r="Y30" s="3712"/>
      <c r="Z30" s="1342">
        <f t="shared" si="15"/>
        <v>111</v>
      </c>
      <c r="AA30" s="1339">
        <f t="shared" si="3"/>
        <v>1</v>
      </c>
      <c r="AB30" s="1339">
        <f t="shared" si="4"/>
        <v>1</v>
      </c>
      <c r="AC30" s="1339">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81"/>
      <c r="Q31" s="1338">
        <f t="shared" si="11"/>
        <v>111</v>
      </c>
      <c r="R31" s="692" t="s">
        <v>14</v>
      </c>
      <c r="S31" s="693">
        <f t="shared" si="12"/>
        <v>100</v>
      </c>
      <c r="T31" s="692" t="s">
        <v>14</v>
      </c>
      <c r="U31" s="693">
        <f t="shared" si="13"/>
        <v>100</v>
      </c>
      <c r="V31" s="692" t="s">
        <v>14</v>
      </c>
      <c r="W31" s="693">
        <f t="shared" si="14"/>
        <v>100</v>
      </c>
      <c r="X31" s="1341"/>
      <c r="Y31" s="3712"/>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6" t="s">
        <v>1696</v>
      </c>
      <c r="Q32" s="1338" t="str">
        <f t="shared" si="11"/>
        <v>商业类型</v>
      </c>
      <c r="R32" s="692" t="s">
        <v>14</v>
      </c>
      <c r="S32" s="693">
        <f t="shared" si="12"/>
        <v>100</v>
      </c>
      <c r="T32" s="692" t="s">
        <v>14</v>
      </c>
      <c r="U32" s="693">
        <f t="shared" si="13"/>
        <v>100</v>
      </c>
      <c r="V32" s="692" t="s">
        <v>14</v>
      </c>
      <c r="W32" s="693">
        <f t="shared" si="14"/>
        <v>100</v>
      </c>
      <c r="X32" s="1341"/>
      <c r="Y32" s="3714"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7"/>
      <c r="Q33" s="694" t="str">
        <f t="shared" si="11"/>
        <v>项目建筑规模</v>
      </c>
      <c r="R33" s="695" t="s">
        <v>14</v>
      </c>
      <c r="S33" s="696" t="e">
        <f t="shared" si="12"/>
        <v>#N/A</v>
      </c>
      <c r="T33" s="695" t="s">
        <v>14</v>
      </c>
      <c r="U33" s="696" t="e">
        <f t="shared" si="13"/>
        <v>#N/A</v>
      </c>
      <c r="V33" s="695" t="s">
        <v>14</v>
      </c>
      <c r="W33" s="696" t="e">
        <f t="shared" si="14"/>
        <v>#N/A</v>
      </c>
      <c r="X33" s="697"/>
      <c r="Y33" s="3714"/>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7"/>
      <c r="Q34" s="1338" t="str">
        <f t="shared" si="11"/>
        <v>建筑结构</v>
      </c>
      <c r="R34" s="692" t="s">
        <v>14</v>
      </c>
      <c r="S34" s="693">
        <f t="shared" si="12"/>
        <v>100</v>
      </c>
      <c r="T34" s="692" t="s">
        <v>14</v>
      </c>
      <c r="U34" s="693">
        <f t="shared" si="13"/>
        <v>100</v>
      </c>
      <c r="V34" s="692" t="s">
        <v>14</v>
      </c>
      <c r="W34" s="693">
        <f t="shared" si="14"/>
        <v>100</v>
      </c>
      <c r="X34" s="1341"/>
      <c r="Y34" s="3714"/>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7"/>
      <c r="Q35" s="1338" t="str">
        <f t="shared" si="11"/>
        <v>公共部分装修</v>
      </c>
      <c r="R35" s="692" t="s">
        <v>14</v>
      </c>
      <c r="S35" s="693">
        <f t="shared" si="12"/>
        <v>100</v>
      </c>
      <c r="T35" s="692" t="s">
        <v>14</v>
      </c>
      <c r="U35" s="693">
        <f t="shared" si="13"/>
        <v>100</v>
      </c>
      <c r="V35" s="692" t="s">
        <v>14</v>
      </c>
      <c r="W35" s="693">
        <f t="shared" si="14"/>
        <v>100</v>
      </c>
      <c r="X35" s="1341"/>
      <c r="Y35" s="3714"/>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7"/>
      <c r="Q36" s="1338" t="str">
        <f t="shared" si="11"/>
        <v>成新度</v>
      </c>
      <c r="R36" s="692" t="s">
        <v>14</v>
      </c>
      <c r="S36" s="693" t="e">
        <f t="shared" si="12"/>
        <v>#N/A</v>
      </c>
      <c r="T36" s="692" t="s">
        <v>14</v>
      </c>
      <c r="U36" s="693" t="e">
        <f t="shared" si="13"/>
        <v>#N/A</v>
      </c>
      <c r="V36" s="692" t="s">
        <v>14</v>
      </c>
      <c r="W36" s="693" t="e">
        <f t="shared" si="14"/>
        <v>#N/A</v>
      </c>
      <c r="X36" s="1341"/>
      <c r="Y36" s="3714"/>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7"/>
      <c r="Q37" s="1329" t="str">
        <f t="shared" si="11"/>
        <v>市政基础设施</v>
      </c>
      <c r="R37" s="688" t="s">
        <v>14</v>
      </c>
      <c r="S37" s="689">
        <f t="shared" si="12"/>
        <v>100</v>
      </c>
      <c r="T37" s="688" t="s">
        <v>14</v>
      </c>
      <c r="U37" s="689">
        <f t="shared" si="13"/>
        <v>100</v>
      </c>
      <c r="V37" s="688" t="s">
        <v>14</v>
      </c>
      <c r="W37" s="689">
        <f t="shared" si="14"/>
        <v>100</v>
      </c>
      <c r="X37" s="690"/>
      <c r="Y37" s="3714"/>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7" t="s">
        <v>1696</v>
      </c>
      <c r="Q38" s="1338" t="str">
        <f t="shared" si="11"/>
        <v>业态</v>
      </c>
      <c r="R38" s="692" t="s">
        <v>14</v>
      </c>
      <c r="S38" s="693">
        <f t="shared" si="12"/>
        <v>100</v>
      </c>
      <c r="T38" s="692" t="s">
        <v>14</v>
      </c>
      <c r="U38" s="693">
        <f t="shared" si="13"/>
        <v>100</v>
      </c>
      <c r="V38" s="692" t="s">
        <v>14</v>
      </c>
      <c r="W38" s="693">
        <f t="shared" si="14"/>
        <v>100</v>
      </c>
      <c r="X38" s="1341"/>
      <c r="Y38" s="3714"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7"/>
      <c r="Q39" s="1338" t="str">
        <f t="shared" si="11"/>
        <v>层高</v>
      </c>
      <c r="R39" s="692" t="s">
        <v>14</v>
      </c>
      <c r="S39" s="693">
        <f t="shared" si="12"/>
        <v>100</v>
      </c>
      <c r="T39" s="692" t="s">
        <v>14</v>
      </c>
      <c r="U39" s="693">
        <f t="shared" si="13"/>
        <v>100</v>
      </c>
      <c r="V39" s="692" t="s">
        <v>14</v>
      </c>
      <c r="W39" s="693">
        <f t="shared" si="14"/>
        <v>100</v>
      </c>
      <c r="X39" s="1341"/>
      <c r="Y39" s="3714"/>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7"/>
      <c r="Q40" s="1338" t="str">
        <f t="shared" si="11"/>
        <v>单套建筑面积</v>
      </c>
      <c r="R40" s="692" t="s">
        <v>14</v>
      </c>
      <c r="S40" s="693">
        <f t="shared" si="12"/>
        <v>100</v>
      </c>
      <c r="T40" s="692" t="s">
        <v>14</v>
      </c>
      <c r="U40" s="693">
        <f t="shared" si="13"/>
        <v>100</v>
      </c>
      <c r="V40" s="692" t="s">
        <v>14</v>
      </c>
      <c r="W40" s="693">
        <f t="shared" si="14"/>
        <v>100</v>
      </c>
      <c r="X40" s="1341"/>
      <c r="Y40" s="3714"/>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7"/>
      <c r="Q41" s="694" t="str">
        <f t="shared" si="11"/>
        <v>进深比</v>
      </c>
      <c r="R41" s="695" t="s">
        <v>14</v>
      </c>
      <c r="S41" s="696">
        <f t="shared" si="12"/>
        <v>100</v>
      </c>
      <c r="T41" s="695" t="s">
        <v>14</v>
      </c>
      <c r="U41" s="696">
        <f t="shared" si="13"/>
        <v>100</v>
      </c>
      <c r="V41" s="695" t="s">
        <v>14</v>
      </c>
      <c r="W41" s="696">
        <f t="shared" si="14"/>
        <v>100</v>
      </c>
      <c r="X41" s="697"/>
      <c r="Y41" s="3714"/>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7"/>
      <c r="Q42" s="1338" t="str">
        <f t="shared" si="11"/>
        <v>内部装修</v>
      </c>
      <c r="R42" s="692" t="s">
        <v>14</v>
      </c>
      <c r="S42" s="693">
        <f t="shared" si="12"/>
        <v>100</v>
      </c>
      <c r="T42" s="692" t="s">
        <v>14</v>
      </c>
      <c r="U42" s="693">
        <f t="shared" si="13"/>
        <v>100</v>
      </c>
      <c r="V42" s="692" t="s">
        <v>14</v>
      </c>
      <c r="W42" s="693">
        <f t="shared" si="14"/>
        <v>100</v>
      </c>
      <c r="X42" s="1341"/>
      <c r="Y42" s="3714"/>
      <c r="Z42" s="1342" t="str">
        <f t="shared" si="15"/>
        <v>内部装修</v>
      </c>
      <c r="AA42" s="1339">
        <f t="shared" si="3"/>
        <v>1</v>
      </c>
      <c r="AB42" s="1339">
        <f t="shared" si="4"/>
        <v>1</v>
      </c>
      <c r="AC42" s="1339">
        <f t="shared" si="5"/>
        <v>1</v>
      </c>
    </row>
    <row r="43" spans="1:29" ht="15">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7"/>
      <c r="Q43" s="1338" t="str">
        <f t="shared" si="11"/>
        <v>内部装修维护情况</v>
      </c>
      <c r="R43" s="692" t="s">
        <v>14</v>
      </c>
      <c r="S43" s="693">
        <f t="shared" si="12"/>
        <v>100</v>
      </c>
      <c r="T43" s="692" t="s">
        <v>14</v>
      </c>
      <c r="U43" s="693">
        <f t="shared" si="13"/>
        <v>100</v>
      </c>
      <c r="V43" s="692" t="s">
        <v>14</v>
      </c>
      <c r="W43" s="693">
        <f t="shared" si="14"/>
        <v>100</v>
      </c>
      <c r="X43" s="1341"/>
      <c r="Y43" s="3714"/>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7"/>
      <c r="Q44" s="1329">
        <f t="shared" si="11"/>
        <v>111</v>
      </c>
      <c r="R44" s="688" t="s">
        <v>14</v>
      </c>
      <c r="S44" s="689">
        <f t="shared" si="12"/>
        <v>100</v>
      </c>
      <c r="T44" s="688" t="s">
        <v>14</v>
      </c>
      <c r="U44" s="689">
        <f t="shared" si="13"/>
        <v>100</v>
      </c>
      <c r="V44" s="688" t="s">
        <v>14</v>
      </c>
      <c r="W44" s="689">
        <f t="shared" si="14"/>
        <v>100</v>
      </c>
      <c r="X44" s="690"/>
      <c r="Y44" s="3714"/>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7"/>
      <c r="Q45" s="1338">
        <f t="shared" si="11"/>
        <v>111</v>
      </c>
      <c r="R45" s="692" t="s">
        <v>14</v>
      </c>
      <c r="S45" s="693">
        <f t="shared" si="12"/>
        <v>100</v>
      </c>
      <c r="T45" s="692" t="s">
        <v>14</v>
      </c>
      <c r="U45" s="693">
        <f t="shared" si="13"/>
        <v>100</v>
      </c>
      <c r="V45" s="692" t="s">
        <v>14</v>
      </c>
      <c r="W45" s="693">
        <f t="shared" si="14"/>
        <v>100</v>
      </c>
      <c r="X45" s="1341"/>
      <c r="Y45" s="3714"/>
      <c r="Z45" s="1342">
        <f t="shared" si="15"/>
        <v>111</v>
      </c>
      <c r="AA45" s="1339">
        <f t="shared" si="3"/>
        <v>1</v>
      </c>
      <c r="AB45" s="1339">
        <f t="shared" si="4"/>
        <v>1</v>
      </c>
      <c r="AC45" s="1339">
        <f t="shared" si="5"/>
        <v>1</v>
      </c>
    </row>
    <row r="46" spans="1:29" ht="15.75"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8"/>
      <c r="Q46" s="1338">
        <f t="shared" si="11"/>
        <v>111</v>
      </c>
      <c r="R46" s="692" t="s">
        <v>14</v>
      </c>
      <c r="S46" s="693">
        <f t="shared" si="12"/>
        <v>100</v>
      </c>
      <c r="T46" s="692" t="s">
        <v>14</v>
      </c>
      <c r="U46" s="693">
        <f t="shared" si="13"/>
        <v>100</v>
      </c>
      <c r="V46" s="692" t="s">
        <v>14</v>
      </c>
      <c r="W46" s="693">
        <f t="shared" si="14"/>
        <v>100</v>
      </c>
      <c r="X46" s="1341"/>
      <c r="Y46" s="3779"/>
      <c r="Z46" s="1342">
        <f t="shared" si="15"/>
        <v>111</v>
      </c>
      <c r="AA46" s="1339">
        <f t="shared" si="3"/>
        <v>1</v>
      </c>
      <c r="AB46" s="1339">
        <f t="shared" si="4"/>
        <v>1</v>
      </c>
      <c r="AC46" s="1339">
        <f t="shared" si="5"/>
        <v>1</v>
      </c>
    </row>
    <row r="47" spans="1:29" ht="15">
      <c r="A47" s="420" t="s">
        <v>1708</v>
      </c>
      <c r="B47" s="421"/>
      <c r="C47" s="1141" t="s">
        <v>0</v>
      </c>
      <c r="D47" s="1142"/>
      <c r="E47" s="1143"/>
      <c r="F47" s="1144"/>
      <c r="G47" s="1145"/>
      <c r="H47" s="1146"/>
      <c r="I47" s="1143"/>
      <c r="J47" s="1146"/>
      <c r="K47" s="701"/>
      <c r="L47" s="2704"/>
      <c r="M47" s="2705"/>
      <c r="N47" s="2696"/>
      <c r="O47" s="2705"/>
      <c r="P47" s="3710" t="str">
        <f>A47</f>
        <v>成交单价（元/平方米）</v>
      </c>
      <c r="Q47" s="3710"/>
      <c r="R47" s="3715">
        <f>E47</f>
        <v>0</v>
      </c>
      <c r="S47" s="3715"/>
      <c r="T47" s="3715">
        <f>G47</f>
        <v>0</v>
      </c>
      <c r="U47" s="3715"/>
      <c r="V47" s="3715">
        <f>I47</f>
        <v>0</v>
      </c>
      <c r="W47" s="3715"/>
      <c r="X47" s="677"/>
      <c r="Y47" s="699"/>
      <c r="Z47" s="677"/>
      <c r="AA47" s="677"/>
      <c r="AB47" s="677"/>
      <c r="AC47" s="677"/>
    </row>
    <row r="48" spans="1:29" ht="15.7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10" t="str">
        <f>A48</f>
        <v>比较价值（元/平方米）</v>
      </c>
      <c r="Q48" s="3710"/>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677"/>
      <c r="Y48" s="677"/>
      <c r="Z48" s="677"/>
      <c r="AA48" s="677"/>
      <c r="AB48" s="677"/>
      <c r="AC48" s="677"/>
    </row>
    <row r="49" spans="1:29" ht="15.75" thickBot="1">
      <c r="A49" s="431" t="s">
        <v>1794</v>
      </c>
      <c r="B49" s="432"/>
      <c r="C49" s="1150" t="e">
        <f>R49</f>
        <v>#DIV/0!</v>
      </c>
      <c r="D49" s="1150"/>
      <c r="E49" s="1150"/>
      <c r="F49" s="1150"/>
      <c r="G49" s="1150"/>
      <c r="H49" s="1150"/>
      <c r="I49" s="1150"/>
      <c r="J49" s="1150"/>
      <c r="K49" s="702"/>
      <c r="L49" s="2704"/>
      <c r="M49" s="2705"/>
      <c r="N49" s="2696"/>
      <c r="O49" s="2705"/>
      <c r="P49" s="3704" t="str">
        <f>A49</f>
        <v>估价对象XX用房的比较价值（楼面单价，元/平方米）</v>
      </c>
      <c r="Q49" s="3705"/>
      <c r="R49" s="3774" t="e">
        <f>IF(F1="售价",ROUND(IF(D48="简单平均",AVERAGE(R48:V48),R48*F48+T48*H48+V48*J48),0),ROUND(IF(D48="简单平均",AVERAGE(R48:V48),R48*F48+T48*H48+V48*J48),1))</f>
        <v>#DIV/0!</v>
      </c>
      <c r="S49" s="3774"/>
      <c r="T49" s="3774"/>
      <c r="U49" s="3774"/>
      <c r="V49" s="3774"/>
      <c r="W49" s="3774"/>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1.75"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5">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ht="15">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7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5">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5.75"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5.75"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7.75"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5.75"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ht="15">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5.75"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5.75"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5.75"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5.75"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5.75"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5.75"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7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7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7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5.75"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7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7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5.75"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5.75"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5.75"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5.75"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5.75"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5.75"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5.75"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5.75"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5.75"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5.75"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5.75"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5.75"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5.75"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5"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5.75"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5"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5.75"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5"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5.75"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中国建设银行股份有限公司北京前门支行：</v>
      </c>
    </row>
    <row r="4" spans="1:1" ht="36">
      <c r="A4" s="1466" t="str">
        <f>"受贵公司委托，我公司对"&amp;项目基本情况!S1&amp;"进行了预评估。"</f>
        <v>受贵公司委托，我公司对河北省廊坊市香河开发区第一城内房地产市场价值进行了预评估。</v>
      </c>
    </row>
    <row r="5" spans="1:1" ht="18.75">
      <c r="A5" s="1467" t="s">
        <v>899</v>
      </c>
    </row>
    <row r="6" spans="1:1" ht="18.75">
      <c r="A6" s="1468" t="s">
        <v>900</v>
      </c>
    </row>
    <row r="7" spans="1:1" ht="54">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估价对象为河北省廊坊市香河开发区第一城内房地产，为所有。根据《国有土地使用证》[]，估价对象（分摊）出让国有建设用地使用权面积为47032平方米，建筑面积为8275.91平方米。</v>
      </c>
    </row>
    <row r="8" spans="1:1" ht="57.75">
      <c r="A8" s="1469" t="s">
        <v>901</v>
      </c>
    </row>
    <row r="9" spans="1:1" ht="18.75">
      <c r="A9" s="1468" t="s">
        <v>902</v>
      </c>
    </row>
    <row r="10" spans="1:1" ht="5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47032平方米，规划建筑面积为8275.91平方米。</v>
      </c>
    </row>
    <row r="11" spans="1:1" ht="76.5">
      <c r="A11" s="1469" t="s">
        <v>903</v>
      </c>
    </row>
    <row r="12" spans="1:1" ht="18.75">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8.75">
      <c r="A14" s="1471" t="s">
        <v>905</v>
      </c>
    </row>
    <row r="15" spans="1:1" ht="18">
      <c r="A15" s="1472" t="str">
        <f>TEXT(项目基本情况!D3,"yyyy年m月d日;;")&amp;IF(项目基本情况!D3=项目基本情况!B3,"（评估专业人员实地查勘之日）","")</f>
        <v>2023年9月25日（评估专业人员实地查勘之日）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66" t="str">
        <f>IF(项目基本情况!B9="房地产市场价值","——",IF(项目基本情况!E8="房地产抵押价值",定义!C54,IF(项目基本情况!E8="已注销",定义!C55,定义!C56)))</f>
        <v>——</v>
      </c>
    </row>
    <row r="21" spans="1:1" ht="18">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66" t="str">
        <f>IF(项目基本情况!B9="房地产市场价值","——",IF(项目基本情况!E9="——","",定义!C57))</f>
        <v>——</v>
      </c>
    </row>
    <row r="23" spans="1:1" ht="18.75">
      <c r="A23" s="1471" t="s">
        <v>896</v>
      </c>
    </row>
    <row r="24" spans="1:1" ht="18">
      <c r="A24" s="1473" t="str">
        <f>"本次评估采用的主估价方法为"&amp;结果表!K4&amp;"和"&amp;结果表!L4&amp;"。"</f>
        <v>本次评估采用的主估价方法为成本法和收益法。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8275.91</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88" t="s">
        <v>1775</v>
      </c>
      <c r="Q4" s="3789"/>
      <c r="R4" s="3792" t="s">
        <v>1771</v>
      </c>
      <c r="S4" s="3793"/>
      <c r="T4" s="3792" t="s">
        <v>1772</v>
      </c>
      <c r="U4" s="3793"/>
      <c r="V4" s="3794" t="s">
        <v>1773</v>
      </c>
      <c r="W4" s="3794"/>
      <c r="X4" s="1944"/>
      <c r="Y4" s="3792" t="s">
        <v>1775</v>
      </c>
      <c r="Z4" s="3793"/>
      <c r="AA4" s="3796" t="s">
        <v>1771</v>
      </c>
      <c r="AB4" s="3796" t="s">
        <v>1772</v>
      </c>
      <c r="AC4" s="3785" t="s">
        <v>1773</v>
      </c>
    </row>
    <row r="5" spans="1:29" ht="15">
      <c r="A5" s="348"/>
      <c r="B5" s="349"/>
      <c r="C5" s="3736" t="s">
        <v>1673</v>
      </c>
      <c r="D5" s="3737"/>
      <c r="E5" s="3743" t="s">
        <v>1674</v>
      </c>
      <c r="F5" s="3744"/>
      <c r="G5" s="3736" t="s">
        <v>1675</v>
      </c>
      <c r="H5" s="3737"/>
      <c r="I5" s="3736" t="s">
        <v>1676</v>
      </c>
      <c r="J5" s="3737"/>
      <c r="K5" s="549"/>
      <c r="L5" s="2695"/>
      <c r="M5" s="2696"/>
      <c r="N5" s="2696"/>
      <c r="O5" s="2696"/>
      <c r="P5" s="3790"/>
      <c r="Q5" s="3725"/>
      <c r="R5" s="3730"/>
      <c r="S5" s="3731"/>
      <c r="T5" s="3730"/>
      <c r="U5" s="3731"/>
      <c r="V5" s="3715"/>
      <c r="W5" s="3715"/>
      <c r="X5" s="1341"/>
      <c r="Y5" s="3730"/>
      <c r="Z5" s="3731"/>
      <c r="AA5" s="3717"/>
      <c r="AB5" s="3717"/>
      <c r="AC5" s="3786"/>
    </row>
    <row r="6" spans="1:29" ht="15.75" thickBot="1">
      <c r="A6" s="350"/>
      <c r="B6" s="351"/>
      <c r="C6" s="3734" t="s">
        <v>1677</v>
      </c>
      <c r="D6" s="3735"/>
      <c r="E6" s="3741" t="s">
        <v>1677</v>
      </c>
      <c r="F6" s="3742"/>
      <c r="G6" s="3734" t="s">
        <v>1677</v>
      </c>
      <c r="H6" s="3735"/>
      <c r="I6" s="3734" t="s">
        <v>1677</v>
      </c>
      <c r="J6" s="3735"/>
      <c r="K6" s="549" t="s">
        <v>1678</v>
      </c>
      <c r="L6" s="2695"/>
      <c r="M6" s="2696"/>
      <c r="N6" s="2696"/>
      <c r="O6" s="2696"/>
      <c r="P6" s="3791"/>
      <c r="Q6" s="3727"/>
      <c r="R6" s="3730"/>
      <c r="S6" s="3731"/>
      <c r="T6" s="3732"/>
      <c r="U6" s="3733"/>
      <c r="V6" s="3715"/>
      <c r="W6" s="3715"/>
      <c r="X6" s="1341"/>
      <c r="Y6" s="3732"/>
      <c r="Z6" s="3733"/>
      <c r="AA6" s="3718"/>
      <c r="AB6" s="3718"/>
      <c r="AC6" s="3787"/>
    </row>
    <row r="7" spans="1:29" s="105" customFormat="1" ht="15.7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5" t="s">
        <v>1680</v>
      </c>
      <c r="Q7" s="3740"/>
      <c r="R7" s="688" t="s">
        <v>14</v>
      </c>
      <c r="S7" s="689">
        <f t="shared" ref="S7:S15" si="0">F7</f>
        <v>0</v>
      </c>
      <c r="T7" s="688" t="s">
        <v>14</v>
      </c>
      <c r="U7" s="689">
        <f t="shared" ref="U7:U15" si="1">H7</f>
        <v>0</v>
      </c>
      <c r="V7" s="688" t="s">
        <v>14</v>
      </c>
      <c r="W7" s="689">
        <f t="shared" ref="W7:W15" si="2">J7</f>
        <v>0</v>
      </c>
      <c r="X7" s="690"/>
      <c r="Y7" s="3738" t="s">
        <v>1680</v>
      </c>
      <c r="Z7" s="3739"/>
      <c r="AA7" s="691" t="e">
        <f>D7/F7</f>
        <v>#DIV/0!</v>
      </c>
      <c r="AB7" s="691" t="e">
        <f>D7/H7</f>
        <v>#DIV/0!</v>
      </c>
      <c r="AC7" s="1945" t="e">
        <f>D7/J7</f>
        <v>#DIV/0!</v>
      </c>
    </row>
    <row r="8" spans="1:29" s="105"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5" t="s">
        <v>1683</v>
      </c>
      <c r="Q8" s="3739"/>
      <c r="R8" s="688" t="s">
        <v>14</v>
      </c>
      <c r="S8" s="689">
        <f t="shared" si="0"/>
        <v>100</v>
      </c>
      <c r="T8" s="688" t="s">
        <v>14</v>
      </c>
      <c r="U8" s="689">
        <f t="shared" si="1"/>
        <v>100</v>
      </c>
      <c r="V8" s="688" t="s">
        <v>14</v>
      </c>
      <c r="W8" s="689">
        <f t="shared" si="2"/>
        <v>100</v>
      </c>
      <c r="X8" s="690"/>
      <c r="Y8" s="3738" t="s">
        <v>1683</v>
      </c>
      <c r="Z8" s="3739"/>
      <c r="AA8" s="691">
        <f t="shared" ref="AA8:AA47" si="3">D8/F8</f>
        <v>1</v>
      </c>
      <c r="AB8" s="691">
        <f t="shared" ref="AB8:AB47" si="4">D8/H8</f>
        <v>1</v>
      </c>
      <c r="AC8" s="1945">
        <f t="shared" ref="AC8:AC47" si="5">D8/J8</f>
        <v>1</v>
      </c>
    </row>
    <row r="9" spans="1:29" s="105" customFormat="1">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09"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1945">
        <f t="shared" si="5"/>
        <v>1</v>
      </c>
    </row>
    <row r="10" spans="1:29" s="368" customFormat="1" ht="27">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09"/>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09"/>
      <c r="Q11" s="1329" t="str">
        <f t="shared" si="6"/>
        <v>容积率</v>
      </c>
      <c r="R11" s="688" t="s">
        <v>14</v>
      </c>
      <c r="S11" s="689">
        <f t="shared" si="0"/>
        <v>100</v>
      </c>
      <c r="T11" s="688" t="s">
        <v>14</v>
      </c>
      <c r="U11" s="689">
        <f t="shared" si="1"/>
        <v>100</v>
      </c>
      <c r="V11" s="688" t="s">
        <v>14</v>
      </c>
      <c r="W11" s="689">
        <f t="shared" si="2"/>
        <v>100</v>
      </c>
      <c r="X11" s="690"/>
      <c r="Y11" s="3610"/>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09"/>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09"/>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1945">
        <f t="shared" si="5"/>
        <v>1</v>
      </c>
    </row>
    <row r="14" spans="1:29" ht="15.75"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09"/>
      <c r="Q14" s="1329">
        <f t="shared" si="6"/>
        <v>111</v>
      </c>
      <c r="R14" s="688" t="s">
        <v>14</v>
      </c>
      <c r="S14" s="689">
        <f t="shared" si="0"/>
        <v>100</v>
      </c>
      <c r="T14" s="688" t="s">
        <v>14</v>
      </c>
      <c r="U14" s="689">
        <f t="shared" si="1"/>
        <v>100</v>
      </c>
      <c r="V14" s="688" t="s">
        <v>14</v>
      </c>
      <c r="W14" s="689">
        <f t="shared" si="2"/>
        <v>100</v>
      </c>
      <c r="X14" s="690"/>
      <c r="Y14" s="3610"/>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80" t="s">
        <v>1691</v>
      </c>
      <c r="Q15" s="1338" t="str">
        <f t="shared" si="6"/>
        <v>办公集聚程度</v>
      </c>
      <c r="R15" s="692" t="s">
        <v>14</v>
      </c>
      <c r="S15" s="693">
        <f t="shared" si="0"/>
        <v>100</v>
      </c>
      <c r="T15" s="692" t="s">
        <v>14</v>
      </c>
      <c r="U15" s="693">
        <f t="shared" si="1"/>
        <v>100</v>
      </c>
      <c r="V15" s="692" t="s">
        <v>14</v>
      </c>
      <c r="W15" s="693">
        <f t="shared" si="2"/>
        <v>100</v>
      </c>
      <c r="X15" s="1341"/>
      <c r="Y15" s="3711"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81"/>
      <c r="Q16" s="1338"/>
      <c r="R16" s="692"/>
      <c r="S16" s="693"/>
      <c r="T16" s="692"/>
      <c r="U16" s="693"/>
      <c r="V16" s="692"/>
      <c r="W16" s="693"/>
      <c r="X16" s="1341"/>
      <c r="Y16" s="3712"/>
      <c r="Z16" s="1342"/>
      <c r="AA16" s="1339">
        <v>1</v>
      </c>
      <c r="AB16" s="1339">
        <v>1</v>
      </c>
      <c r="AC16" s="1948">
        <v>1</v>
      </c>
    </row>
    <row r="17" spans="1:29" ht="128.25">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81"/>
      <c r="Q17" s="1338" t="str">
        <f>B17</f>
        <v>交通便捷度</v>
      </c>
      <c r="R17" s="692" t="s">
        <v>14</v>
      </c>
      <c r="S17" s="693">
        <f>F17</f>
        <v>100</v>
      </c>
      <c r="T17" s="692" t="s">
        <v>14</v>
      </c>
      <c r="U17" s="693">
        <f>H17</f>
        <v>100</v>
      </c>
      <c r="V17" s="692" t="s">
        <v>14</v>
      </c>
      <c r="W17" s="693">
        <f>J17</f>
        <v>100</v>
      </c>
      <c r="X17" s="1341"/>
      <c r="Y17" s="3712"/>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81"/>
      <c r="Q18" s="1338"/>
      <c r="R18" s="692"/>
      <c r="S18" s="693"/>
      <c r="T18" s="692"/>
      <c r="U18" s="693"/>
      <c r="V18" s="692"/>
      <c r="W18" s="693"/>
      <c r="X18" s="1341"/>
      <c r="Y18" s="3712"/>
      <c r="Z18" s="1342"/>
      <c r="AA18" s="1339">
        <v>1</v>
      </c>
      <c r="AB18" s="1339">
        <v>1</v>
      </c>
      <c r="AC18" s="1948">
        <v>1</v>
      </c>
    </row>
    <row r="19" spans="1:29" ht="57">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81"/>
      <c r="Q19" s="1338" t="str">
        <f>B19</f>
        <v>公共配套设施</v>
      </c>
      <c r="R19" s="692" t="s">
        <v>14</v>
      </c>
      <c r="S19" s="693">
        <f>F19</f>
        <v>100</v>
      </c>
      <c r="T19" s="692" t="s">
        <v>14</v>
      </c>
      <c r="U19" s="693">
        <f>H19</f>
        <v>100</v>
      </c>
      <c r="V19" s="692" t="s">
        <v>14</v>
      </c>
      <c r="W19" s="693">
        <f>J19</f>
        <v>100</v>
      </c>
      <c r="X19" s="1341"/>
      <c r="Y19" s="3712"/>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81"/>
      <c r="Q20" s="1338"/>
      <c r="R20" s="692"/>
      <c r="S20" s="693"/>
      <c r="T20" s="692"/>
      <c r="U20" s="693"/>
      <c r="V20" s="692"/>
      <c r="W20" s="693"/>
      <c r="X20" s="1341"/>
      <c r="Y20" s="3712"/>
      <c r="Z20" s="1342"/>
      <c r="AA20" s="1339">
        <v>1</v>
      </c>
      <c r="AB20" s="1339">
        <v>1</v>
      </c>
      <c r="AC20" s="1948">
        <v>1</v>
      </c>
    </row>
    <row r="21" spans="1:29" ht="42.75">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81"/>
      <c r="Q21" s="1338" t="str">
        <f>B21</f>
        <v>基础设施水平</v>
      </c>
      <c r="R21" s="692" t="s">
        <v>14</v>
      </c>
      <c r="S21" s="693">
        <f>F21</f>
        <v>100</v>
      </c>
      <c r="T21" s="692" t="s">
        <v>14</v>
      </c>
      <c r="U21" s="693">
        <f>H21</f>
        <v>100</v>
      </c>
      <c r="V21" s="692" t="s">
        <v>14</v>
      </c>
      <c r="W21" s="693">
        <f>J21</f>
        <v>100</v>
      </c>
      <c r="X21" s="1341"/>
      <c r="Y21" s="3712"/>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81"/>
      <c r="Q22" s="1338"/>
      <c r="R22" s="692"/>
      <c r="S22" s="693"/>
      <c r="T22" s="692"/>
      <c r="U22" s="693"/>
      <c r="V22" s="692"/>
      <c r="W22" s="693"/>
      <c r="X22" s="1341"/>
      <c r="Y22" s="3712"/>
      <c r="Z22" s="1342"/>
      <c r="AA22" s="1339">
        <v>1</v>
      </c>
      <c r="AB22" s="1339">
        <v>1</v>
      </c>
      <c r="AC22" s="1948">
        <v>1</v>
      </c>
    </row>
    <row r="23" spans="1:29" ht="71.25">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81"/>
      <c r="Q23" s="1338" t="str">
        <f>B23</f>
        <v>环境质量</v>
      </c>
      <c r="R23" s="692" t="s">
        <v>14</v>
      </c>
      <c r="S23" s="693">
        <f>F23</f>
        <v>100</v>
      </c>
      <c r="T23" s="692" t="s">
        <v>14</v>
      </c>
      <c r="U23" s="693">
        <f>H23</f>
        <v>100</v>
      </c>
      <c r="V23" s="692" t="s">
        <v>14</v>
      </c>
      <c r="W23" s="693">
        <f>J23</f>
        <v>100</v>
      </c>
      <c r="X23" s="1341"/>
      <c r="Y23" s="3712"/>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81"/>
      <c r="Q24" s="1338"/>
      <c r="R24" s="692"/>
      <c r="S24" s="693"/>
      <c r="T24" s="692"/>
      <c r="U24" s="693"/>
      <c r="V24" s="692"/>
      <c r="W24" s="693"/>
      <c r="X24" s="1341"/>
      <c r="Y24" s="3712"/>
      <c r="Z24" s="1342"/>
      <c r="AA24" s="1339">
        <v>1</v>
      </c>
      <c r="AB24" s="1339">
        <v>1</v>
      </c>
      <c r="AC24" s="1948">
        <v>1</v>
      </c>
    </row>
    <row r="25" spans="1:29" ht="27">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81"/>
      <c r="Q25" s="1338" t="str">
        <f>B25</f>
        <v>毗邻道路的类型与等级</v>
      </c>
      <c r="R25" s="692" t="s">
        <v>14</v>
      </c>
      <c r="S25" s="693">
        <f>F25</f>
        <v>100</v>
      </c>
      <c r="T25" s="692" t="s">
        <v>14</v>
      </c>
      <c r="U25" s="693">
        <f>H25</f>
        <v>100</v>
      </c>
      <c r="V25" s="692" t="s">
        <v>14</v>
      </c>
      <c r="W25" s="693">
        <f>J25</f>
        <v>100</v>
      </c>
      <c r="X25" s="1341"/>
      <c r="Y25" s="3712"/>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81"/>
      <c r="Q26" s="1338"/>
      <c r="R26" s="692"/>
      <c r="S26" s="693"/>
      <c r="T26" s="692"/>
      <c r="U26" s="693"/>
      <c r="V26" s="692"/>
      <c r="W26" s="693"/>
      <c r="X26" s="1341"/>
      <c r="Y26" s="3712"/>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81"/>
      <c r="Q27" s="1338" t="str">
        <f t="shared" ref="Q27:Q47" si="11">B27</f>
        <v>楼层</v>
      </c>
      <c r="R27" s="692" t="s">
        <v>14</v>
      </c>
      <c r="S27" s="693">
        <f>F27</f>
        <v>100</v>
      </c>
      <c r="T27" s="692" t="s">
        <v>14</v>
      </c>
      <c r="U27" s="693">
        <f>H27</f>
        <v>100</v>
      </c>
      <c r="V27" s="692" t="s">
        <v>14</v>
      </c>
      <c r="W27" s="693">
        <f>J27</f>
        <v>100</v>
      </c>
      <c r="X27" s="1341"/>
      <c r="Y27" s="3712"/>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81"/>
      <c r="Q28" s="1329" t="str">
        <f t="shared" si="11"/>
        <v>朝向</v>
      </c>
      <c r="R28" s="688" t="s">
        <v>14</v>
      </c>
      <c r="S28" s="689">
        <f>F28</f>
        <v>100</v>
      </c>
      <c r="T28" s="688" t="s">
        <v>14</v>
      </c>
      <c r="U28" s="689">
        <f>H28</f>
        <v>100</v>
      </c>
      <c r="V28" s="688" t="s">
        <v>14</v>
      </c>
      <c r="W28" s="689">
        <f>J28</f>
        <v>100</v>
      </c>
      <c r="X28" s="690"/>
      <c r="Y28" s="3712"/>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81"/>
      <c r="Q29" s="1338">
        <f t="shared" si="11"/>
        <v>111</v>
      </c>
      <c r="R29" s="692" t="s">
        <v>14</v>
      </c>
      <c r="S29" s="693">
        <f t="shared" ref="S29:S47" si="12">F29</f>
        <v>100</v>
      </c>
      <c r="T29" s="692" t="s">
        <v>14</v>
      </c>
      <c r="U29" s="693">
        <f t="shared" ref="U29:U47" si="13">H29</f>
        <v>100</v>
      </c>
      <c r="V29" s="692" t="s">
        <v>14</v>
      </c>
      <c r="W29" s="693">
        <f t="shared" ref="W29:W47" si="14">J29</f>
        <v>100</v>
      </c>
      <c r="X29" s="1341"/>
      <c r="Y29" s="3712"/>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81"/>
      <c r="Q30" s="1338">
        <f t="shared" si="11"/>
        <v>111</v>
      </c>
      <c r="R30" s="692" t="s">
        <v>14</v>
      </c>
      <c r="S30" s="693">
        <f t="shared" si="12"/>
        <v>100</v>
      </c>
      <c r="T30" s="692" t="s">
        <v>14</v>
      </c>
      <c r="U30" s="693">
        <f t="shared" si="13"/>
        <v>100</v>
      </c>
      <c r="V30" s="692" t="s">
        <v>14</v>
      </c>
      <c r="W30" s="693">
        <f t="shared" si="14"/>
        <v>100</v>
      </c>
      <c r="X30" s="1341"/>
      <c r="Y30" s="3712"/>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81"/>
      <c r="Q31" s="1338">
        <f t="shared" si="11"/>
        <v>111</v>
      </c>
      <c r="R31" s="692" t="s">
        <v>14</v>
      </c>
      <c r="S31" s="693">
        <f t="shared" si="12"/>
        <v>100</v>
      </c>
      <c r="T31" s="692" t="s">
        <v>14</v>
      </c>
      <c r="U31" s="693">
        <f t="shared" si="13"/>
        <v>100</v>
      </c>
      <c r="V31" s="692" t="s">
        <v>14</v>
      </c>
      <c r="W31" s="693">
        <f t="shared" si="14"/>
        <v>100</v>
      </c>
      <c r="X31" s="1341"/>
      <c r="Y31" s="3712"/>
      <c r="Z31" s="1342">
        <f t="shared" si="15"/>
        <v>111</v>
      </c>
      <c r="AA31" s="1339">
        <f t="shared" si="3"/>
        <v>1</v>
      </c>
      <c r="AB31" s="1339">
        <f t="shared" si="4"/>
        <v>1</v>
      </c>
      <c r="AC31" s="1948">
        <f t="shared" si="5"/>
        <v>1</v>
      </c>
    </row>
    <row r="32" spans="1:29" ht="15.75"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81"/>
      <c r="Q32" s="1338">
        <f t="shared" si="11"/>
        <v>111</v>
      </c>
      <c r="R32" s="692" t="s">
        <v>14</v>
      </c>
      <c r="S32" s="693">
        <f t="shared" si="12"/>
        <v>100</v>
      </c>
      <c r="T32" s="692" t="s">
        <v>14</v>
      </c>
      <c r="U32" s="693">
        <f t="shared" si="13"/>
        <v>100</v>
      </c>
      <c r="V32" s="692" t="s">
        <v>14</v>
      </c>
      <c r="W32" s="693">
        <f t="shared" si="14"/>
        <v>100</v>
      </c>
      <c r="X32" s="1341"/>
      <c r="Y32" s="3712"/>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6" t="s">
        <v>1696</v>
      </c>
      <c r="Q33" s="1338" t="str">
        <f t="shared" si="11"/>
        <v>建筑类型</v>
      </c>
      <c r="R33" s="692" t="s">
        <v>14</v>
      </c>
      <c r="S33" s="693">
        <f t="shared" si="12"/>
        <v>100</v>
      </c>
      <c r="T33" s="692" t="s">
        <v>14</v>
      </c>
      <c r="U33" s="693">
        <f t="shared" si="13"/>
        <v>100</v>
      </c>
      <c r="V33" s="692" t="s">
        <v>14</v>
      </c>
      <c r="W33" s="693">
        <f t="shared" si="14"/>
        <v>100</v>
      </c>
      <c r="X33" s="1341"/>
      <c r="Y33" s="3714"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7"/>
      <c r="Q34" s="694" t="str">
        <f t="shared" si="11"/>
        <v>项目建筑规模</v>
      </c>
      <c r="R34" s="695" t="s">
        <v>14</v>
      </c>
      <c r="S34" s="696" t="e">
        <f t="shared" si="12"/>
        <v>#N/A</v>
      </c>
      <c r="T34" s="695" t="s">
        <v>14</v>
      </c>
      <c r="U34" s="696" t="e">
        <f t="shared" si="13"/>
        <v>#N/A</v>
      </c>
      <c r="V34" s="695" t="s">
        <v>14</v>
      </c>
      <c r="W34" s="696" t="e">
        <f t="shared" si="14"/>
        <v>#N/A</v>
      </c>
      <c r="X34" s="697"/>
      <c r="Y34" s="3714"/>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7"/>
      <c r="Q35" s="1338" t="str">
        <f t="shared" si="11"/>
        <v>建筑结构</v>
      </c>
      <c r="R35" s="692" t="s">
        <v>14</v>
      </c>
      <c r="S35" s="693">
        <f t="shared" si="12"/>
        <v>100</v>
      </c>
      <c r="T35" s="692" t="s">
        <v>14</v>
      </c>
      <c r="U35" s="693">
        <f t="shared" si="13"/>
        <v>100</v>
      </c>
      <c r="V35" s="692" t="s">
        <v>14</v>
      </c>
      <c r="W35" s="693">
        <f t="shared" si="14"/>
        <v>100</v>
      </c>
      <c r="X35" s="1341"/>
      <c r="Y35" s="3714"/>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7"/>
      <c r="Q36" s="1338" t="str">
        <f t="shared" si="11"/>
        <v>公共部分装修</v>
      </c>
      <c r="R36" s="692" t="s">
        <v>14</v>
      </c>
      <c r="S36" s="693">
        <f t="shared" si="12"/>
        <v>100</v>
      </c>
      <c r="T36" s="692" t="s">
        <v>14</v>
      </c>
      <c r="U36" s="693">
        <f t="shared" si="13"/>
        <v>100</v>
      </c>
      <c r="V36" s="692" t="s">
        <v>14</v>
      </c>
      <c r="W36" s="693">
        <f t="shared" si="14"/>
        <v>100</v>
      </c>
      <c r="X36" s="1341"/>
      <c r="Y36" s="3714"/>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7"/>
      <c r="Q37" s="1338" t="str">
        <f t="shared" si="11"/>
        <v>成新度</v>
      </c>
      <c r="R37" s="692" t="s">
        <v>14</v>
      </c>
      <c r="S37" s="693" t="e">
        <f t="shared" si="12"/>
        <v>#N/A</v>
      </c>
      <c r="T37" s="692" t="s">
        <v>14</v>
      </c>
      <c r="U37" s="693" t="e">
        <f t="shared" si="13"/>
        <v>#N/A</v>
      </c>
      <c r="V37" s="692" t="s">
        <v>14</v>
      </c>
      <c r="W37" s="693" t="e">
        <f t="shared" si="14"/>
        <v>#N/A</v>
      </c>
      <c r="X37" s="1341"/>
      <c r="Y37" s="3714"/>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7"/>
      <c r="Q38" s="1329" t="str">
        <f t="shared" si="11"/>
        <v>写字楼等级</v>
      </c>
      <c r="R38" s="688" t="s">
        <v>14</v>
      </c>
      <c r="S38" s="689">
        <f t="shared" si="12"/>
        <v>100</v>
      </c>
      <c r="T38" s="688" t="s">
        <v>14</v>
      </c>
      <c r="U38" s="689">
        <f t="shared" si="13"/>
        <v>100</v>
      </c>
      <c r="V38" s="688" t="s">
        <v>14</v>
      </c>
      <c r="W38" s="689">
        <f t="shared" si="14"/>
        <v>100</v>
      </c>
      <c r="X38" s="690"/>
      <c r="Y38" s="3714"/>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7" t="s">
        <v>1696</v>
      </c>
      <c r="Q39" s="1338" t="str">
        <f t="shared" si="11"/>
        <v>物业管理</v>
      </c>
      <c r="R39" s="692" t="s">
        <v>14</v>
      </c>
      <c r="S39" s="693">
        <f t="shared" si="12"/>
        <v>100</v>
      </c>
      <c r="T39" s="692" t="s">
        <v>14</v>
      </c>
      <c r="U39" s="693">
        <f t="shared" si="13"/>
        <v>100</v>
      </c>
      <c r="V39" s="692" t="s">
        <v>14</v>
      </c>
      <c r="W39" s="693">
        <f t="shared" si="14"/>
        <v>100</v>
      </c>
      <c r="X39" s="1341"/>
      <c r="Y39" s="3714"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7"/>
      <c r="Q40" s="1338" t="str">
        <f t="shared" si="11"/>
        <v>市政基础设施</v>
      </c>
      <c r="R40" s="692" t="s">
        <v>14</v>
      </c>
      <c r="S40" s="693">
        <f t="shared" si="12"/>
        <v>100</v>
      </c>
      <c r="T40" s="692" t="s">
        <v>14</v>
      </c>
      <c r="U40" s="693">
        <f t="shared" si="13"/>
        <v>100</v>
      </c>
      <c r="V40" s="692" t="s">
        <v>14</v>
      </c>
      <c r="W40" s="693">
        <f t="shared" si="14"/>
        <v>100</v>
      </c>
      <c r="X40" s="1341"/>
      <c r="Y40" s="3714"/>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7"/>
      <c r="Q41" s="1338" t="str">
        <f t="shared" si="11"/>
        <v>层高</v>
      </c>
      <c r="R41" s="692" t="s">
        <v>14</v>
      </c>
      <c r="S41" s="693">
        <f t="shared" si="12"/>
        <v>100</v>
      </c>
      <c r="T41" s="692" t="s">
        <v>14</v>
      </c>
      <c r="U41" s="693">
        <f t="shared" si="13"/>
        <v>100</v>
      </c>
      <c r="V41" s="692" t="s">
        <v>14</v>
      </c>
      <c r="W41" s="693">
        <f t="shared" si="14"/>
        <v>100</v>
      </c>
      <c r="X41" s="1341"/>
      <c r="Y41" s="3714"/>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7"/>
      <c r="Q42" s="694" t="str">
        <f t="shared" si="11"/>
        <v>单套建筑面积</v>
      </c>
      <c r="R42" s="695" t="s">
        <v>14</v>
      </c>
      <c r="S42" s="696">
        <f t="shared" si="12"/>
        <v>100</v>
      </c>
      <c r="T42" s="695" t="s">
        <v>14</v>
      </c>
      <c r="U42" s="696">
        <f t="shared" si="13"/>
        <v>100</v>
      </c>
      <c r="V42" s="695" t="s">
        <v>14</v>
      </c>
      <c r="W42" s="696">
        <f t="shared" si="14"/>
        <v>100</v>
      </c>
      <c r="X42" s="697"/>
      <c r="Y42" s="3714"/>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7"/>
      <c r="Q43" s="1338" t="str">
        <f t="shared" si="11"/>
        <v>内部装修</v>
      </c>
      <c r="R43" s="692" t="s">
        <v>14</v>
      </c>
      <c r="S43" s="693">
        <f t="shared" si="12"/>
        <v>100</v>
      </c>
      <c r="T43" s="692" t="s">
        <v>14</v>
      </c>
      <c r="U43" s="693">
        <f t="shared" si="13"/>
        <v>100</v>
      </c>
      <c r="V43" s="692" t="s">
        <v>14</v>
      </c>
      <c r="W43" s="693">
        <f t="shared" si="14"/>
        <v>100</v>
      </c>
      <c r="X43" s="1341"/>
      <c r="Y43" s="3714"/>
      <c r="Z43" s="1342" t="str">
        <f t="shared" si="15"/>
        <v>内部装修</v>
      </c>
      <c r="AA43" s="1339">
        <f t="shared" si="3"/>
        <v>1</v>
      </c>
      <c r="AB43" s="1339">
        <f t="shared" si="4"/>
        <v>1</v>
      </c>
      <c r="AC43" s="1948">
        <f t="shared" si="5"/>
        <v>1</v>
      </c>
    </row>
    <row r="44" spans="1:29" ht="15">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7"/>
      <c r="Q44" s="1338" t="str">
        <f t="shared" si="11"/>
        <v>内部装修维护情况</v>
      </c>
      <c r="R44" s="692" t="s">
        <v>14</v>
      </c>
      <c r="S44" s="693">
        <f t="shared" si="12"/>
        <v>100</v>
      </c>
      <c r="T44" s="692" t="s">
        <v>14</v>
      </c>
      <c r="U44" s="693">
        <f t="shared" si="13"/>
        <v>100</v>
      </c>
      <c r="V44" s="692" t="s">
        <v>14</v>
      </c>
      <c r="W44" s="693">
        <f t="shared" si="14"/>
        <v>100</v>
      </c>
      <c r="X44" s="1341"/>
      <c r="Y44" s="3714"/>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7"/>
      <c r="Q45" s="1329">
        <f t="shared" si="11"/>
        <v>111</v>
      </c>
      <c r="R45" s="688" t="s">
        <v>14</v>
      </c>
      <c r="S45" s="689">
        <f t="shared" si="12"/>
        <v>100</v>
      </c>
      <c r="T45" s="688" t="s">
        <v>14</v>
      </c>
      <c r="U45" s="689">
        <f t="shared" si="13"/>
        <v>100</v>
      </c>
      <c r="V45" s="688" t="s">
        <v>14</v>
      </c>
      <c r="W45" s="689">
        <f t="shared" si="14"/>
        <v>100</v>
      </c>
      <c r="X45" s="690"/>
      <c r="Y45" s="3714"/>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7"/>
      <c r="Q46" s="1338">
        <f t="shared" si="11"/>
        <v>111</v>
      </c>
      <c r="R46" s="692" t="s">
        <v>14</v>
      </c>
      <c r="S46" s="693">
        <f t="shared" si="12"/>
        <v>100</v>
      </c>
      <c r="T46" s="692" t="s">
        <v>14</v>
      </c>
      <c r="U46" s="693">
        <f t="shared" si="13"/>
        <v>100</v>
      </c>
      <c r="V46" s="692" t="s">
        <v>14</v>
      </c>
      <c r="W46" s="693">
        <f t="shared" si="14"/>
        <v>100</v>
      </c>
      <c r="X46" s="1341"/>
      <c r="Y46" s="3714"/>
      <c r="Z46" s="1342">
        <f t="shared" si="15"/>
        <v>111</v>
      </c>
      <c r="AA46" s="1339">
        <f t="shared" si="3"/>
        <v>1</v>
      </c>
      <c r="AB46" s="1339">
        <f t="shared" si="4"/>
        <v>1</v>
      </c>
      <c r="AC46" s="1948">
        <f t="shared" si="5"/>
        <v>1</v>
      </c>
    </row>
    <row r="47" spans="1:29" ht="15.75"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8"/>
      <c r="Q47" s="1338">
        <f t="shared" si="11"/>
        <v>111</v>
      </c>
      <c r="R47" s="692" t="s">
        <v>14</v>
      </c>
      <c r="S47" s="693">
        <f t="shared" si="12"/>
        <v>100</v>
      </c>
      <c r="T47" s="692" t="s">
        <v>14</v>
      </c>
      <c r="U47" s="693">
        <f t="shared" si="13"/>
        <v>100</v>
      </c>
      <c r="V47" s="692" t="s">
        <v>14</v>
      </c>
      <c r="W47" s="693">
        <f t="shared" si="14"/>
        <v>100</v>
      </c>
      <c r="X47" s="1341"/>
      <c r="Y47" s="3779"/>
      <c r="Z47" s="1342">
        <f t="shared" si="15"/>
        <v>111</v>
      </c>
      <c r="AA47" s="1339">
        <f t="shared" si="3"/>
        <v>1</v>
      </c>
      <c r="AB47" s="1339">
        <f t="shared" si="4"/>
        <v>1</v>
      </c>
      <c r="AC47" s="1948">
        <f t="shared" si="5"/>
        <v>1</v>
      </c>
    </row>
    <row r="48" spans="1:29" ht="15">
      <c r="A48" s="420" t="s">
        <v>1708</v>
      </c>
      <c r="B48" s="421"/>
      <c r="C48" s="1141" t="s">
        <v>0</v>
      </c>
      <c r="D48" s="1142"/>
      <c r="E48" s="1143"/>
      <c r="F48" s="1144"/>
      <c r="G48" s="1145"/>
      <c r="H48" s="1146"/>
      <c r="I48" s="1143"/>
      <c r="J48" s="426"/>
      <c r="K48" s="701"/>
      <c r="L48" s="2704"/>
      <c r="M48" s="2696"/>
      <c r="N48" s="2696"/>
      <c r="O48" s="2696"/>
      <c r="P48" s="3709" t="str">
        <f>A48</f>
        <v>成交单价（元/平方米）</v>
      </c>
      <c r="Q48" s="3710"/>
      <c r="R48" s="3775">
        <f>E48</f>
        <v>0</v>
      </c>
      <c r="S48" s="3775"/>
      <c r="T48" s="3775">
        <f>G48</f>
        <v>0</v>
      </c>
      <c r="U48" s="3775"/>
      <c r="V48" s="3775">
        <f>I48</f>
        <v>0</v>
      </c>
      <c r="W48" s="3775"/>
      <c r="X48" s="387"/>
      <c r="Y48" s="699"/>
      <c r="Z48" s="387"/>
      <c r="AA48" s="387"/>
      <c r="AB48" s="387"/>
      <c r="AC48" s="568"/>
    </row>
    <row r="49" spans="1:29" ht="15.7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09" t="str">
        <f>A49</f>
        <v>比较价值（元/平方米）</v>
      </c>
      <c r="Q49" s="3710"/>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387"/>
      <c r="Y49" s="387"/>
      <c r="Z49" s="387"/>
      <c r="AA49" s="387"/>
      <c r="AB49" s="387"/>
      <c r="AC49" s="568"/>
    </row>
    <row r="50" spans="1:29" ht="15.75" thickBot="1">
      <c r="A50" s="431" t="s">
        <v>1794</v>
      </c>
      <c r="B50" s="432"/>
      <c r="C50" s="1150" t="e">
        <f>R50</f>
        <v>#DIV/0!</v>
      </c>
      <c r="D50" s="1150"/>
      <c r="E50" s="1150"/>
      <c r="F50" s="1150"/>
      <c r="G50" s="1150"/>
      <c r="H50" s="1150"/>
      <c r="I50" s="1150"/>
      <c r="J50" s="433"/>
      <c r="K50" s="702"/>
      <c r="L50" s="2704"/>
      <c r="M50" s="2696"/>
      <c r="N50" s="2696"/>
      <c r="O50" s="2696"/>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1.75"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5">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ht="15">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7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5">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5.75"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5.75"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7.75"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5.75"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ht="15">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5.75"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5.75"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5.75"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5.75"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5.75"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5.75"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7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7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7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7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7.75"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5.75"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5.75"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5.75"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5.75"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5.75"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5.75"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5.75"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5.75"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5.75"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5.75"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5"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5.75"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5"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5.75"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5"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5.75"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8275.91</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1769</v>
      </c>
      <c r="B4" s="346"/>
      <c r="C4" s="3707" t="s">
        <v>1770</v>
      </c>
      <c r="D4" s="3719"/>
      <c r="E4" s="3720" t="s">
        <v>1771</v>
      </c>
      <c r="F4" s="3721"/>
      <c r="G4" s="3707" t="s">
        <v>1772</v>
      </c>
      <c r="H4" s="3719"/>
      <c r="I4" s="3707" t="s">
        <v>1773</v>
      </c>
      <c r="J4" s="3719"/>
      <c r="K4" s="549" t="s">
        <v>1774</v>
      </c>
      <c r="L4" s="900"/>
      <c r="M4" s="901"/>
      <c r="N4" s="901"/>
      <c r="O4" s="901"/>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29" ht="15">
      <c r="A5" s="348"/>
      <c r="B5" s="349"/>
      <c r="C5" s="3736" t="s">
        <v>1673</v>
      </c>
      <c r="D5" s="3737"/>
      <c r="E5" s="3743" t="s">
        <v>1674</v>
      </c>
      <c r="F5" s="3744"/>
      <c r="G5" s="3736" t="s">
        <v>1675</v>
      </c>
      <c r="H5" s="3737"/>
      <c r="I5" s="3736" t="s">
        <v>1676</v>
      </c>
      <c r="J5" s="3737"/>
      <c r="K5" s="549"/>
      <c r="L5" s="900"/>
      <c r="M5" s="901"/>
      <c r="N5" s="901"/>
      <c r="O5" s="901"/>
      <c r="P5" s="3724"/>
      <c r="Q5" s="3725"/>
      <c r="R5" s="3730"/>
      <c r="S5" s="3731"/>
      <c r="T5" s="3730"/>
      <c r="U5" s="3731"/>
      <c r="V5" s="3715"/>
      <c r="W5" s="3715"/>
      <c r="X5" s="1341"/>
      <c r="Y5" s="3730"/>
      <c r="Z5" s="3731"/>
      <c r="AA5" s="3717"/>
      <c r="AB5" s="3717"/>
      <c r="AC5" s="3717"/>
    </row>
    <row r="6" spans="1:29" ht="15.75" thickBot="1">
      <c r="A6" s="350"/>
      <c r="B6" s="351"/>
      <c r="C6" s="3734" t="s">
        <v>1677</v>
      </c>
      <c r="D6" s="3735"/>
      <c r="E6" s="3741" t="s">
        <v>1677</v>
      </c>
      <c r="F6" s="3742"/>
      <c r="G6" s="3734" t="s">
        <v>1677</v>
      </c>
      <c r="H6" s="3735"/>
      <c r="I6" s="3734" t="s">
        <v>1677</v>
      </c>
      <c r="J6" s="3735"/>
      <c r="K6" s="549" t="s">
        <v>1678</v>
      </c>
      <c r="L6" s="900"/>
      <c r="M6" s="901"/>
      <c r="N6" s="901"/>
      <c r="O6" s="901"/>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38" t="s">
        <v>1680</v>
      </c>
      <c r="Q7" s="3740"/>
      <c r="R7" s="688" t="s">
        <v>14</v>
      </c>
      <c r="S7" s="689">
        <f t="shared" ref="S7:S15" si="0">F7</f>
        <v>0</v>
      </c>
      <c r="T7" s="688" t="s">
        <v>14</v>
      </c>
      <c r="U7" s="689">
        <f t="shared" ref="U7:U15" si="1">H7</f>
        <v>0</v>
      </c>
      <c r="V7" s="688" t="s">
        <v>14</v>
      </c>
      <c r="W7" s="689">
        <f t="shared" ref="W7:W15"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38" t="s">
        <v>1683</v>
      </c>
      <c r="Q8" s="3739"/>
      <c r="R8" s="688" t="s">
        <v>14</v>
      </c>
      <c r="S8" s="689">
        <f t="shared" si="0"/>
        <v>100</v>
      </c>
      <c r="T8" s="688" t="s">
        <v>14</v>
      </c>
      <c r="U8" s="689">
        <f t="shared" si="1"/>
        <v>100</v>
      </c>
      <c r="V8" s="688" t="s">
        <v>14</v>
      </c>
      <c r="W8" s="689">
        <f t="shared" si="2"/>
        <v>100</v>
      </c>
      <c r="X8" s="690"/>
      <c r="Y8" s="3738" t="s">
        <v>1683</v>
      </c>
      <c r="Z8" s="3739"/>
      <c r="AA8" s="691">
        <f t="shared" ref="AA8:AA40" si="3">D8/F8</f>
        <v>1</v>
      </c>
      <c r="AB8" s="691">
        <f t="shared" ref="AB8:AB40" si="4">D8/H8</f>
        <v>1</v>
      </c>
      <c r="AC8" s="691">
        <f t="shared" ref="AC8:AC40" si="5">D8/J8</f>
        <v>1</v>
      </c>
    </row>
    <row r="9" spans="1:29" s="105" customFormat="1">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10"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10"/>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10"/>
      <c r="Q11" s="1329" t="str">
        <f t="shared" si="6"/>
        <v>容积率</v>
      </c>
      <c r="R11" s="688" t="s">
        <v>14</v>
      </c>
      <c r="S11" s="689">
        <f t="shared" si="0"/>
        <v>100</v>
      </c>
      <c r="T11" s="688" t="s">
        <v>14</v>
      </c>
      <c r="U11" s="689">
        <f t="shared" si="1"/>
        <v>100</v>
      </c>
      <c r="V11" s="688" t="s">
        <v>14</v>
      </c>
      <c r="W11" s="689">
        <f t="shared" si="2"/>
        <v>100</v>
      </c>
      <c r="X11" s="690"/>
      <c r="Y11" s="3610"/>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10"/>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5.75"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10"/>
      <c r="Q14" s="1329">
        <f t="shared" si="6"/>
        <v>111</v>
      </c>
      <c r="R14" s="688" t="s">
        <v>14</v>
      </c>
      <c r="S14" s="689">
        <f t="shared" si="0"/>
        <v>100</v>
      </c>
      <c r="T14" s="688" t="s">
        <v>14</v>
      </c>
      <c r="U14" s="689">
        <f t="shared" si="1"/>
        <v>100</v>
      </c>
      <c r="V14" s="688" t="s">
        <v>14</v>
      </c>
      <c r="W14" s="689">
        <f t="shared" si="2"/>
        <v>100</v>
      </c>
      <c r="X14" s="690"/>
      <c r="Y14" s="3610"/>
      <c r="Z14" s="52">
        <f t="shared" si="7"/>
        <v>111</v>
      </c>
      <c r="AA14" s="691">
        <f t="shared" si="3"/>
        <v>1</v>
      </c>
      <c r="AB14" s="691">
        <f t="shared" si="4"/>
        <v>1</v>
      </c>
      <c r="AC14" s="691">
        <f t="shared" si="5"/>
        <v>1</v>
      </c>
    </row>
    <row r="15" spans="1:29" ht="57">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11" t="s">
        <v>1691</v>
      </c>
      <c r="Q15" s="1338" t="str">
        <f t="shared" si="6"/>
        <v>产业集聚程度</v>
      </c>
      <c r="R15" s="692" t="s">
        <v>14</v>
      </c>
      <c r="S15" s="693">
        <f t="shared" si="0"/>
        <v>100</v>
      </c>
      <c r="T15" s="692" t="s">
        <v>14</v>
      </c>
      <c r="U15" s="693">
        <f t="shared" si="1"/>
        <v>100</v>
      </c>
      <c r="V15" s="692" t="s">
        <v>14</v>
      </c>
      <c r="W15" s="693">
        <f t="shared" si="2"/>
        <v>100</v>
      </c>
      <c r="X15" s="1341"/>
      <c r="Y15" s="3711"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12"/>
      <c r="Q16" s="1338"/>
      <c r="R16" s="692"/>
      <c r="S16" s="693"/>
      <c r="T16" s="692"/>
      <c r="U16" s="693"/>
      <c r="V16" s="692"/>
      <c r="W16" s="693"/>
      <c r="X16" s="1341"/>
      <c r="Y16" s="3712"/>
      <c r="Z16" s="1342"/>
      <c r="AA16" s="1339">
        <v>1</v>
      </c>
      <c r="AB16" s="1339">
        <v>1</v>
      </c>
      <c r="AC16" s="1339">
        <v>1</v>
      </c>
    </row>
    <row r="17" spans="1:29" ht="85.5">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12"/>
      <c r="Q17" s="1338" t="str">
        <f>B17</f>
        <v>交通便捷度</v>
      </c>
      <c r="R17" s="692" t="s">
        <v>14</v>
      </c>
      <c r="S17" s="693">
        <f>F17</f>
        <v>100</v>
      </c>
      <c r="T17" s="692" t="s">
        <v>14</v>
      </c>
      <c r="U17" s="693">
        <f>H17</f>
        <v>100</v>
      </c>
      <c r="V17" s="692" t="s">
        <v>14</v>
      </c>
      <c r="W17" s="693">
        <f>J17</f>
        <v>100</v>
      </c>
      <c r="X17" s="1341"/>
      <c r="Y17" s="3712"/>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12"/>
      <c r="Q18" s="1338"/>
      <c r="R18" s="692"/>
      <c r="S18" s="693"/>
      <c r="T18" s="692"/>
      <c r="U18" s="693"/>
      <c r="V18" s="692"/>
      <c r="W18" s="693"/>
      <c r="X18" s="1341"/>
      <c r="Y18" s="3712"/>
      <c r="Z18" s="1342"/>
      <c r="AA18" s="1339">
        <v>1</v>
      </c>
      <c r="AB18" s="1339">
        <v>1</v>
      </c>
      <c r="AC18" s="1339">
        <v>1</v>
      </c>
    </row>
    <row r="19" spans="1:29" ht="42.75">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12"/>
      <c r="Q19" s="1338" t="str">
        <f>B19</f>
        <v>公共配套设施</v>
      </c>
      <c r="R19" s="692" t="s">
        <v>14</v>
      </c>
      <c r="S19" s="693">
        <f>F19</f>
        <v>100</v>
      </c>
      <c r="T19" s="692" t="s">
        <v>14</v>
      </c>
      <c r="U19" s="693">
        <f>H19</f>
        <v>100</v>
      </c>
      <c r="V19" s="692" t="s">
        <v>14</v>
      </c>
      <c r="W19" s="693">
        <f>J19</f>
        <v>100</v>
      </c>
      <c r="X19" s="1341"/>
      <c r="Y19" s="3712"/>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12"/>
      <c r="Q20" s="1338"/>
      <c r="R20" s="692"/>
      <c r="S20" s="693"/>
      <c r="T20" s="692"/>
      <c r="U20" s="693"/>
      <c r="V20" s="692"/>
      <c r="W20" s="693"/>
      <c r="X20" s="1341"/>
      <c r="Y20" s="3712"/>
      <c r="Z20" s="1342"/>
      <c r="AA20" s="1339">
        <v>1</v>
      </c>
      <c r="AB20" s="1339">
        <v>1</v>
      </c>
      <c r="AC20" s="1339">
        <v>1</v>
      </c>
    </row>
    <row r="21" spans="1:29" ht="28.5">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12"/>
      <c r="Q21" s="1338" t="str">
        <f>B21</f>
        <v>基础设施水平</v>
      </c>
      <c r="R21" s="692" t="s">
        <v>14</v>
      </c>
      <c r="S21" s="693">
        <f>F21</f>
        <v>100</v>
      </c>
      <c r="T21" s="692" t="s">
        <v>14</v>
      </c>
      <c r="U21" s="693">
        <f>H21</f>
        <v>100</v>
      </c>
      <c r="V21" s="692" t="s">
        <v>14</v>
      </c>
      <c r="W21" s="693">
        <f>J21</f>
        <v>100</v>
      </c>
      <c r="X21" s="1341"/>
      <c r="Y21" s="3712"/>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12"/>
      <c r="Q22" s="1338"/>
      <c r="R22" s="692"/>
      <c r="S22" s="693"/>
      <c r="T22" s="692"/>
      <c r="U22" s="693"/>
      <c r="V22" s="692"/>
      <c r="W22" s="693"/>
      <c r="X22" s="1341"/>
      <c r="Y22" s="3712"/>
      <c r="Z22" s="1342"/>
      <c r="AA22" s="1339">
        <v>1</v>
      </c>
      <c r="AB22" s="1339">
        <v>1</v>
      </c>
      <c r="AC22" s="1339">
        <v>1</v>
      </c>
    </row>
    <row r="23" spans="1:29" ht="71.25">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12"/>
      <c r="Q23" s="1338" t="str">
        <f>B23</f>
        <v>环境质量</v>
      </c>
      <c r="R23" s="692" t="s">
        <v>14</v>
      </c>
      <c r="S23" s="693">
        <f>F23</f>
        <v>100</v>
      </c>
      <c r="T23" s="692" t="s">
        <v>14</v>
      </c>
      <c r="U23" s="693">
        <f>H23</f>
        <v>100</v>
      </c>
      <c r="V23" s="692" t="s">
        <v>14</v>
      </c>
      <c r="W23" s="693">
        <f>J23</f>
        <v>100</v>
      </c>
      <c r="X23" s="1341"/>
      <c r="Y23" s="3712"/>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12"/>
      <c r="Q24" s="1338"/>
      <c r="R24" s="692"/>
      <c r="S24" s="693"/>
      <c r="T24" s="692"/>
      <c r="U24" s="693"/>
      <c r="V24" s="692"/>
      <c r="W24" s="693"/>
      <c r="X24" s="1341"/>
      <c r="Y24" s="3712"/>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12"/>
      <c r="Q25" s="1338">
        <f>B25</f>
        <v>111</v>
      </c>
      <c r="R25" s="692" t="s">
        <v>14</v>
      </c>
      <c r="S25" s="693">
        <f>F25</f>
        <v>100</v>
      </c>
      <c r="T25" s="692" t="s">
        <v>14</v>
      </c>
      <c r="U25" s="693">
        <f>H25</f>
        <v>100</v>
      </c>
      <c r="V25" s="692" t="s">
        <v>14</v>
      </c>
      <c r="W25" s="693">
        <f>J25</f>
        <v>100</v>
      </c>
      <c r="X25" s="1341"/>
      <c r="Y25" s="3712"/>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12"/>
      <c r="Q26" s="1338">
        <f t="shared" ref="Q26:Q40" si="11">B26</f>
        <v>111</v>
      </c>
      <c r="R26" s="692" t="s">
        <v>14</v>
      </c>
      <c r="S26" s="693">
        <f>F26</f>
        <v>100</v>
      </c>
      <c r="T26" s="692" t="s">
        <v>14</v>
      </c>
      <c r="U26" s="693">
        <f>H26</f>
        <v>100</v>
      </c>
      <c r="V26" s="692" t="s">
        <v>14</v>
      </c>
      <c r="W26" s="693">
        <f>J26</f>
        <v>100</v>
      </c>
      <c r="X26" s="1341"/>
      <c r="Y26" s="3712"/>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12"/>
      <c r="Q27" s="1329">
        <f t="shared" si="11"/>
        <v>111</v>
      </c>
      <c r="R27" s="688" t="s">
        <v>14</v>
      </c>
      <c r="S27" s="689">
        <f>F27</f>
        <v>100</v>
      </c>
      <c r="T27" s="688" t="s">
        <v>14</v>
      </c>
      <c r="U27" s="689">
        <f>H27</f>
        <v>100</v>
      </c>
      <c r="V27" s="688" t="s">
        <v>14</v>
      </c>
      <c r="W27" s="689">
        <f>J27</f>
        <v>100</v>
      </c>
      <c r="X27" s="690"/>
      <c r="Y27" s="3712"/>
      <c r="Z27" s="52">
        <f>Q27</f>
        <v>111</v>
      </c>
      <c r="AA27" s="1339">
        <f>D27/F27</f>
        <v>1</v>
      </c>
      <c r="AB27" s="1339">
        <f>D27/H27</f>
        <v>1</v>
      </c>
      <c r="AC27" s="1339">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12"/>
      <c r="Q28" s="1338">
        <f t="shared" si="11"/>
        <v>111</v>
      </c>
      <c r="R28" s="692" t="s">
        <v>14</v>
      </c>
      <c r="S28" s="693">
        <f t="shared" ref="S28:S40" si="12">F28</f>
        <v>100</v>
      </c>
      <c r="T28" s="692" t="s">
        <v>14</v>
      </c>
      <c r="U28" s="693">
        <f t="shared" ref="U28:U40" si="13">H28</f>
        <v>100</v>
      </c>
      <c r="V28" s="692" t="s">
        <v>14</v>
      </c>
      <c r="W28" s="693">
        <f t="shared" ref="W28:W40" si="14">J28</f>
        <v>100</v>
      </c>
      <c r="X28" s="1341"/>
      <c r="Y28" s="3712"/>
      <c r="Z28" s="1342">
        <f t="shared" ref="Z28:Z40" si="15">Q28</f>
        <v>111</v>
      </c>
      <c r="AA28" s="1339">
        <f t="shared" si="3"/>
        <v>1</v>
      </c>
      <c r="AB28" s="1339">
        <f t="shared" si="4"/>
        <v>1</v>
      </c>
      <c r="AC28" s="1339">
        <f t="shared" si="5"/>
        <v>1</v>
      </c>
    </row>
    <row r="29" spans="1:29" ht="28.5">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13" t="s">
        <v>1696</v>
      </c>
      <c r="Q29" s="1338" t="str">
        <f t="shared" si="11"/>
        <v>建筑类型</v>
      </c>
      <c r="R29" s="692" t="s">
        <v>14</v>
      </c>
      <c r="S29" s="693">
        <f t="shared" si="12"/>
        <v>100</v>
      </c>
      <c r="T29" s="692" t="s">
        <v>14</v>
      </c>
      <c r="U29" s="693">
        <f t="shared" si="13"/>
        <v>100</v>
      </c>
      <c r="V29" s="692" t="s">
        <v>14</v>
      </c>
      <c r="W29" s="693">
        <f t="shared" si="14"/>
        <v>100</v>
      </c>
      <c r="X29" s="1341"/>
      <c r="Y29" s="3714"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14"/>
      <c r="Q30" s="694" t="str">
        <f t="shared" si="11"/>
        <v>项目建筑规模</v>
      </c>
      <c r="R30" s="695" t="s">
        <v>14</v>
      </c>
      <c r="S30" s="696" t="e">
        <f t="shared" si="12"/>
        <v>#N/A</v>
      </c>
      <c r="T30" s="695" t="s">
        <v>14</v>
      </c>
      <c r="U30" s="696" t="e">
        <f t="shared" si="13"/>
        <v>#N/A</v>
      </c>
      <c r="V30" s="695" t="s">
        <v>14</v>
      </c>
      <c r="W30" s="696" t="e">
        <f t="shared" si="14"/>
        <v>#N/A</v>
      </c>
      <c r="X30" s="697"/>
      <c r="Y30" s="3714"/>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14"/>
      <c r="Q31" s="1338" t="str">
        <f t="shared" si="11"/>
        <v>建筑结构</v>
      </c>
      <c r="R31" s="692" t="s">
        <v>14</v>
      </c>
      <c r="S31" s="693">
        <f t="shared" si="12"/>
        <v>100</v>
      </c>
      <c r="T31" s="692" t="s">
        <v>14</v>
      </c>
      <c r="U31" s="693">
        <f t="shared" si="13"/>
        <v>100</v>
      </c>
      <c r="V31" s="692" t="s">
        <v>14</v>
      </c>
      <c r="W31" s="693">
        <f t="shared" si="14"/>
        <v>100</v>
      </c>
      <c r="X31" s="1341"/>
      <c r="Y31" s="3714"/>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14"/>
      <c r="Q32" s="1338" t="str">
        <f t="shared" si="11"/>
        <v>公共部分装修</v>
      </c>
      <c r="R32" s="692" t="s">
        <v>14</v>
      </c>
      <c r="S32" s="693">
        <f t="shared" si="12"/>
        <v>100</v>
      </c>
      <c r="T32" s="692" t="s">
        <v>14</v>
      </c>
      <c r="U32" s="693">
        <f t="shared" si="13"/>
        <v>100</v>
      </c>
      <c r="V32" s="692" t="s">
        <v>14</v>
      </c>
      <c r="W32" s="693">
        <f t="shared" si="14"/>
        <v>100</v>
      </c>
      <c r="X32" s="1341"/>
      <c r="Y32" s="3714"/>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14"/>
      <c r="Q33" s="1338" t="str">
        <f t="shared" si="11"/>
        <v>成新度</v>
      </c>
      <c r="R33" s="692" t="s">
        <v>14</v>
      </c>
      <c r="S33" s="693" t="e">
        <f t="shared" si="12"/>
        <v>#N/A</v>
      </c>
      <c r="T33" s="692" t="s">
        <v>14</v>
      </c>
      <c r="U33" s="693" t="e">
        <f t="shared" si="13"/>
        <v>#N/A</v>
      </c>
      <c r="V33" s="692" t="s">
        <v>14</v>
      </c>
      <c r="W33" s="693" t="e">
        <f t="shared" si="14"/>
        <v>#N/A</v>
      </c>
      <c r="X33" s="1341"/>
      <c r="Y33" s="3714"/>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14"/>
      <c r="Q34" s="1329" t="str">
        <f t="shared" si="11"/>
        <v>物业管理</v>
      </c>
      <c r="R34" s="688" t="s">
        <v>14</v>
      </c>
      <c r="S34" s="689">
        <f t="shared" si="12"/>
        <v>100</v>
      </c>
      <c r="T34" s="688" t="s">
        <v>14</v>
      </c>
      <c r="U34" s="689">
        <f t="shared" si="13"/>
        <v>100</v>
      </c>
      <c r="V34" s="688" t="s">
        <v>14</v>
      </c>
      <c r="W34" s="689">
        <f t="shared" si="14"/>
        <v>100</v>
      </c>
      <c r="X34" s="690"/>
      <c r="Y34" s="3714"/>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14" t="s">
        <v>1696</v>
      </c>
      <c r="Q35" s="1338" t="str">
        <f t="shared" si="11"/>
        <v>市政基础设施</v>
      </c>
      <c r="R35" s="692" t="s">
        <v>14</v>
      </c>
      <c r="S35" s="693">
        <f t="shared" si="12"/>
        <v>100</v>
      </c>
      <c r="T35" s="692" t="s">
        <v>14</v>
      </c>
      <c r="U35" s="693">
        <f t="shared" si="13"/>
        <v>100</v>
      </c>
      <c r="V35" s="692" t="s">
        <v>14</v>
      </c>
      <c r="W35" s="693">
        <f t="shared" si="14"/>
        <v>100</v>
      </c>
      <c r="X35" s="1341"/>
      <c r="Y35" s="3714"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14"/>
      <c r="Q36" s="1338" t="str">
        <f t="shared" si="11"/>
        <v>内部装修</v>
      </c>
      <c r="R36" s="692" t="s">
        <v>14</v>
      </c>
      <c r="S36" s="693">
        <f t="shared" si="12"/>
        <v>100</v>
      </c>
      <c r="T36" s="692" t="s">
        <v>14</v>
      </c>
      <c r="U36" s="693">
        <f t="shared" si="13"/>
        <v>100</v>
      </c>
      <c r="V36" s="692" t="s">
        <v>14</v>
      </c>
      <c r="W36" s="693">
        <f t="shared" si="14"/>
        <v>100</v>
      </c>
      <c r="X36" s="1341"/>
      <c r="Y36" s="3714"/>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14"/>
      <c r="Q37" s="1338" t="str">
        <f t="shared" si="11"/>
        <v>内部装修状况</v>
      </c>
      <c r="R37" s="692" t="s">
        <v>14</v>
      </c>
      <c r="S37" s="693">
        <f t="shared" si="12"/>
        <v>100</v>
      </c>
      <c r="T37" s="692" t="s">
        <v>14</v>
      </c>
      <c r="U37" s="693">
        <f t="shared" si="13"/>
        <v>100</v>
      </c>
      <c r="V37" s="692" t="s">
        <v>14</v>
      </c>
      <c r="W37" s="693">
        <f t="shared" si="14"/>
        <v>100</v>
      </c>
      <c r="X37" s="1341"/>
      <c r="Y37" s="3714"/>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14"/>
      <c r="Q38" s="694">
        <f t="shared" si="11"/>
        <v>111</v>
      </c>
      <c r="R38" s="695" t="s">
        <v>14</v>
      </c>
      <c r="S38" s="696">
        <f t="shared" si="12"/>
        <v>100</v>
      </c>
      <c r="T38" s="695" t="s">
        <v>14</v>
      </c>
      <c r="U38" s="696">
        <f t="shared" si="13"/>
        <v>100</v>
      </c>
      <c r="V38" s="695" t="s">
        <v>14</v>
      </c>
      <c r="W38" s="696">
        <f t="shared" si="14"/>
        <v>100</v>
      </c>
      <c r="X38" s="697"/>
      <c r="Y38" s="3714"/>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14"/>
      <c r="Q39" s="1338">
        <f t="shared" si="11"/>
        <v>111</v>
      </c>
      <c r="R39" s="692" t="s">
        <v>14</v>
      </c>
      <c r="S39" s="693">
        <f t="shared" si="12"/>
        <v>100</v>
      </c>
      <c r="T39" s="692" t="s">
        <v>14</v>
      </c>
      <c r="U39" s="693">
        <f t="shared" si="13"/>
        <v>100</v>
      </c>
      <c r="V39" s="692" t="s">
        <v>14</v>
      </c>
      <c r="W39" s="693">
        <f t="shared" si="14"/>
        <v>100</v>
      </c>
      <c r="X39" s="1341"/>
      <c r="Y39" s="3714"/>
      <c r="Z39" s="1342">
        <f t="shared" si="15"/>
        <v>111</v>
      </c>
      <c r="AA39" s="1339">
        <f t="shared" si="3"/>
        <v>1</v>
      </c>
      <c r="AB39" s="1339">
        <f t="shared" si="4"/>
        <v>1</v>
      </c>
      <c r="AC39" s="1339">
        <f t="shared" si="5"/>
        <v>1</v>
      </c>
    </row>
    <row r="40" spans="1:29" ht="15.75"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9"/>
      <c r="Q40" s="1338">
        <f t="shared" si="11"/>
        <v>111</v>
      </c>
      <c r="R40" s="692" t="s">
        <v>14</v>
      </c>
      <c r="S40" s="693">
        <f t="shared" si="12"/>
        <v>100</v>
      </c>
      <c r="T40" s="692" t="s">
        <v>14</v>
      </c>
      <c r="U40" s="693">
        <f t="shared" si="13"/>
        <v>100</v>
      </c>
      <c r="V40" s="692" t="s">
        <v>14</v>
      </c>
      <c r="W40" s="693">
        <f t="shared" si="14"/>
        <v>100</v>
      </c>
      <c r="X40" s="1341"/>
      <c r="Y40" s="3779"/>
      <c r="Z40" s="1342">
        <f t="shared" si="15"/>
        <v>111</v>
      </c>
      <c r="AA40" s="1339">
        <f t="shared" si="3"/>
        <v>1</v>
      </c>
      <c r="AB40" s="1339">
        <f t="shared" si="4"/>
        <v>1</v>
      </c>
      <c r="AC40" s="1339">
        <f t="shared" si="5"/>
        <v>1</v>
      </c>
    </row>
    <row r="41" spans="1:29" ht="15">
      <c r="A41" s="420" t="s">
        <v>1708</v>
      </c>
      <c r="B41" s="421"/>
      <c r="C41" s="1141" t="s">
        <v>0</v>
      </c>
      <c r="D41" s="1142"/>
      <c r="E41" s="1143"/>
      <c r="F41" s="1144"/>
      <c r="G41" s="1145"/>
      <c r="H41" s="1146"/>
      <c r="I41" s="1143"/>
      <c r="J41" s="1146"/>
      <c r="K41" s="701"/>
      <c r="L41" s="913"/>
      <c r="M41" s="914"/>
      <c r="N41" s="901"/>
      <c r="O41" s="914"/>
      <c r="P41" s="3710" t="str">
        <f>A41</f>
        <v>成交单价（元/平方米）</v>
      </c>
      <c r="Q41" s="3710"/>
      <c r="R41" s="3775">
        <f>E41</f>
        <v>0</v>
      </c>
      <c r="S41" s="3775"/>
      <c r="T41" s="3775">
        <f>G41</f>
        <v>0</v>
      </c>
      <c r="U41" s="3775"/>
      <c r="V41" s="3775">
        <f>I41</f>
        <v>0</v>
      </c>
      <c r="W41" s="3775"/>
      <c r="X41" s="677"/>
      <c r="Y41" s="699"/>
      <c r="Z41" s="677"/>
      <c r="AA41" s="677"/>
      <c r="AB41" s="677"/>
      <c r="AC41" s="677"/>
    </row>
    <row r="42" spans="1:29" ht="15.7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10" t="str">
        <f>A42</f>
        <v>比较价值（元/平方米）</v>
      </c>
      <c r="Q42" s="3710"/>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677"/>
      <c r="Y42" s="677"/>
      <c r="Z42" s="677"/>
      <c r="AA42" s="677"/>
      <c r="AB42" s="677"/>
      <c r="AC42" s="677"/>
    </row>
    <row r="43" spans="1:29" ht="15.75" thickBot="1">
      <c r="A43" s="431" t="s">
        <v>1794</v>
      </c>
      <c r="B43" s="432"/>
      <c r="C43" s="1150" t="e">
        <f>R43</f>
        <v>#DIV/0!</v>
      </c>
      <c r="D43" s="1150"/>
      <c r="E43" s="1150"/>
      <c r="F43" s="1150"/>
      <c r="G43" s="1150"/>
      <c r="H43" s="1150"/>
      <c r="I43" s="1150"/>
      <c r="J43" s="1150"/>
      <c r="K43" s="702"/>
      <c r="L43" s="913"/>
      <c r="M43" s="914"/>
      <c r="N43" s="914"/>
      <c r="O43" s="914"/>
      <c r="P43" s="3704" t="str">
        <f>A43</f>
        <v>估价对象XX用房的比较价值（楼面单价，元/平方米）</v>
      </c>
      <c r="Q43" s="3705"/>
      <c r="R43" s="3774" t="e">
        <f>IF(F1="售价",ROUND(IF(D42="简单平均",AVERAGE(R42:V42),R42*F42+T42*H42+V42*J42),0),ROUND(IF(D42="简单平均",AVERAGE(R42:V42),R42*F42+T42*H42+V42*J42),1))</f>
        <v>#DIV/0!</v>
      </c>
      <c r="S43" s="3774"/>
      <c r="T43" s="3774"/>
      <c r="U43" s="3774"/>
      <c r="V43" s="3774"/>
      <c r="W43" s="3774"/>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1.75" thickBot="1">
      <c r="A51" s="681" t="s">
        <v>1798</v>
      </c>
      <c r="B51" s="677"/>
      <c r="C51" s="682"/>
      <c r="D51" s="682"/>
      <c r="E51" s="682"/>
      <c r="F51" s="683"/>
      <c r="G51" s="683"/>
      <c r="H51" s="682"/>
      <c r="I51" s="682"/>
      <c r="J51" s="682"/>
      <c r="K51" s="928"/>
      <c r="L51" s="929"/>
      <c r="M51" s="927"/>
      <c r="N51" s="927"/>
      <c r="O51" s="927"/>
      <c r="P51" s="442"/>
      <c r="Q51" s="443"/>
    </row>
    <row r="52" spans="1:17" s="447" customFormat="1" ht="15">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ht="15">
      <c r="A53" s="448"/>
      <c r="B53" s="449"/>
      <c r="C53" s="1169">
        <v>100</v>
      </c>
      <c r="D53" s="451"/>
      <c r="E53" s="451"/>
      <c r="F53" s="451"/>
      <c r="G53" s="451"/>
      <c r="H53" s="451"/>
      <c r="I53" s="451"/>
      <c r="J53" s="451"/>
      <c r="K53" s="451"/>
      <c r="L53" s="451"/>
      <c r="M53" s="452"/>
      <c r="N53" s="451"/>
      <c r="O53" s="453"/>
      <c r="P53" s="443"/>
    </row>
    <row r="54" spans="1:17" s="105" customFormat="1" ht="15.75" thickBot="1">
      <c r="A54" s="454" t="s">
        <v>1716</v>
      </c>
      <c r="B54" s="455"/>
      <c r="C54" s="456"/>
      <c r="D54" s="457"/>
      <c r="E54" s="457"/>
      <c r="F54" s="457"/>
      <c r="G54" s="457"/>
      <c r="H54" s="457"/>
      <c r="I54" s="457"/>
      <c r="J54" s="457"/>
      <c r="K54" s="457"/>
      <c r="L54" s="457"/>
      <c r="M54" s="458"/>
      <c r="N54" s="2750"/>
      <c r="O54" s="2751"/>
      <c r="P54" s="443"/>
      <c r="Q54" s="443"/>
    </row>
    <row r="55" spans="1:17" s="105" customFormat="1" ht="15">
      <c r="A55" s="460" t="s">
        <v>1681</v>
      </c>
      <c r="B55" s="449"/>
      <c r="C55" s="461" t="s">
        <v>1776</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1719</v>
      </c>
      <c r="B57" s="467" t="s">
        <v>1685</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1688</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4"/>
      <c r="B87" s="508"/>
      <c r="C87" s="509"/>
      <c r="D87" s="509"/>
      <c r="E87" s="509"/>
      <c r="F87" s="509"/>
      <c r="G87" s="530"/>
      <c r="H87" s="530"/>
      <c r="I87" s="530"/>
      <c r="J87" s="530"/>
      <c r="K87" s="530"/>
      <c r="L87" s="530"/>
      <c r="M87" s="531"/>
      <c r="N87" s="921"/>
      <c r="O87" s="921"/>
      <c r="P87" s="42"/>
      <c r="Q87" s="443"/>
    </row>
    <row r="88" spans="1:17">
      <c r="A88" s="466" t="s">
        <v>1694</v>
      </c>
      <c r="B88" s="467" t="s">
        <v>1736</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29" ht="15">
      <c r="A5" s="348"/>
      <c r="B5" s="349"/>
      <c r="C5" s="3736" t="s">
        <v>1673</v>
      </c>
      <c r="D5" s="3737"/>
      <c r="E5" s="3743" t="s">
        <v>1674</v>
      </c>
      <c r="F5" s="3744"/>
      <c r="G5" s="3736" t="s">
        <v>1675</v>
      </c>
      <c r="H5" s="3737"/>
      <c r="I5" s="3736" t="s">
        <v>1676</v>
      </c>
      <c r="J5" s="3737"/>
      <c r="K5" s="549"/>
      <c r="L5" s="2695"/>
      <c r="M5" s="2696"/>
      <c r="N5" s="2696"/>
      <c r="O5" s="2696"/>
      <c r="P5" s="3724"/>
      <c r="Q5" s="3725"/>
      <c r="R5" s="3730"/>
      <c r="S5" s="3731"/>
      <c r="T5" s="3730"/>
      <c r="U5" s="3731"/>
      <c r="V5" s="3715"/>
      <c r="W5" s="3715"/>
      <c r="X5" s="1341"/>
      <c r="Y5" s="3730"/>
      <c r="Z5" s="3731"/>
      <c r="AA5" s="3717"/>
      <c r="AB5" s="3717"/>
      <c r="AC5" s="3717"/>
    </row>
    <row r="6" spans="1:29" ht="15.75" thickBot="1">
      <c r="A6" s="350"/>
      <c r="B6" s="351"/>
      <c r="C6" s="3734" t="s">
        <v>1677</v>
      </c>
      <c r="D6" s="3735"/>
      <c r="E6" s="3741" t="s">
        <v>1677</v>
      </c>
      <c r="F6" s="3742"/>
      <c r="G6" s="3734" t="s">
        <v>1677</v>
      </c>
      <c r="H6" s="3735"/>
      <c r="I6" s="3734" t="s">
        <v>1677</v>
      </c>
      <c r="J6" s="3735"/>
      <c r="K6" s="549" t="s">
        <v>1678</v>
      </c>
      <c r="L6" s="2695"/>
      <c r="M6" s="2696"/>
      <c r="N6" s="2696"/>
      <c r="O6" s="2696"/>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38" t="s">
        <v>1680</v>
      </c>
      <c r="Q7" s="3740"/>
      <c r="R7" s="688" t="s">
        <v>14</v>
      </c>
      <c r="S7" s="689">
        <f t="shared" ref="S7:S14" si="0">F7</f>
        <v>0</v>
      </c>
      <c r="T7" s="688" t="s">
        <v>14</v>
      </c>
      <c r="U7" s="689">
        <f t="shared" ref="U7:U14" si="1">H7</f>
        <v>0</v>
      </c>
      <c r="V7" s="688" t="s">
        <v>14</v>
      </c>
      <c r="W7" s="689">
        <f t="shared" ref="W7:W14"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38" t="s">
        <v>1683</v>
      </c>
      <c r="Q8" s="3739"/>
      <c r="R8" s="688" t="s">
        <v>14</v>
      </c>
      <c r="S8" s="689">
        <f t="shared" si="0"/>
        <v>100</v>
      </c>
      <c r="T8" s="688" t="s">
        <v>14</v>
      </c>
      <c r="U8" s="689">
        <f t="shared" si="1"/>
        <v>100</v>
      </c>
      <c r="V8" s="688" t="s">
        <v>14</v>
      </c>
      <c r="W8" s="689">
        <f t="shared" si="2"/>
        <v>100</v>
      </c>
      <c r="X8" s="690"/>
      <c r="Y8" s="3738" t="s">
        <v>1683</v>
      </c>
      <c r="Z8" s="3739"/>
      <c r="AA8" s="691">
        <f t="shared" ref="AA8:AA36" si="3">D8/F8</f>
        <v>1</v>
      </c>
      <c r="AB8" s="691">
        <f t="shared" ref="AB8:AB36" si="4">D8/H8</f>
        <v>1</v>
      </c>
      <c r="AC8" s="691">
        <f t="shared" ref="AC8:AC36" si="5">D8/J8</f>
        <v>1</v>
      </c>
    </row>
    <row r="9" spans="1:29" s="105" customFormat="1">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10" t="s">
        <v>1686</v>
      </c>
      <c r="Q9" s="1329" t="str">
        <f t="shared" ref="Q9:Q14" si="6">B9</f>
        <v>用途</v>
      </c>
      <c r="R9" s="688" t="s">
        <v>14</v>
      </c>
      <c r="S9" s="689">
        <f t="shared" si="0"/>
        <v>100</v>
      </c>
      <c r="T9" s="688" t="s">
        <v>14</v>
      </c>
      <c r="U9" s="689">
        <f t="shared" si="1"/>
        <v>100</v>
      </c>
      <c r="V9" s="688" t="s">
        <v>14</v>
      </c>
      <c r="W9" s="689">
        <f t="shared" si="2"/>
        <v>100</v>
      </c>
      <c r="X9" s="690"/>
      <c r="Y9" s="3610" t="s">
        <v>1687</v>
      </c>
      <c r="Z9" s="52" t="str">
        <f t="shared" ref="Z9:Z14" si="7">Q9</f>
        <v>用途</v>
      </c>
      <c r="AA9" s="691">
        <f t="shared" si="3"/>
        <v>1</v>
      </c>
      <c r="AB9" s="691">
        <f t="shared" si="4"/>
        <v>1</v>
      </c>
      <c r="AC9" s="691">
        <f t="shared" si="5"/>
        <v>1</v>
      </c>
    </row>
    <row r="10" spans="1:29" s="368" customFormat="1" ht="27">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10"/>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10"/>
      <c r="Q11" s="1329">
        <f t="shared" si="6"/>
        <v>111</v>
      </c>
      <c r="R11" s="688" t="s">
        <v>14</v>
      </c>
      <c r="S11" s="689">
        <f t="shared" si="0"/>
        <v>100</v>
      </c>
      <c r="T11" s="688" t="s">
        <v>14</v>
      </c>
      <c r="U11" s="689">
        <f t="shared" si="1"/>
        <v>100</v>
      </c>
      <c r="V11" s="688" t="s">
        <v>14</v>
      </c>
      <c r="W11" s="689">
        <f t="shared" si="2"/>
        <v>100</v>
      </c>
      <c r="X11" s="690"/>
      <c r="Y11" s="3610"/>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10"/>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42.5">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11" t="s">
        <v>1691</v>
      </c>
      <c r="Q14" s="1338" t="str">
        <f t="shared" si="6"/>
        <v>交通便捷度</v>
      </c>
      <c r="R14" s="692" t="s">
        <v>14</v>
      </c>
      <c r="S14" s="693">
        <f t="shared" si="0"/>
        <v>100</v>
      </c>
      <c r="T14" s="692" t="s">
        <v>14</v>
      </c>
      <c r="U14" s="693">
        <f t="shared" si="1"/>
        <v>100</v>
      </c>
      <c r="V14" s="692" t="s">
        <v>14</v>
      </c>
      <c r="W14" s="693">
        <f t="shared" si="2"/>
        <v>100</v>
      </c>
      <c r="X14" s="1341"/>
      <c r="Y14" s="3711"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12"/>
      <c r="Q15" s="1338"/>
      <c r="R15" s="692"/>
      <c r="S15" s="693"/>
      <c r="T15" s="692"/>
      <c r="U15" s="693"/>
      <c r="V15" s="692"/>
      <c r="W15" s="693"/>
      <c r="X15" s="1341"/>
      <c r="Y15" s="3712"/>
      <c r="Z15" s="1342"/>
      <c r="AA15" s="1339">
        <v>1</v>
      </c>
      <c r="AB15" s="1339">
        <v>1</v>
      </c>
      <c r="AC15" s="1339">
        <v>1</v>
      </c>
    </row>
    <row r="16" spans="1:29" ht="71.25">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12"/>
      <c r="Q16" s="1338" t="str">
        <f>B16</f>
        <v>公共配套设施</v>
      </c>
      <c r="R16" s="692" t="s">
        <v>14</v>
      </c>
      <c r="S16" s="693">
        <f>F16</f>
        <v>100</v>
      </c>
      <c r="T16" s="692" t="s">
        <v>14</v>
      </c>
      <c r="U16" s="693">
        <f>H16</f>
        <v>100</v>
      </c>
      <c r="V16" s="692" t="s">
        <v>14</v>
      </c>
      <c r="W16" s="693">
        <f>J16</f>
        <v>100</v>
      </c>
      <c r="X16" s="1341"/>
      <c r="Y16" s="3712"/>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12"/>
      <c r="Q17" s="1338"/>
      <c r="R17" s="692"/>
      <c r="S17" s="693"/>
      <c r="T17" s="692"/>
      <c r="U17" s="693"/>
      <c r="V17" s="692"/>
      <c r="W17" s="693"/>
      <c r="X17" s="1341"/>
      <c r="Y17" s="3712"/>
      <c r="Z17" s="1342"/>
      <c r="AA17" s="1339">
        <v>1</v>
      </c>
      <c r="AB17" s="1339">
        <v>1</v>
      </c>
      <c r="AC17" s="1339">
        <v>1</v>
      </c>
    </row>
    <row r="18" spans="1:29" ht="42.75">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12"/>
      <c r="Q18" s="1338" t="str">
        <f>B18</f>
        <v>基础设施水平</v>
      </c>
      <c r="R18" s="692" t="s">
        <v>14</v>
      </c>
      <c r="S18" s="693">
        <f>F18</f>
        <v>100</v>
      </c>
      <c r="T18" s="692" t="s">
        <v>14</v>
      </c>
      <c r="U18" s="693">
        <f>H18</f>
        <v>100</v>
      </c>
      <c r="V18" s="692" t="s">
        <v>14</v>
      </c>
      <c r="W18" s="693">
        <f>J18</f>
        <v>100</v>
      </c>
      <c r="X18" s="1341"/>
      <c r="Y18" s="3712"/>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12"/>
      <c r="Q19" s="1338"/>
      <c r="R19" s="692"/>
      <c r="S19" s="693"/>
      <c r="T19" s="692"/>
      <c r="U19" s="693"/>
      <c r="V19" s="692"/>
      <c r="W19" s="693"/>
      <c r="X19" s="1341"/>
      <c r="Y19" s="3712"/>
      <c r="Z19" s="1342"/>
      <c r="AA19" s="1339">
        <v>1</v>
      </c>
      <c r="AB19" s="1339">
        <v>1</v>
      </c>
      <c r="AC19" s="1339">
        <v>1</v>
      </c>
    </row>
    <row r="20" spans="1:29" ht="85.5">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12"/>
      <c r="Q20" s="1338" t="str">
        <f>B20</f>
        <v>自然及人文环境</v>
      </c>
      <c r="R20" s="692" t="s">
        <v>14</v>
      </c>
      <c r="S20" s="693">
        <f>F20</f>
        <v>100</v>
      </c>
      <c r="T20" s="692" t="s">
        <v>14</v>
      </c>
      <c r="U20" s="693">
        <f>H20</f>
        <v>100</v>
      </c>
      <c r="V20" s="692" t="s">
        <v>14</v>
      </c>
      <c r="W20" s="693">
        <f>J20</f>
        <v>100</v>
      </c>
      <c r="X20" s="1341"/>
      <c r="Y20" s="3712"/>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12"/>
      <c r="Q21" s="1338"/>
      <c r="R21" s="692"/>
      <c r="S21" s="693"/>
      <c r="T21" s="692"/>
      <c r="U21" s="693"/>
      <c r="V21" s="692"/>
      <c r="W21" s="693"/>
      <c r="X21" s="1341"/>
      <c r="Y21" s="3712"/>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12"/>
      <c r="Q22" s="1338" t="str">
        <f>B22</f>
        <v>楼层</v>
      </c>
      <c r="R22" s="692" t="s">
        <v>14</v>
      </c>
      <c r="S22" s="693">
        <f>F22</f>
        <v>100</v>
      </c>
      <c r="T22" s="692" t="s">
        <v>14</v>
      </c>
      <c r="U22" s="693">
        <f>H22</f>
        <v>100</v>
      </c>
      <c r="V22" s="692" t="s">
        <v>14</v>
      </c>
      <c r="W22" s="693">
        <f>J22</f>
        <v>100</v>
      </c>
      <c r="X22" s="1341"/>
      <c r="Y22" s="3712"/>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12"/>
      <c r="Q23" s="1338">
        <f>B23</f>
        <v>111</v>
      </c>
      <c r="R23" s="692" t="s">
        <v>14</v>
      </c>
      <c r="S23" s="693">
        <f>F23</f>
        <v>100</v>
      </c>
      <c r="T23" s="692" t="s">
        <v>14</v>
      </c>
      <c r="U23" s="693">
        <f>H23</f>
        <v>100</v>
      </c>
      <c r="V23" s="692" t="s">
        <v>14</v>
      </c>
      <c r="W23" s="693">
        <f>J23</f>
        <v>100</v>
      </c>
      <c r="X23" s="1341"/>
      <c r="Y23" s="3712"/>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12"/>
      <c r="Q24" s="1338">
        <f t="shared" ref="Q24:Q36" si="11">B24</f>
        <v>111</v>
      </c>
      <c r="R24" s="692" t="s">
        <v>14</v>
      </c>
      <c r="S24" s="693">
        <f>F24</f>
        <v>100</v>
      </c>
      <c r="T24" s="692" t="s">
        <v>14</v>
      </c>
      <c r="U24" s="693">
        <f>H24</f>
        <v>100</v>
      </c>
      <c r="V24" s="692" t="s">
        <v>14</v>
      </c>
      <c r="W24" s="693">
        <f>J24</f>
        <v>100</v>
      </c>
      <c r="X24" s="1341"/>
      <c r="Y24" s="3712"/>
      <c r="Z24" s="1342">
        <f>Q24</f>
        <v>111</v>
      </c>
      <c r="AA24" s="1339">
        <f t="shared" si="3"/>
        <v>1</v>
      </c>
      <c r="AB24" s="1339">
        <f t="shared" si="4"/>
        <v>1</v>
      </c>
      <c r="AC24" s="1339">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12"/>
      <c r="Q25" s="1329">
        <f t="shared" si="11"/>
        <v>111</v>
      </c>
      <c r="R25" s="688" t="s">
        <v>14</v>
      </c>
      <c r="S25" s="689">
        <f>F25</f>
        <v>100</v>
      </c>
      <c r="T25" s="688" t="s">
        <v>14</v>
      </c>
      <c r="U25" s="689">
        <f>H25</f>
        <v>100</v>
      </c>
      <c r="V25" s="688" t="s">
        <v>14</v>
      </c>
      <c r="W25" s="689">
        <f>J25</f>
        <v>100</v>
      </c>
      <c r="X25" s="690"/>
      <c r="Y25" s="3712"/>
      <c r="Z25" s="52">
        <f>Q25</f>
        <v>111</v>
      </c>
      <c r="AA25" s="1339">
        <f>D25/F25</f>
        <v>1</v>
      </c>
      <c r="AB25" s="1339">
        <f>D25/H25</f>
        <v>1</v>
      </c>
      <c r="AC25" s="1339">
        <f>D25/J25</f>
        <v>1</v>
      </c>
    </row>
    <row r="26" spans="1:29" ht="28.5">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13"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14"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14"/>
      <c r="Q27" s="694" t="str">
        <f t="shared" si="11"/>
        <v>项目停车位配比</v>
      </c>
      <c r="R27" s="695" t="s">
        <v>14</v>
      </c>
      <c r="S27" s="696">
        <f t="shared" si="12"/>
        <v>100</v>
      </c>
      <c r="T27" s="695" t="s">
        <v>14</v>
      </c>
      <c r="U27" s="696">
        <f t="shared" si="13"/>
        <v>100</v>
      </c>
      <c r="V27" s="695" t="s">
        <v>14</v>
      </c>
      <c r="W27" s="696">
        <f t="shared" si="14"/>
        <v>100</v>
      </c>
      <c r="X27" s="697"/>
      <c r="Y27" s="3714"/>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14"/>
      <c r="Q28" s="1338" t="str">
        <f t="shared" si="11"/>
        <v>公共部分装修</v>
      </c>
      <c r="R28" s="692" t="s">
        <v>14</v>
      </c>
      <c r="S28" s="693">
        <f t="shared" si="12"/>
        <v>100</v>
      </c>
      <c r="T28" s="692" t="s">
        <v>14</v>
      </c>
      <c r="U28" s="693">
        <f t="shared" si="13"/>
        <v>100</v>
      </c>
      <c r="V28" s="692" t="s">
        <v>14</v>
      </c>
      <c r="W28" s="693">
        <f t="shared" si="14"/>
        <v>100</v>
      </c>
      <c r="X28" s="1341"/>
      <c r="Y28" s="3714"/>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14"/>
      <c r="Q29" s="1338" t="str">
        <f t="shared" si="11"/>
        <v>成新率</v>
      </c>
      <c r="R29" s="692" t="s">
        <v>14</v>
      </c>
      <c r="S29" s="693" t="e">
        <f t="shared" si="12"/>
        <v>#N/A</v>
      </c>
      <c r="T29" s="692" t="s">
        <v>14</v>
      </c>
      <c r="U29" s="693" t="e">
        <f t="shared" si="13"/>
        <v>#N/A</v>
      </c>
      <c r="V29" s="692" t="s">
        <v>14</v>
      </c>
      <c r="W29" s="693" t="e">
        <f t="shared" si="14"/>
        <v>#N/A</v>
      </c>
      <c r="X29" s="1341"/>
      <c r="Y29" s="3714"/>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14"/>
      <c r="Q30" s="1338" t="str">
        <f t="shared" si="11"/>
        <v>物业等级</v>
      </c>
      <c r="R30" s="692" t="s">
        <v>14</v>
      </c>
      <c r="S30" s="693">
        <f t="shared" si="12"/>
        <v>100</v>
      </c>
      <c r="T30" s="692" t="s">
        <v>14</v>
      </c>
      <c r="U30" s="693">
        <f t="shared" si="13"/>
        <v>100</v>
      </c>
      <c r="V30" s="692" t="s">
        <v>14</v>
      </c>
      <c r="W30" s="693">
        <f t="shared" si="14"/>
        <v>100</v>
      </c>
      <c r="X30" s="1341"/>
      <c r="Y30" s="3714"/>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14"/>
      <c r="Q31" s="1329" t="str">
        <f t="shared" si="11"/>
        <v>停车位面积</v>
      </c>
      <c r="R31" s="688" t="s">
        <v>14</v>
      </c>
      <c r="S31" s="689" t="e">
        <f t="shared" si="12"/>
        <v>#N/A</v>
      </c>
      <c r="T31" s="688" t="s">
        <v>14</v>
      </c>
      <c r="U31" s="689" t="e">
        <f t="shared" si="13"/>
        <v>#N/A</v>
      </c>
      <c r="V31" s="688" t="s">
        <v>14</v>
      </c>
      <c r="W31" s="689" t="e">
        <f t="shared" si="14"/>
        <v>#N/A</v>
      </c>
      <c r="X31" s="690"/>
      <c r="Y31" s="3714"/>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14" t="s">
        <v>1696</v>
      </c>
      <c r="Q32" s="1338" t="str">
        <f t="shared" si="11"/>
        <v>车位类型</v>
      </c>
      <c r="R32" s="692" t="s">
        <v>14</v>
      </c>
      <c r="S32" s="693">
        <f t="shared" si="12"/>
        <v>100</v>
      </c>
      <c r="T32" s="692" t="s">
        <v>14</v>
      </c>
      <c r="U32" s="693">
        <f t="shared" si="13"/>
        <v>100</v>
      </c>
      <c r="V32" s="692" t="s">
        <v>14</v>
      </c>
      <c r="W32" s="693">
        <f t="shared" si="14"/>
        <v>100</v>
      </c>
      <c r="X32" s="1341"/>
      <c r="Y32" s="3714"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14"/>
      <c r="Q33" s="1338" t="str">
        <f t="shared" si="11"/>
        <v>是否直接入户</v>
      </c>
      <c r="R33" s="692" t="s">
        <v>14</v>
      </c>
      <c r="S33" s="693">
        <f t="shared" si="12"/>
        <v>100</v>
      </c>
      <c r="T33" s="692" t="s">
        <v>14</v>
      </c>
      <c r="U33" s="693">
        <f t="shared" si="13"/>
        <v>100</v>
      </c>
      <c r="V33" s="692" t="s">
        <v>14</v>
      </c>
      <c r="W33" s="693">
        <f t="shared" si="14"/>
        <v>100</v>
      </c>
      <c r="X33" s="1341"/>
      <c r="Y33" s="3714"/>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14"/>
      <c r="Q34" s="1338">
        <f t="shared" si="11"/>
        <v>111</v>
      </c>
      <c r="R34" s="692" t="s">
        <v>14</v>
      </c>
      <c r="S34" s="693">
        <f t="shared" si="12"/>
        <v>100</v>
      </c>
      <c r="T34" s="692" t="s">
        <v>14</v>
      </c>
      <c r="U34" s="693">
        <f t="shared" si="13"/>
        <v>100</v>
      </c>
      <c r="V34" s="692" t="s">
        <v>14</v>
      </c>
      <c r="W34" s="693">
        <f t="shared" si="14"/>
        <v>100</v>
      </c>
      <c r="X34" s="1341"/>
      <c r="Y34" s="3714"/>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14"/>
      <c r="Q35" s="694">
        <f t="shared" si="11"/>
        <v>111</v>
      </c>
      <c r="R35" s="695" t="s">
        <v>14</v>
      </c>
      <c r="S35" s="696">
        <f t="shared" si="12"/>
        <v>100</v>
      </c>
      <c r="T35" s="695" t="s">
        <v>14</v>
      </c>
      <c r="U35" s="696">
        <f t="shared" si="13"/>
        <v>100</v>
      </c>
      <c r="V35" s="695" t="s">
        <v>14</v>
      </c>
      <c r="W35" s="696">
        <f t="shared" si="14"/>
        <v>100</v>
      </c>
      <c r="X35" s="697"/>
      <c r="Y35" s="3714"/>
      <c r="Z35" s="698">
        <f t="shared" si="15"/>
        <v>111</v>
      </c>
      <c r="AA35" s="1339">
        <f t="shared" si="3"/>
        <v>1</v>
      </c>
      <c r="AB35" s="1339">
        <f t="shared" si="4"/>
        <v>1</v>
      </c>
      <c r="AC35" s="1339">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14"/>
      <c r="Q36" s="1338">
        <f t="shared" si="11"/>
        <v>111</v>
      </c>
      <c r="R36" s="692" t="s">
        <v>14</v>
      </c>
      <c r="S36" s="693">
        <f t="shared" si="12"/>
        <v>100</v>
      </c>
      <c r="T36" s="692" t="s">
        <v>14</v>
      </c>
      <c r="U36" s="693">
        <f t="shared" si="13"/>
        <v>100</v>
      </c>
      <c r="V36" s="692" t="s">
        <v>14</v>
      </c>
      <c r="W36" s="693">
        <f t="shared" si="14"/>
        <v>100</v>
      </c>
      <c r="X36" s="1341"/>
      <c r="Y36" s="3714"/>
      <c r="Z36" s="1342">
        <f t="shared" si="15"/>
        <v>111</v>
      </c>
      <c r="AA36" s="1339">
        <f t="shared" si="3"/>
        <v>1</v>
      </c>
      <c r="AB36" s="1339">
        <f t="shared" si="4"/>
        <v>1</v>
      </c>
      <c r="AC36" s="1339">
        <f t="shared" si="5"/>
        <v>1</v>
      </c>
    </row>
    <row r="37" spans="1:29" ht="15">
      <c r="A37" s="420" t="s">
        <v>1844</v>
      </c>
      <c r="B37" s="1959" t="s">
        <v>3347</v>
      </c>
      <c r="C37" s="1141" t="s">
        <v>0</v>
      </c>
      <c r="D37" s="1142"/>
      <c r="E37" s="1143"/>
      <c r="F37" s="1144"/>
      <c r="G37" s="1145"/>
      <c r="H37" s="1146"/>
      <c r="I37" s="1143"/>
      <c r="J37" s="1146"/>
      <c r="K37" s="558"/>
      <c r="L37" s="2704"/>
      <c r="M37" s="2705"/>
      <c r="N37" s="2696"/>
      <c r="O37" s="2705"/>
      <c r="P37" s="3710" t="str">
        <f>A37</f>
        <v>成交单价</v>
      </c>
      <c r="Q37" s="3710"/>
      <c r="R37" s="3775">
        <f>E37</f>
        <v>0</v>
      </c>
      <c r="S37" s="3775"/>
      <c r="T37" s="3775">
        <f>G37</f>
        <v>0</v>
      </c>
      <c r="U37" s="3775"/>
      <c r="V37" s="3775">
        <f>I37</f>
        <v>0</v>
      </c>
      <c r="W37" s="3775"/>
      <c r="X37" s="677"/>
      <c r="Y37" s="699"/>
      <c r="Z37" s="677"/>
      <c r="AA37" s="677"/>
      <c r="AB37" s="677"/>
      <c r="AC37" s="677"/>
    </row>
    <row r="38" spans="1:29" ht="15.7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10" t="str">
        <f>A38</f>
        <v>比较价值（元/平方米）</v>
      </c>
      <c r="Q38" s="3710"/>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677"/>
      <c r="Y38" s="677"/>
      <c r="Z38" s="677"/>
      <c r="AA38" s="677"/>
      <c r="AB38" s="677"/>
      <c r="AC38" s="677"/>
    </row>
    <row r="39" spans="1:29" ht="15.75" thickBot="1">
      <c r="A39" s="431" t="s">
        <v>1846</v>
      </c>
      <c r="B39" s="432"/>
      <c r="C39" s="1150" t="e">
        <f>R39</f>
        <v>#DIV/0!</v>
      </c>
      <c r="D39" s="1150"/>
      <c r="E39" s="1150"/>
      <c r="F39" s="1150"/>
      <c r="G39" s="1150"/>
      <c r="H39" s="1150"/>
      <c r="I39" s="1150"/>
      <c r="J39" s="1150"/>
      <c r="K39" s="559"/>
      <c r="L39" s="2704"/>
      <c r="M39" s="2705"/>
      <c r="N39" s="2705"/>
      <c r="O39" s="2705"/>
      <c r="P39" s="3704" t="str">
        <f>A39</f>
        <v>估价对象XX用房的比较价值（楼面单价，元/平方米）</v>
      </c>
      <c r="Q39" s="3705"/>
      <c r="R39" s="3797" t="e">
        <f>IF(F1="售价",ROUND(IF(D38="简单平均",AVERAGE(R38:W38),R38*F38+T38*H38+V38*J38),0),ROUND(IF(D38="简单平均",AVERAGE(R38:V38),R38*F38+T38*H38+V38*J38),1))</f>
        <v>#DIV/0!</v>
      </c>
      <c r="S39" s="3797"/>
      <c r="T39" s="3797"/>
      <c r="U39" s="3797"/>
      <c r="V39" s="3797"/>
      <c r="W39" s="3797"/>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1.75"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5">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ht="15">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7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5">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5.75"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5.75"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7.75"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5.75"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5.75"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5.75"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5.75"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5.75"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5.75"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5.75"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7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7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7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7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5.75"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5.75"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5.75"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5.75"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5.75"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5.75"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7.75"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7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5.75"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5"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5.75"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5"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5.75"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5"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5"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29" ht="15">
      <c r="A5" s="348"/>
      <c r="B5" s="349"/>
      <c r="C5" s="3736" t="s">
        <v>1673</v>
      </c>
      <c r="D5" s="3737"/>
      <c r="E5" s="3743" t="s">
        <v>1674</v>
      </c>
      <c r="F5" s="3744"/>
      <c r="G5" s="3736" t="s">
        <v>1675</v>
      </c>
      <c r="H5" s="3737"/>
      <c r="I5" s="3736" t="s">
        <v>1676</v>
      </c>
      <c r="J5" s="3737"/>
      <c r="K5" s="549"/>
      <c r="L5" s="2695"/>
      <c r="M5" s="2696"/>
      <c r="N5" s="2696"/>
      <c r="O5" s="2696"/>
      <c r="P5" s="3724"/>
      <c r="Q5" s="3725"/>
      <c r="R5" s="3730"/>
      <c r="S5" s="3731"/>
      <c r="T5" s="3730"/>
      <c r="U5" s="3731"/>
      <c r="V5" s="3715"/>
      <c r="W5" s="3715"/>
      <c r="X5" s="1341"/>
      <c r="Y5" s="3730"/>
      <c r="Z5" s="3731"/>
      <c r="AA5" s="3717"/>
      <c r="AB5" s="3717"/>
      <c r="AC5" s="3717"/>
    </row>
    <row r="6" spans="1:29" ht="15.75" thickBot="1">
      <c r="A6" s="350"/>
      <c r="B6" s="351"/>
      <c r="C6" s="3734" t="s">
        <v>1677</v>
      </c>
      <c r="D6" s="3735"/>
      <c r="E6" s="3741" t="s">
        <v>1677</v>
      </c>
      <c r="F6" s="3742"/>
      <c r="G6" s="3734" t="s">
        <v>1677</v>
      </c>
      <c r="H6" s="3735"/>
      <c r="I6" s="3734" t="s">
        <v>1677</v>
      </c>
      <c r="J6" s="3735"/>
      <c r="K6" s="549" t="s">
        <v>1678</v>
      </c>
      <c r="L6" s="2695"/>
      <c r="M6" s="2696"/>
      <c r="N6" s="2696"/>
      <c r="O6" s="2696"/>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38" t="s">
        <v>1680</v>
      </c>
      <c r="Q7" s="3740"/>
      <c r="R7" s="688" t="s">
        <v>14</v>
      </c>
      <c r="S7" s="689">
        <f t="shared" ref="S7:S14" si="0">F7</f>
        <v>0</v>
      </c>
      <c r="T7" s="688" t="s">
        <v>14</v>
      </c>
      <c r="U7" s="689">
        <f t="shared" ref="U7:U14" si="1">H7</f>
        <v>0</v>
      </c>
      <c r="V7" s="688" t="s">
        <v>14</v>
      </c>
      <c r="W7" s="689">
        <f t="shared" ref="W7:W14" si="2">J7</f>
        <v>0</v>
      </c>
      <c r="X7" s="690"/>
      <c r="Y7" s="3738" t="s">
        <v>1680</v>
      </c>
      <c r="Z7" s="3739"/>
      <c r="AA7" s="691" t="e">
        <f>D7/F7</f>
        <v>#DIV/0!</v>
      </c>
      <c r="AB7" s="691" t="e">
        <f>D7/H7</f>
        <v>#DIV/0!</v>
      </c>
      <c r="AC7" s="691" t="e">
        <f>D7/J7</f>
        <v>#DIV/0!</v>
      </c>
    </row>
    <row r="8" spans="1:29" s="105"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38" t="s">
        <v>1683</v>
      </c>
      <c r="Q8" s="3739"/>
      <c r="R8" s="688" t="s">
        <v>14</v>
      </c>
      <c r="S8" s="689">
        <f t="shared" si="0"/>
        <v>100</v>
      </c>
      <c r="T8" s="688" t="s">
        <v>14</v>
      </c>
      <c r="U8" s="689">
        <f t="shared" si="1"/>
        <v>100</v>
      </c>
      <c r="V8" s="688" t="s">
        <v>14</v>
      </c>
      <c r="W8" s="689">
        <f t="shared" si="2"/>
        <v>100</v>
      </c>
      <c r="X8" s="690"/>
      <c r="Y8" s="3738" t="s">
        <v>1683</v>
      </c>
      <c r="Z8" s="3739"/>
      <c r="AA8" s="691">
        <f t="shared" ref="AA8:AA34" si="3">D8/F8</f>
        <v>1</v>
      </c>
      <c r="AB8" s="691">
        <f t="shared" ref="AB8:AB34" si="4">D8/H8</f>
        <v>1</v>
      </c>
      <c r="AC8" s="691">
        <f t="shared" ref="AC8:AC34" si="5">D8/J8</f>
        <v>1</v>
      </c>
    </row>
    <row r="9" spans="1:29" s="105" customFormat="1">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10" t="s">
        <v>1686</v>
      </c>
      <c r="Q9" s="1329" t="str">
        <f t="shared" ref="Q9:Q14" si="6">B9</f>
        <v>用途</v>
      </c>
      <c r="R9" s="688" t="s">
        <v>14</v>
      </c>
      <c r="S9" s="689">
        <f t="shared" si="0"/>
        <v>100</v>
      </c>
      <c r="T9" s="688" t="s">
        <v>14</v>
      </c>
      <c r="U9" s="689">
        <f t="shared" si="1"/>
        <v>100</v>
      </c>
      <c r="V9" s="688" t="s">
        <v>14</v>
      </c>
      <c r="W9" s="689">
        <f t="shared" si="2"/>
        <v>100</v>
      </c>
      <c r="X9" s="690"/>
      <c r="Y9" s="3610" t="s">
        <v>1687</v>
      </c>
      <c r="Z9" s="52" t="str">
        <f t="shared" ref="Z9:Z14" si="7">Q9</f>
        <v>用途</v>
      </c>
      <c r="AA9" s="691">
        <f t="shared" si="3"/>
        <v>1</v>
      </c>
      <c r="AB9" s="691">
        <f t="shared" si="4"/>
        <v>1</v>
      </c>
      <c r="AC9" s="691">
        <f t="shared" si="5"/>
        <v>1</v>
      </c>
    </row>
    <row r="10" spans="1:29" s="368" customFormat="1" ht="27">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10"/>
      <c r="Q10" s="1329" t="str">
        <f t="shared" si="6"/>
        <v>土地使用年限（年）</v>
      </c>
      <c r="R10" s="688" t="s">
        <v>14</v>
      </c>
      <c r="S10" s="689">
        <f t="shared" si="0"/>
        <v>100</v>
      </c>
      <c r="T10" s="688" t="s">
        <v>14</v>
      </c>
      <c r="U10" s="689">
        <f t="shared" si="1"/>
        <v>100</v>
      </c>
      <c r="V10" s="688" t="s">
        <v>14</v>
      </c>
      <c r="W10" s="689">
        <f t="shared" si="2"/>
        <v>100</v>
      </c>
      <c r="X10" s="690"/>
      <c r="Y10" s="3610"/>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10"/>
      <c r="Q11" s="1329">
        <f t="shared" si="6"/>
        <v>111</v>
      </c>
      <c r="R11" s="688" t="s">
        <v>14</v>
      </c>
      <c r="S11" s="689">
        <f t="shared" si="0"/>
        <v>100</v>
      </c>
      <c r="T11" s="688" t="s">
        <v>14</v>
      </c>
      <c r="U11" s="689">
        <f t="shared" si="1"/>
        <v>100</v>
      </c>
      <c r="V11" s="688" t="s">
        <v>14</v>
      </c>
      <c r="W11" s="689">
        <f t="shared" si="2"/>
        <v>100</v>
      </c>
      <c r="X11" s="690"/>
      <c r="Y11" s="3610"/>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10"/>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75"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42.5">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11" t="s">
        <v>1691</v>
      </c>
      <c r="Q14" s="1338" t="str">
        <f t="shared" si="6"/>
        <v>交通便捷度</v>
      </c>
      <c r="R14" s="692" t="s">
        <v>14</v>
      </c>
      <c r="S14" s="693">
        <f t="shared" si="0"/>
        <v>100</v>
      </c>
      <c r="T14" s="692" t="s">
        <v>14</v>
      </c>
      <c r="U14" s="693">
        <f t="shared" si="1"/>
        <v>100</v>
      </c>
      <c r="V14" s="692" t="s">
        <v>14</v>
      </c>
      <c r="W14" s="693">
        <f t="shared" si="2"/>
        <v>100</v>
      </c>
      <c r="X14" s="1341"/>
      <c r="Y14" s="3711"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12"/>
      <c r="Q15" s="1338"/>
      <c r="R15" s="692"/>
      <c r="S15" s="693"/>
      <c r="T15" s="692"/>
      <c r="U15" s="693"/>
      <c r="V15" s="692"/>
      <c r="W15" s="693"/>
      <c r="X15" s="1341"/>
      <c r="Y15" s="3712"/>
      <c r="Z15" s="1342"/>
      <c r="AA15" s="1339">
        <v>1</v>
      </c>
      <c r="AB15" s="1339">
        <v>1</v>
      </c>
      <c r="AC15" s="1339">
        <v>1</v>
      </c>
    </row>
    <row r="16" spans="1:29" ht="71.25">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12"/>
      <c r="Q16" s="1338" t="str">
        <f>B16</f>
        <v>公共配套设施</v>
      </c>
      <c r="R16" s="692" t="s">
        <v>14</v>
      </c>
      <c r="S16" s="693">
        <f>F16</f>
        <v>100</v>
      </c>
      <c r="T16" s="692" t="s">
        <v>14</v>
      </c>
      <c r="U16" s="693">
        <f>H16</f>
        <v>100</v>
      </c>
      <c r="V16" s="692" t="s">
        <v>14</v>
      </c>
      <c r="W16" s="693">
        <f>J16</f>
        <v>100</v>
      </c>
      <c r="X16" s="1341"/>
      <c r="Y16" s="3712"/>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12"/>
      <c r="Q17" s="1338"/>
      <c r="R17" s="692"/>
      <c r="S17" s="693"/>
      <c r="T17" s="692"/>
      <c r="U17" s="693"/>
      <c r="V17" s="692"/>
      <c r="W17" s="693"/>
      <c r="X17" s="1341"/>
      <c r="Y17" s="3712"/>
      <c r="Z17" s="1342"/>
      <c r="AA17" s="1339">
        <v>1</v>
      </c>
      <c r="AB17" s="1339">
        <v>1</v>
      </c>
      <c r="AC17" s="1339">
        <v>1</v>
      </c>
    </row>
    <row r="18" spans="1:29" ht="42.75">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12"/>
      <c r="Q18" s="1338" t="str">
        <f>B18</f>
        <v>基础设施水平</v>
      </c>
      <c r="R18" s="692" t="s">
        <v>14</v>
      </c>
      <c r="S18" s="693">
        <f>F18</f>
        <v>100</v>
      </c>
      <c r="T18" s="692" t="s">
        <v>14</v>
      </c>
      <c r="U18" s="693">
        <f>H18</f>
        <v>100</v>
      </c>
      <c r="V18" s="692" t="s">
        <v>14</v>
      </c>
      <c r="W18" s="693">
        <f>J18</f>
        <v>100</v>
      </c>
      <c r="X18" s="1341"/>
      <c r="Y18" s="3712"/>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12"/>
      <c r="Q19" s="1338"/>
      <c r="R19" s="692"/>
      <c r="S19" s="693"/>
      <c r="T19" s="692"/>
      <c r="U19" s="693"/>
      <c r="V19" s="692"/>
      <c r="W19" s="693"/>
      <c r="X19" s="1341"/>
      <c r="Y19" s="3712"/>
      <c r="Z19" s="1342"/>
      <c r="AA19" s="1339">
        <v>1</v>
      </c>
      <c r="AB19" s="1339">
        <v>1</v>
      </c>
      <c r="AC19" s="1339">
        <v>1</v>
      </c>
    </row>
    <row r="20" spans="1:29" ht="85.5">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12"/>
      <c r="Q20" s="1338" t="str">
        <f>B20</f>
        <v>自然及人文环境</v>
      </c>
      <c r="R20" s="692" t="s">
        <v>14</v>
      </c>
      <c r="S20" s="693">
        <f>F20</f>
        <v>100</v>
      </c>
      <c r="T20" s="692" t="s">
        <v>14</v>
      </c>
      <c r="U20" s="693">
        <f>H20</f>
        <v>100</v>
      </c>
      <c r="V20" s="692" t="s">
        <v>14</v>
      </c>
      <c r="W20" s="693">
        <f>J20</f>
        <v>100</v>
      </c>
      <c r="X20" s="1341"/>
      <c r="Y20" s="3712"/>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12"/>
      <c r="Q21" s="1338"/>
      <c r="R21" s="692"/>
      <c r="S21" s="693"/>
      <c r="T21" s="692"/>
      <c r="U21" s="693"/>
      <c r="V21" s="692"/>
      <c r="W21" s="693"/>
      <c r="X21" s="1341"/>
      <c r="Y21" s="3712"/>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12"/>
      <c r="Q22" s="1338" t="str">
        <f>B22</f>
        <v>楼层</v>
      </c>
      <c r="R22" s="692" t="s">
        <v>14</v>
      </c>
      <c r="S22" s="693">
        <f>F22</f>
        <v>100</v>
      </c>
      <c r="T22" s="692" t="s">
        <v>14</v>
      </c>
      <c r="U22" s="693">
        <f>H22</f>
        <v>100</v>
      </c>
      <c r="V22" s="692" t="s">
        <v>14</v>
      </c>
      <c r="W22" s="693">
        <f>J22</f>
        <v>100</v>
      </c>
      <c r="X22" s="1341"/>
      <c r="Y22" s="3712"/>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12"/>
      <c r="Q23" s="1338">
        <f>B23</f>
        <v>111</v>
      </c>
      <c r="R23" s="692" t="s">
        <v>14</v>
      </c>
      <c r="S23" s="693">
        <f>F23</f>
        <v>100</v>
      </c>
      <c r="T23" s="692" t="s">
        <v>14</v>
      </c>
      <c r="U23" s="693">
        <f>H23</f>
        <v>100</v>
      </c>
      <c r="V23" s="692" t="s">
        <v>14</v>
      </c>
      <c r="W23" s="693">
        <f>J23</f>
        <v>100</v>
      </c>
      <c r="X23" s="1341"/>
      <c r="Y23" s="3712"/>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12"/>
      <c r="Q24" s="1338">
        <f t="shared" ref="Q24:Q34" si="11">B24</f>
        <v>111</v>
      </c>
      <c r="R24" s="692" t="s">
        <v>14</v>
      </c>
      <c r="S24" s="693">
        <f>F24</f>
        <v>100</v>
      </c>
      <c r="T24" s="692" t="s">
        <v>14</v>
      </c>
      <c r="U24" s="693">
        <f>H24</f>
        <v>100</v>
      </c>
      <c r="V24" s="692" t="s">
        <v>14</v>
      </c>
      <c r="W24" s="693">
        <f>J24</f>
        <v>100</v>
      </c>
      <c r="X24" s="1341"/>
      <c r="Y24" s="3712"/>
      <c r="Z24" s="1342">
        <f>Q24</f>
        <v>111</v>
      </c>
      <c r="AA24" s="1339">
        <f t="shared" si="3"/>
        <v>1</v>
      </c>
      <c r="AB24" s="1339">
        <f t="shared" si="4"/>
        <v>1</v>
      </c>
      <c r="AC24" s="1339">
        <f t="shared" si="5"/>
        <v>1</v>
      </c>
    </row>
    <row r="25" spans="1:29" s="105" customFormat="1" ht="15.75"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12"/>
      <c r="Q25" s="1329">
        <f t="shared" si="11"/>
        <v>111</v>
      </c>
      <c r="R25" s="688" t="s">
        <v>14</v>
      </c>
      <c r="S25" s="689">
        <f>F25</f>
        <v>100</v>
      </c>
      <c r="T25" s="688" t="s">
        <v>14</v>
      </c>
      <c r="U25" s="689">
        <f>H25</f>
        <v>100</v>
      </c>
      <c r="V25" s="688" t="s">
        <v>14</v>
      </c>
      <c r="W25" s="689">
        <f>J25</f>
        <v>100</v>
      </c>
      <c r="X25" s="690"/>
      <c r="Y25" s="3712"/>
      <c r="Z25" s="52">
        <f>Q25</f>
        <v>111</v>
      </c>
      <c r="AA25" s="1339">
        <f>D25/F25</f>
        <v>1</v>
      </c>
      <c r="AB25" s="1339">
        <f>D25/H25</f>
        <v>1</v>
      </c>
      <c r="AC25" s="1339">
        <f>D25/J25</f>
        <v>1</v>
      </c>
    </row>
    <row r="26" spans="1:29" ht="28.5">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13"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14"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14"/>
      <c r="Q27" s="694" t="str">
        <f t="shared" si="11"/>
        <v>成新率</v>
      </c>
      <c r="R27" s="695" t="s">
        <v>14</v>
      </c>
      <c r="S27" s="696" t="e">
        <f t="shared" si="12"/>
        <v>#N/A</v>
      </c>
      <c r="T27" s="695" t="s">
        <v>14</v>
      </c>
      <c r="U27" s="696" t="e">
        <f t="shared" si="13"/>
        <v>#N/A</v>
      </c>
      <c r="V27" s="695" t="s">
        <v>14</v>
      </c>
      <c r="W27" s="696" t="e">
        <f t="shared" si="14"/>
        <v>#N/A</v>
      </c>
      <c r="X27" s="697"/>
      <c r="Y27" s="3714"/>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14"/>
      <c r="Q28" s="1338" t="str">
        <f t="shared" si="11"/>
        <v>物业等级</v>
      </c>
      <c r="R28" s="692" t="s">
        <v>14</v>
      </c>
      <c r="S28" s="693">
        <f t="shared" si="12"/>
        <v>100</v>
      </c>
      <c r="T28" s="692" t="s">
        <v>14</v>
      </c>
      <c r="U28" s="693">
        <f t="shared" si="13"/>
        <v>100</v>
      </c>
      <c r="V28" s="692" t="s">
        <v>14</v>
      </c>
      <c r="W28" s="693">
        <f t="shared" si="14"/>
        <v>100</v>
      </c>
      <c r="X28" s="1341"/>
      <c r="Y28" s="3714"/>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14"/>
      <c r="Q29" s="1338" t="str">
        <f t="shared" si="11"/>
        <v>有无电梯</v>
      </c>
      <c r="R29" s="692" t="s">
        <v>14</v>
      </c>
      <c r="S29" s="693">
        <f t="shared" si="12"/>
        <v>100</v>
      </c>
      <c r="T29" s="692" t="s">
        <v>14</v>
      </c>
      <c r="U29" s="693">
        <f t="shared" si="13"/>
        <v>100</v>
      </c>
      <c r="V29" s="692" t="s">
        <v>14</v>
      </c>
      <c r="W29" s="693">
        <f t="shared" si="14"/>
        <v>100</v>
      </c>
      <c r="X29" s="1341"/>
      <c r="Y29" s="3714"/>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14"/>
      <c r="Q30" s="1338" t="str">
        <f t="shared" si="11"/>
        <v>建筑面积</v>
      </c>
      <c r="R30" s="692" t="s">
        <v>14</v>
      </c>
      <c r="S30" s="693" t="e">
        <f t="shared" si="12"/>
        <v>#N/A</v>
      </c>
      <c r="T30" s="692" t="s">
        <v>14</v>
      </c>
      <c r="U30" s="693" t="e">
        <f t="shared" si="13"/>
        <v>#N/A</v>
      </c>
      <c r="V30" s="692" t="s">
        <v>14</v>
      </c>
      <c r="W30" s="693" t="e">
        <f t="shared" si="14"/>
        <v>#N/A</v>
      </c>
      <c r="X30" s="1341"/>
      <c r="Y30" s="3714"/>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14"/>
      <c r="Q31" s="1329" t="str">
        <f t="shared" si="11"/>
        <v>是否封闭</v>
      </c>
      <c r="R31" s="688" t="s">
        <v>14</v>
      </c>
      <c r="S31" s="689">
        <f t="shared" si="12"/>
        <v>100</v>
      </c>
      <c r="T31" s="688" t="s">
        <v>14</v>
      </c>
      <c r="U31" s="689">
        <f t="shared" si="13"/>
        <v>100</v>
      </c>
      <c r="V31" s="688" t="s">
        <v>14</v>
      </c>
      <c r="W31" s="689">
        <f t="shared" si="14"/>
        <v>100</v>
      </c>
      <c r="X31" s="690"/>
      <c r="Y31" s="3714"/>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14" t="s">
        <v>1696</v>
      </c>
      <c r="Q32" s="1338">
        <f t="shared" si="11"/>
        <v>111</v>
      </c>
      <c r="R32" s="692" t="s">
        <v>14</v>
      </c>
      <c r="S32" s="693">
        <f t="shared" si="12"/>
        <v>100</v>
      </c>
      <c r="T32" s="692" t="s">
        <v>14</v>
      </c>
      <c r="U32" s="693">
        <f t="shared" si="13"/>
        <v>100</v>
      </c>
      <c r="V32" s="692" t="s">
        <v>14</v>
      </c>
      <c r="W32" s="693">
        <f t="shared" si="14"/>
        <v>100</v>
      </c>
      <c r="X32" s="1341"/>
      <c r="Y32" s="3714"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14"/>
      <c r="Q33" s="1338">
        <f t="shared" si="11"/>
        <v>111</v>
      </c>
      <c r="R33" s="692" t="s">
        <v>14</v>
      </c>
      <c r="S33" s="693">
        <f t="shared" si="12"/>
        <v>100</v>
      </c>
      <c r="T33" s="692" t="s">
        <v>14</v>
      </c>
      <c r="U33" s="693">
        <f t="shared" si="13"/>
        <v>100</v>
      </c>
      <c r="V33" s="692" t="s">
        <v>14</v>
      </c>
      <c r="W33" s="693">
        <f t="shared" si="14"/>
        <v>100</v>
      </c>
      <c r="X33" s="1341"/>
      <c r="Y33" s="3714"/>
      <c r="Z33" s="1342">
        <f t="shared" si="15"/>
        <v>111</v>
      </c>
      <c r="AA33" s="1339">
        <f t="shared" si="3"/>
        <v>1</v>
      </c>
      <c r="AB33" s="1339">
        <f t="shared" si="4"/>
        <v>1</v>
      </c>
      <c r="AC33" s="1339">
        <f t="shared" si="5"/>
        <v>1</v>
      </c>
    </row>
    <row r="34" spans="1:30" ht="15.75"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14"/>
      <c r="Q34" s="1338">
        <f t="shared" si="11"/>
        <v>111</v>
      </c>
      <c r="R34" s="692" t="s">
        <v>14</v>
      </c>
      <c r="S34" s="693">
        <f t="shared" si="12"/>
        <v>100</v>
      </c>
      <c r="T34" s="692" t="s">
        <v>14</v>
      </c>
      <c r="U34" s="693">
        <f t="shared" si="13"/>
        <v>100</v>
      </c>
      <c r="V34" s="692" t="s">
        <v>14</v>
      </c>
      <c r="W34" s="693">
        <f t="shared" si="14"/>
        <v>100</v>
      </c>
      <c r="X34" s="1341"/>
      <c r="Y34" s="3714"/>
      <c r="Z34" s="1342">
        <f t="shared" si="15"/>
        <v>111</v>
      </c>
      <c r="AA34" s="1339">
        <f t="shared" si="3"/>
        <v>1</v>
      </c>
      <c r="AB34" s="1339">
        <f t="shared" si="4"/>
        <v>1</v>
      </c>
      <c r="AC34" s="1339">
        <f t="shared" si="5"/>
        <v>1</v>
      </c>
    </row>
    <row r="35" spans="1:30" ht="15">
      <c r="A35" s="420" t="s">
        <v>1708</v>
      </c>
      <c r="B35" s="421"/>
      <c r="C35" s="1141" t="s">
        <v>0</v>
      </c>
      <c r="D35" s="1142"/>
      <c r="E35" s="1143"/>
      <c r="F35" s="1144"/>
      <c r="G35" s="1145"/>
      <c r="H35" s="1146"/>
      <c r="I35" s="1143"/>
      <c r="J35" s="1146"/>
      <c r="K35" s="701"/>
      <c r="L35" s="2704"/>
      <c r="M35" s="2705"/>
      <c r="N35" s="2696"/>
      <c r="O35" s="2705"/>
      <c r="P35" s="3710" t="str">
        <f>A35</f>
        <v>成交单价（元/平方米）</v>
      </c>
      <c r="Q35" s="3710"/>
      <c r="R35" s="3775">
        <f>E35</f>
        <v>0</v>
      </c>
      <c r="S35" s="3775"/>
      <c r="T35" s="3775">
        <f>G35</f>
        <v>0</v>
      </c>
      <c r="U35" s="3775"/>
      <c r="V35" s="3775">
        <f>I35</f>
        <v>0</v>
      </c>
      <c r="W35" s="3775"/>
      <c r="X35" s="677"/>
      <c r="Y35" s="699"/>
      <c r="Z35" s="677"/>
      <c r="AA35" s="677"/>
      <c r="AB35" s="677"/>
      <c r="AC35" s="677"/>
    </row>
    <row r="36" spans="1:30" ht="15.7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10" t="str">
        <f>A36</f>
        <v>比较价值（元/平方米）</v>
      </c>
      <c r="Q36" s="3710"/>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677"/>
      <c r="Y36" s="677"/>
      <c r="Z36" s="677"/>
      <c r="AA36" s="677"/>
      <c r="AB36" s="677"/>
      <c r="AC36" s="677"/>
    </row>
    <row r="37" spans="1:30" ht="15.75" thickBot="1">
      <c r="A37" s="431" t="s">
        <v>1794</v>
      </c>
      <c r="B37" s="432"/>
      <c r="C37" s="1150" t="e">
        <f>R37</f>
        <v>#DIV/0!</v>
      </c>
      <c r="D37" s="1150"/>
      <c r="E37" s="1150"/>
      <c r="F37" s="1150"/>
      <c r="G37" s="1150"/>
      <c r="H37" s="1150"/>
      <c r="I37" s="1150"/>
      <c r="J37" s="1150"/>
      <c r="K37" s="702"/>
      <c r="L37" s="2704"/>
      <c r="M37" s="2705"/>
      <c r="N37" s="2705"/>
      <c r="O37" s="2705"/>
      <c r="P37" s="3704" t="str">
        <f>A37</f>
        <v>估价对象XX用房的比较价值（楼面单价，元/平方米）</v>
      </c>
      <c r="Q37" s="3705"/>
      <c r="R37" s="3797" t="e">
        <f>IF(F1="售价",ROUND(IF(D36="简单平均",AVERAGE(R36:W36),R36*F36+T36*H36+V36*J36),0),ROUND(IF(D36="简单平均",AVERAGE(R36:V36),R36*F36+T36*H36+V36*J36),1))</f>
        <v>#DIV/0!</v>
      </c>
      <c r="S37" s="3797"/>
      <c r="T37" s="3797"/>
      <c r="U37" s="3797"/>
      <c r="V37" s="3797"/>
      <c r="W37" s="3797"/>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1.75"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5">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ht="15">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7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5">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5.75"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5.75"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7.75"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5.75"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5.75"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5.75"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5.75"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5.75"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5.75"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5.75"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7.75"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7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7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7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5.75"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5.75"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5.75"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5.75"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5.75"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5.75"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5.75"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ht="15">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5.75"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5.75"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5"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5.75"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5"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5.75"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5"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5.75"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5"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49" sqref="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t="s">
        <v>3665</v>
      </c>
      <c r="D1" s="1348" t="s">
        <v>43</v>
      </c>
      <c r="E1" s="1349" t="s">
        <v>678</v>
      </c>
      <c r="F1" s="1049">
        <f ca="1">J53</f>
        <v>20.76</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1116</v>
      </c>
      <c r="C2" s="1373" t="s">
        <v>805</v>
      </c>
      <c r="D2" s="1373"/>
      <c r="E2" s="1374"/>
      <c r="F2" s="1375"/>
      <c r="G2" s="2686"/>
      <c r="H2" s="2675"/>
      <c r="I2" s="2675"/>
      <c r="J2" s="2675"/>
      <c r="K2" s="2676"/>
      <c r="L2" s="2675"/>
      <c r="M2" s="2675"/>
    </row>
    <row r="3" spans="1:37" ht="18" customHeight="1" thickBot="1">
      <c r="A3" s="1376" t="s">
        <v>806</v>
      </c>
      <c r="B3" s="1377">
        <f ca="1">IF(ISERROR(B2*10000/F43),0,ROUND(B2*10000/F43,0))</f>
        <v>1348</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180</v>
      </c>
      <c r="D5" s="1350" t="s">
        <v>693</v>
      </c>
      <c r="E5" s="1058"/>
      <c r="F5" s="1059"/>
      <c r="G5" s="1370"/>
      <c r="H5" s="289">
        <v>1</v>
      </c>
      <c r="I5" s="290" t="s">
        <v>692</v>
      </c>
      <c r="J5" s="1057">
        <f ca="1">J6+J10+J12</f>
        <v>0</v>
      </c>
      <c r="K5" s="1350" t="s">
        <v>693</v>
      </c>
      <c r="L5" s="1058"/>
      <c r="M5" s="1059"/>
    </row>
    <row r="6" spans="1:37" ht="18" customHeight="1">
      <c r="A6" s="1056" t="s">
        <v>398</v>
      </c>
      <c r="B6" s="3748" t="s">
        <v>694</v>
      </c>
      <c r="C6" s="1061">
        <f ca="1">ROUND(F6*F8*F7*(1-F9)/10000,0)</f>
        <v>180</v>
      </c>
      <c r="D6" s="145" t="s">
        <v>2109</v>
      </c>
      <c r="E6" s="292" t="s">
        <v>696</v>
      </c>
      <c r="F6" s="293">
        <f ca="1">INDIRECT("'数据-取费表'!u"&amp;$G$1)</f>
        <v>0.7</v>
      </c>
      <c r="G6" s="1370"/>
      <c r="H6" s="1056" t="s">
        <v>398</v>
      </c>
      <c r="I6" s="3748" t="s">
        <v>694</v>
      </c>
      <c r="J6" s="291">
        <f ca="1">ROUND(M6*M8*M7*(1-M9)/10000,0)</f>
        <v>0</v>
      </c>
      <c r="K6" s="145" t="s">
        <v>2108</v>
      </c>
      <c r="L6" s="292" t="s">
        <v>696</v>
      </c>
      <c r="M6" s="293">
        <f ca="1">INDIRECT("'数据-取费表'!z"&amp;$G$1)</f>
        <v>0</v>
      </c>
    </row>
    <row r="7" spans="1:37" ht="18" customHeight="1">
      <c r="A7" s="1060"/>
      <c r="B7" s="3749"/>
      <c r="C7" s="1062"/>
      <c r="D7" s="297"/>
      <c r="E7" s="1063" t="s">
        <v>697</v>
      </c>
      <c r="F7" s="293">
        <f ca="1">IF(INDIRECT("'数据-取费表'!ah"&amp;$G$1)="",INDIRECT("'数据-取费表'!k"&amp;$G$1),INDIRECT("'数据-取费表'!ah"&amp;$G$1))</f>
        <v>8275.91</v>
      </c>
      <c r="G7" s="1370"/>
      <c r="H7" s="294"/>
      <c r="I7" s="3749"/>
      <c r="J7" s="296"/>
      <c r="K7" s="297"/>
      <c r="L7" s="292" t="s">
        <v>697</v>
      </c>
      <c r="M7" s="293">
        <f ca="1">F7</f>
        <v>8275.91</v>
      </c>
    </row>
    <row r="8" spans="1:37" ht="18" customHeight="1">
      <c r="A8" s="294"/>
      <c r="B8" s="3749"/>
      <c r="C8" s="296"/>
      <c r="D8" s="297"/>
      <c r="E8" s="292" t="s">
        <v>698</v>
      </c>
      <c r="F8" s="293">
        <f ca="1">INDIRECT("'数据-取费表'!ai"&amp;$G$1)</f>
        <v>365</v>
      </c>
      <c r="G8" s="1370"/>
      <c r="H8" s="294"/>
      <c r="I8" s="3749"/>
      <c r="J8" s="296"/>
      <c r="K8" s="297"/>
      <c r="L8" s="292" t="s">
        <v>698</v>
      </c>
      <c r="M8" s="293">
        <f ca="1">INDIRECT("'数据-取费表'!ai"&amp;$G$1)</f>
        <v>365</v>
      </c>
    </row>
    <row r="9" spans="1:37" ht="18" customHeight="1">
      <c r="A9" s="294"/>
      <c r="B9" s="3750"/>
      <c r="C9" s="296"/>
      <c r="D9" s="297"/>
      <c r="E9" s="292" t="s">
        <v>699</v>
      </c>
      <c r="F9" s="302">
        <f ca="1">INDIRECT("'数据-取费表'!w"&amp;$G$1)</f>
        <v>0.15</v>
      </c>
      <c r="G9" s="1370"/>
      <c r="H9" s="294"/>
      <c r="I9" s="3750"/>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t="s">
        <v>3667</v>
      </c>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3583</v>
      </c>
      <c r="D14" s="1331" t="s">
        <v>708</v>
      </c>
      <c r="E14" s="1328"/>
      <c r="F14" s="309"/>
      <c r="G14" s="1370"/>
      <c r="H14" s="969" t="s">
        <v>398</v>
      </c>
      <c r="I14" s="292" t="s">
        <v>709</v>
      </c>
      <c r="J14" s="21">
        <f ca="1">C29</f>
        <v>5113</v>
      </c>
      <c r="K14" s="12"/>
      <c r="L14" s="794"/>
      <c r="M14" s="795"/>
    </row>
    <row r="15" spans="1:37" s="1383" customFormat="1" ht="18" customHeight="1" thickBot="1">
      <c r="A15" s="969" t="s">
        <v>399</v>
      </c>
      <c r="B15" s="292" t="s">
        <v>710</v>
      </c>
      <c r="C15" s="21">
        <f ca="1">ROUND(C14*F15,0)</f>
        <v>107</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86</v>
      </c>
      <c r="K16" s="1074" t="s">
        <v>715</v>
      </c>
      <c r="L16" s="1075"/>
      <c r="M16" s="1059"/>
    </row>
    <row r="17" spans="1:37" s="1383" customFormat="1" ht="18" customHeight="1">
      <c r="A17" s="969" t="s">
        <v>681</v>
      </c>
      <c r="B17" s="292" t="s">
        <v>716</v>
      </c>
      <c r="C17" s="21">
        <f ca="1">ROUND(F17*(F43+INDIRECT("'数据-取费表'!S"&amp;$G$1))/10000,0)</f>
        <v>166</v>
      </c>
      <c r="D17" s="292" t="s">
        <v>717</v>
      </c>
      <c r="E17" s="292" t="s">
        <v>718</v>
      </c>
      <c r="F17" s="23">
        <f>'数据-取费表'!B35</f>
        <v>200</v>
      </c>
      <c r="G17" s="1382"/>
      <c r="H17" s="969" t="s">
        <v>398</v>
      </c>
      <c r="I17" s="292" t="s">
        <v>719</v>
      </c>
      <c r="J17" s="2302">
        <f ca="1">ROUND(IF(AND(项目基本情况!B11="自然人",项目基本情况!B10="北京市"),J6*M17/(1+'数据-取费表'!C42),J18+J19+J20),2)</f>
        <v>9.41</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54</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3910</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78</v>
      </c>
      <c r="D20" s="313" t="s">
        <v>729</v>
      </c>
      <c r="E20" s="292" t="s">
        <v>712</v>
      </c>
      <c r="F20" s="312">
        <f>'数据-取费表'!B37</f>
        <v>0.02</v>
      </c>
      <c r="G20" s="1382"/>
      <c r="H20" s="969" t="s">
        <v>680</v>
      </c>
      <c r="I20" s="145" t="s">
        <v>730</v>
      </c>
      <c r="J20" s="22">
        <f ca="1">ROUND(M20*M21/10000,2)</f>
        <v>9.41</v>
      </c>
      <c r="K20" s="314" t="s">
        <v>731</v>
      </c>
      <c r="L20" s="292" t="s">
        <v>732</v>
      </c>
      <c r="M20" s="315">
        <f>'数据-取费表'!B52</f>
        <v>2</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0.02</v>
      </c>
      <c r="G21" s="1382"/>
      <c r="H21" s="316"/>
      <c r="I21" s="301"/>
      <c r="J21" s="26"/>
      <c r="K21" s="317"/>
      <c r="L21" s="292" t="s">
        <v>736</v>
      </c>
      <c r="M21" s="293">
        <f ca="1">INDIRECT("'数据-取费表'!r"&amp;$G$1)</f>
        <v>47032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76.7</v>
      </c>
      <c r="K22" s="1330" t="s">
        <v>739</v>
      </c>
      <c r="L22" s="292" t="s">
        <v>712</v>
      </c>
      <c r="M22" s="318">
        <f ca="1">INDIRECT("'数据-取费表'!Ak"&amp;$G$1)</f>
        <v>1.4999999999999999E-2</v>
      </c>
    </row>
    <row r="23" spans="1:37" s="1383" customFormat="1" ht="18" customHeight="1">
      <c r="A23" s="969" t="s">
        <v>397</v>
      </c>
      <c r="B23" s="292" t="s">
        <v>740</v>
      </c>
      <c r="C23" s="21">
        <f ca="1">IF('数据-取费表'!B22&lt;=1,ROUND(C19*F24*F23/2,0)+ROUND(C20*F24*F23/2,0),ROUND(C19*(POWER((1+F24),F23/2)-1),0)+ROUND(C20*(POWER((1+F24),F23/2)-1),0))</f>
        <v>138</v>
      </c>
      <c r="D23" s="319" t="str">
        <f>IF(F23&lt;=1,"(建造成本+管理费用)×利率×(建设周期÷2)","(建造成本+管理费用)×((1+利率)^(建设周期÷2)-1)")</f>
        <v>(建造成本+管理费用)×((1+利率)^(建设周期÷2)-1)</v>
      </c>
      <c r="E23" s="292" t="s">
        <v>741</v>
      </c>
      <c r="F23" s="315">
        <f>'数据-取费表'!B20</f>
        <v>2</v>
      </c>
      <c r="G23" s="1382"/>
      <c r="H23" s="969" t="s">
        <v>437</v>
      </c>
      <c r="I23" s="292" t="s">
        <v>742</v>
      </c>
      <c r="J23" s="21">
        <f ca="1">ROUND(J13*M23,2)</f>
        <v>0</v>
      </c>
      <c r="K23" s="1330" t="s">
        <v>743</v>
      </c>
      <c r="L23" s="292" t="s">
        <v>744</v>
      </c>
      <c r="M23" s="320">
        <f ca="1">INDIRECT("'数据-取费表'!Al"&amp;$G$1)</f>
        <v>1.5E-3</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6.9999999999999999E-4</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0.02</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-86</v>
      </c>
      <c r="K25" s="1082" t="s">
        <v>753</v>
      </c>
      <c r="L25" s="1083"/>
      <c r="M25" s="1084"/>
    </row>
    <row r="26" spans="1:37">
      <c r="A26" s="969" t="s">
        <v>397</v>
      </c>
      <c r="B26" s="292" t="s">
        <v>754</v>
      </c>
      <c r="C26" s="21">
        <f ca="1">ROUND((C19+C20)*F26,0)</f>
        <v>598</v>
      </c>
      <c r="D26" s="313" t="s">
        <v>755</v>
      </c>
      <c r="E26" s="303" t="s">
        <v>756</v>
      </c>
      <c r="F26" s="302">
        <f ca="1">INDIRECT("'数据-取费表'!q"&amp;$G$1)</f>
        <v>0.15</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3.0000000000000001E-3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5113</v>
      </c>
      <c r="D29" s="1079"/>
      <c r="E29" s="1077"/>
      <c r="F29" s="1080"/>
      <c r="G29" s="1382"/>
      <c r="H29" s="324" t="s">
        <v>396</v>
      </c>
      <c r="I29" s="325" t="s">
        <v>768</v>
      </c>
      <c r="J29" s="326">
        <f ca="1">ROUND(J26/(1+F40)^F41,0)</f>
        <v>0</v>
      </c>
      <c r="K29" s="327" t="s">
        <v>769</v>
      </c>
      <c r="L29" s="328"/>
      <c r="M29" s="329">
        <f ca="1">INDIRECT("'数据-取费表'!k"&amp;$G$1)</f>
        <v>8275.91</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120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39.409999999999997</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9.43</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20.57</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9.41</v>
      </c>
      <c r="D34" s="314" t="s">
        <v>731</v>
      </c>
      <c r="E34" s="292" t="s">
        <v>732</v>
      </c>
      <c r="F34" s="315">
        <f>'数据-取费表'!B52</f>
        <v>2</v>
      </c>
      <c r="G34" s="1370"/>
      <c r="H34" s="2677"/>
      <c r="I34" s="1384"/>
      <c r="J34" s="1385"/>
      <c r="K34" s="2682"/>
      <c r="L34" s="2683"/>
      <c r="M34" s="2683"/>
    </row>
    <row r="35" spans="1:18" ht="18" customHeight="1">
      <c r="A35" s="1090"/>
      <c r="B35" s="1088"/>
      <c r="C35" s="26"/>
      <c r="D35" s="317"/>
      <c r="E35" s="292" t="s">
        <v>736</v>
      </c>
      <c r="F35" s="293">
        <f ca="1">INDIRECT("'数据-取费表'!r"&amp;$G$1)</f>
        <v>47032</v>
      </c>
      <c r="G35" s="1370"/>
      <c r="H35" s="2677"/>
      <c r="I35" s="1384"/>
      <c r="J35" s="1385"/>
      <c r="K35" s="2681"/>
      <c r="L35" s="2680"/>
      <c r="M35" s="2680"/>
    </row>
    <row r="36" spans="1:18" ht="18" customHeight="1">
      <c r="A36" s="1089" t="s">
        <v>402</v>
      </c>
      <c r="B36" s="292" t="s">
        <v>738</v>
      </c>
      <c r="C36" s="21">
        <f ca="1">ROUND(C29*F36,2)</f>
        <v>76.7</v>
      </c>
      <c r="D36" s="1330" t="s">
        <v>771</v>
      </c>
      <c r="E36" s="292" t="s">
        <v>712</v>
      </c>
      <c r="F36" s="318">
        <f ca="1">INDIRECT("'数据-取费表'!Ak"&amp;$G$1)</f>
        <v>1.4999999999999999E-2</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1.5E-3</v>
      </c>
      <c r="G37" s="1370"/>
      <c r="H37" s="2680"/>
      <c r="I37" s="1384"/>
      <c r="J37" s="1385"/>
      <c r="K37" s="2525"/>
      <c r="L37" s="2680"/>
      <c r="M37" s="2680"/>
    </row>
    <row r="38" spans="1:18" ht="18" customHeight="1" thickBot="1">
      <c r="A38" s="1076" t="s">
        <v>684</v>
      </c>
      <c r="B38" s="1077" t="s">
        <v>728</v>
      </c>
      <c r="C38" s="1078">
        <f ca="1">ROUND(C5*F38,2)</f>
        <v>3.6</v>
      </c>
      <c r="D38" s="1079" t="s">
        <v>748</v>
      </c>
      <c r="E38" s="1077" t="s">
        <v>744</v>
      </c>
      <c r="F38" s="1073">
        <f ca="1">INDIRECT("'数据-取费表'!Am"&amp;$G$1)</f>
        <v>0.02</v>
      </c>
      <c r="G38" s="1370"/>
      <c r="H38" s="2680"/>
      <c r="I38" s="1384"/>
      <c r="J38" s="1385"/>
      <c r="K38" s="2684"/>
      <c r="L38" s="2680"/>
      <c r="M38" s="2680"/>
    </row>
    <row r="39" spans="1:18" ht="24.6" customHeight="1" thickTop="1">
      <c r="A39" s="1066" t="s">
        <v>394</v>
      </c>
      <c r="B39" s="1081" t="s">
        <v>772</v>
      </c>
      <c r="C39" s="300">
        <f ca="1">C5-C30</f>
        <v>60</v>
      </c>
      <c r="D39" s="1082" t="s">
        <v>773</v>
      </c>
      <c r="E39" s="1083"/>
      <c r="F39" s="1084"/>
      <c r="G39" s="1370"/>
      <c r="H39" s="2680"/>
      <c r="I39" s="1384"/>
      <c r="J39" s="1385"/>
      <c r="K39" s="2684"/>
      <c r="L39" s="2680"/>
      <c r="M39" s="2680"/>
    </row>
    <row r="40" spans="1:18" ht="18" customHeight="1">
      <c r="A40" s="289" t="s">
        <v>395</v>
      </c>
      <c r="B40" s="290" t="s">
        <v>774</v>
      </c>
      <c r="C40" s="291">
        <f ca="1">ROUND(C39*(1-((1+F42)/(1+F40))^F41)/(F40-F42),0)</f>
        <v>702</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20.76</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848</v>
      </c>
      <c r="D43" s="327" t="s">
        <v>777</v>
      </c>
      <c r="E43" s="328" t="s">
        <v>778</v>
      </c>
      <c r="F43" s="329">
        <f ca="1">INDIRECT("'数据-取费表'!k"&amp;$G$1)</f>
        <v>8275.91</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5" thickBot="1">
      <c r="A46" s="1390" t="s">
        <v>809</v>
      </c>
      <c r="C46" s="1391">
        <f ca="1">C68-C40</f>
        <v>-1708</v>
      </c>
      <c r="D46" s="1392" t="str">
        <f>C2</f>
        <v>万元</v>
      </c>
      <c r="E46" s="1386"/>
      <c r="F46" s="1386"/>
      <c r="I46" s="1393" t="s">
        <v>810</v>
      </c>
      <c r="J46" s="1394"/>
      <c r="K46" s="1395"/>
      <c r="L46" s="1396">
        <f ca="1">IF(M47="住宅",0,IF(L48&gt;J51,L60,J60))</f>
        <v>414</v>
      </c>
      <c r="O46" s="1397" t="s">
        <v>811</v>
      </c>
      <c r="P46" s="1398" t="s">
        <v>812</v>
      </c>
      <c r="Q46" s="1399" t="s">
        <v>813</v>
      </c>
      <c r="R46" s="1399" t="s">
        <v>814</v>
      </c>
    </row>
    <row r="47" spans="1:18" s="1370" customFormat="1" ht="13.5" thickBot="1">
      <c r="A47" s="933" t="s">
        <v>687</v>
      </c>
      <c r="B47" s="965" t="s">
        <v>688</v>
      </c>
      <c r="C47" s="1104" t="s">
        <v>689</v>
      </c>
      <c r="D47" s="965" t="s">
        <v>690</v>
      </c>
      <c r="E47" s="1045" t="s">
        <v>691</v>
      </c>
      <c r="F47" s="1046"/>
      <c r="G47" s="709"/>
      <c r="I47" s="1400" t="s">
        <v>815</v>
      </c>
      <c r="J47" s="1401" t="s">
        <v>3661</v>
      </c>
      <c r="K47" s="1402" t="s">
        <v>816</v>
      </c>
      <c r="L47" s="1403">
        <f ca="1">INDIRECT("'数据-取费表'!d"&amp;$G$1)</f>
        <v>40</v>
      </c>
      <c r="M47" s="1366" t="str">
        <f>IF(ISNUMBER(FIND("住宅",C1)),"住宅","非住宅")</f>
        <v>非住宅</v>
      </c>
      <c r="O47" s="1404" t="s">
        <v>403</v>
      </c>
      <c r="P47" s="1405" t="s">
        <v>817</v>
      </c>
      <c r="Q47" s="1406">
        <f ca="1">C40+J29</f>
        <v>702</v>
      </c>
      <c r="R47" s="1406" t="s">
        <v>818</v>
      </c>
    </row>
    <row r="48" spans="1:18" s="1370" customFormat="1" ht="28.5" thickBot="1">
      <c r="A48" s="1097" t="s">
        <v>438</v>
      </c>
      <c r="B48" s="290" t="s">
        <v>692</v>
      </c>
      <c r="C48" s="1345">
        <f ca="1">C49+C53+C55</f>
        <v>0</v>
      </c>
      <c r="D48" s="1099"/>
      <c r="E48" s="1100"/>
      <c r="F48" s="949"/>
      <c r="G48" s="709"/>
      <c r="H48" s="710"/>
      <c r="I48" s="1407" t="s">
        <v>819</v>
      </c>
      <c r="J48" s="1408" t="s">
        <v>3662</v>
      </c>
      <c r="K48" s="1409" t="s">
        <v>820</v>
      </c>
      <c r="L48" s="1410">
        <f ca="1">INDIRECT("'数据-取费表'!f"&amp;$G$1)</f>
        <v>20.76</v>
      </c>
      <c r="O48" s="1404" t="s">
        <v>404</v>
      </c>
      <c r="P48" s="1405" t="s">
        <v>821</v>
      </c>
      <c r="Q48" s="1406">
        <f ca="1">J60</f>
        <v>414</v>
      </c>
      <c r="R48" s="1406" t="s">
        <v>822</v>
      </c>
    </row>
    <row r="49" spans="1:18" s="1370" customFormat="1" ht="13.5" thickBot="1">
      <c r="A49" s="962" t="s">
        <v>439</v>
      </c>
      <c r="B49" s="1357" t="s">
        <v>779</v>
      </c>
      <c r="C49" s="1101">
        <f ca="1">ROUND(F49*F51*F50*(1-F52)/10000,0)</f>
        <v>0</v>
      </c>
      <c r="D49" s="1042" t="s">
        <v>2110</v>
      </c>
      <c r="E49" s="1358" t="s">
        <v>780</v>
      </c>
      <c r="F49" s="1047"/>
      <c r="G49" s="1411"/>
      <c r="H49" s="710"/>
      <c r="I49" s="1407" t="s">
        <v>823</v>
      </c>
      <c r="J49" s="1412">
        <v>1998</v>
      </c>
      <c r="K49" s="1409" t="s">
        <v>824</v>
      </c>
      <c r="L49" s="1413"/>
      <c r="O49" s="1414" t="s">
        <v>405</v>
      </c>
      <c r="P49" s="1405" t="s">
        <v>825</v>
      </c>
      <c r="Q49" s="1406">
        <f ca="1">C29</f>
        <v>5113</v>
      </c>
      <c r="R49" s="1406" t="s">
        <v>818</v>
      </c>
    </row>
    <row r="50" spans="1:18" s="1370" customFormat="1" ht="13.5" thickBot="1">
      <c r="A50" s="963"/>
      <c r="B50" s="966"/>
      <c r="C50" s="1105"/>
      <c r="D50" s="940"/>
      <c r="E50" s="1043" t="s">
        <v>697</v>
      </c>
      <c r="F50" s="1044">
        <f ca="1">F7</f>
        <v>8275.91</v>
      </c>
      <c r="H50" s="710"/>
      <c r="I50" s="1407" t="s">
        <v>826</v>
      </c>
      <c r="J50" s="1415">
        <f>SUMPRODUCT((I63:I65=J47)*(J62:L62=J48)*(J63:L65))</f>
        <v>60</v>
      </c>
      <c r="K50" s="1409" t="s">
        <v>827</v>
      </c>
      <c r="L50" s="1413"/>
      <c r="M50" s="1416"/>
      <c r="O50" s="1414" t="s">
        <v>406</v>
      </c>
      <c r="P50" s="1405" t="s">
        <v>828</v>
      </c>
      <c r="Q50" s="1417">
        <f ca="1">J58</f>
        <v>0.4</v>
      </c>
      <c r="R50" s="1406"/>
    </row>
    <row r="51" spans="1:18" s="1370" customFormat="1" ht="13.5" thickBot="1">
      <c r="A51" s="964"/>
      <c r="B51" s="966"/>
      <c r="C51" s="967"/>
      <c r="D51" s="940"/>
      <c r="E51" s="968" t="s">
        <v>698</v>
      </c>
      <c r="F51" s="293">
        <f ca="1">F8</f>
        <v>365</v>
      </c>
      <c r="I51" s="1418" t="s">
        <v>829</v>
      </c>
      <c r="J51" s="1419">
        <f>IF(J49="",J50,J49+J50-YEAR('数据-取费表'!B2))</f>
        <v>35</v>
      </c>
      <c r="K51" s="1420" t="s">
        <v>830</v>
      </c>
      <c r="L51" s="1421">
        <f ca="1">ROUND(-PV(INDIRECT("'数据-取费表'!h"&amp;$G$1),J51,(C39-C13*C76),0),0)</f>
        <v>982</v>
      </c>
      <c r="M51" s="1422"/>
      <c r="O51" s="1414" t="s">
        <v>407</v>
      </c>
      <c r="P51" s="1405" t="s">
        <v>831</v>
      </c>
      <c r="Q51" s="1417">
        <f>J52</f>
        <v>0.08</v>
      </c>
      <c r="R51" s="1406"/>
    </row>
    <row r="52" spans="1:18" s="1370" customFormat="1" ht="13.5" thickBot="1">
      <c r="A52" s="964"/>
      <c r="B52" s="966"/>
      <c r="C52" s="967"/>
      <c r="D52" s="940"/>
      <c r="E52" s="968" t="s">
        <v>699</v>
      </c>
      <c r="F52" s="1041"/>
      <c r="I52" s="1423" t="s">
        <v>832</v>
      </c>
      <c r="J52" s="1424">
        <v>0.08</v>
      </c>
      <c r="K52" s="1423" t="s">
        <v>833</v>
      </c>
      <c r="L52" s="1424"/>
      <c r="O52" s="1414" t="s">
        <v>408</v>
      </c>
      <c r="P52" s="1405" t="s">
        <v>834</v>
      </c>
      <c r="Q52" s="1406">
        <f ca="1">J53</f>
        <v>20.76</v>
      </c>
      <c r="R52" s="1406" t="s">
        <v>835</v>
      </c>
    </row>
    <row r="53" spans="1:18" s="1370" customFormat="1" ht="24.75"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20.76</v>
      </c>
      <c r="K53" s="3751" t="s">
        <v>837</v>
      </c>
      <c r="L53" s="3752"/>
      <c r="O53" s="1404" t="s">
        <v>409</v>
      </c>
      <c r="P53" s="1405" t="s">
        <v>838</v>
      </c>
      <c r="Q53" s="1406">
        <f ca="1">Q47+Q48</f>
        <v>1116</v>
      </c>
      <c r="R53" s="1406" t="s">
        <v>410</v>
      </c>
    </row>
    <row r="54" spans="1:18" s="1370" customFormat="1" ht="13.5"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f ca="1">ROUND(IF(J47="钢混",J57/J50,1-(1-2%)*(J50-J57)/J50),3)</f>
        <v>0.23699999999999999</v>
      </c>
      <c r="K55" s="1431" t="s">
        <v>841</v>
      </c>
      <c r="L55" s="1432"/>
      <c r="O55" s="1397" t="s">
        <v>811</v>
      </c>
      <c r="P55" s="1398" t="s">
        <v>812</v>
      </c>
      <c r="Q55" s="1399" t="s">
        <v>813</v>
      </c>
      <c r="R55" s="1399" t="s">
        <v>814</v>
      </c>
    </row>
    <row r="56" spans="1:18" s="1370" customFormat="1" ht="25.5" thickTop="1" thickBot="1">
      <c r="A56" s="944">
        <v>2</v>
      </c>
      <c r="B56" s="945" t="s">
        <v>704</v>
      </c>
      <c r="C56" s="222">
        <f ca="1">C13</f>
        <v>0</v>
      </c>
      <c r="D56" s="1433"/>
      <c r="E56" s="1434"/>
      <c r="F56" s="1426"/>
      <c r="I56" s="1435" t="s">
        <v>842</v>
      </c>
      <c r="J56" s="1436" t="s">
        <v>3663</v>
      </c>
      <c r="K56" s="1407" t="s">
        <v>843</v>
      </c>
      <c r="L56" s="1410" t="str">
        <f ca="1">IF(L48&lt;J51,"——",L48-J53)</f>
        <v>——</v>
      </c>
      <c r="O56" s="1404" t="s">
        <v>403</v>
      </c>
      <c r="P56" s="1405" t="s">
        <v>817</v>
      </c>
      <c r="Q56" s="1406">
        <f ca="1">C40+J29</f>
        <v>702</v>
      </c>
      <c r="R56" s="1406" t="s">
        <v>818</v>
      </c>
    </row>
    <row r="57" spans="1:18" s="1370" customFormat="1" ht="24.75" thickBot="1">
      <c r="A57" s="1437"/>
      <c r="B57" s="937" t="s">
        <v>767</v>
      </c>
      <c r="C57" s="228">
        <f ca="1">C29</f>
        <v>5113</v>
      </c>
      <c r="D57" s="1438"/>
      <c r="E57" s="1439"/>
      <c r="F57" s="1440"/>
      <c r="I57" s="1441" t="s">
        <v>844</v>
      </c>
      <c r="J57" s="1442">
        <f ca="1">IF(OR(M47="住宅",J51&lt;L48,J56="是"),"——",J51-L48)</f>
        <v>14.239999999999998</v>
      </c>
      <c r="K57" s="1407" t="s">
        <v>845</v>
      </c>
      <c r="L57" s="1410" t="str">
        <f ca="1">IF(L48&lt;J51,"——",IF(L55="比较法",L49,IF(L55="基准地价",L50,L51)))</f>
        <v>——</v>
      </c>
      <c r="O57" s="1404" t="s">
        <v>404</v>
      </c>
      <c r="P57" s="1405" t="s">
        <v>846</v>
      </c>
      <c r="Q57" s="1406">
        <f ca="1">L60</f>
        <v>0</v>
      </c>
      <c r="R57" s="1406" t="s">
        <v>847</v>
      </c>
    </row>
    <row r="58" spans="1:18" s="1370" customFormat="1" ht="24.75" thickBot="1">
      <c r="A58" s="305" t="s">
        <v>393</v>
      </c>
      <c r="B58" s="945" t="s">
        <v>714</v>
      </c>
      <c r="C58" s="306">
        <f ca="1">ROUND(C59+C64+C65+C66,0)</f>
        <v>86</v>
      </c>
      <c r="D58" s="947" t="s">
        <v>715</v>
      </c>
      <c r="E58" s="948"/>
      <c r="F58" s="949"/>
      <c r="I58" s="1441" t="s">
        <v>848</v>
      </c>
      <c r="J58" s="1443">
        <f ca="1">IF(J55&lt;0.4,0.4,J55)</f>
        <v>0.4</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9</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2045</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414</v>
      </c>
      <c r="K60" s="1446" t="s">
        <v>854</v>
      </c>
      <c r="L60" s="1445">
        <f ca="1">IF(OR(M47="住宅",L48&lt;J51),0,ROUND(L57*(L58/L59-1),0))</f>
        <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IF(项目基本情况!B11="自然人","——",ROUND(F62*F63/10000,2))</f>
        <v>9.41</v>
      </c>
      <c r="D62" s="952" t="s">
        <v>786</v>
      </c>
      <c r="E62" s="937" t="s">
        <v>787</v>
      </c>
      <c r="F62" s="315">
        <f t="shared" si="0"/>
        <v>2</v>
      </c>
      <c r="I62" s="1448" t="s">
        <v>858</v>
      </c>
      <c r="J62" s="1449" t="s">
        <v>859</v>
      </c>
      <c r="K62" s="1449" t="s">
        <v>860</v>
      </c>
      <c r="L62" s="1449" t="s">
        <v>861</v>
      </c>
      <c r="M62" s="1450" t="s">
        <v>862</v>
      </c>
      <c r="O62" s="1404" t="s">
        <v>409</v>
      </c>
      <c r="P62" s="1405" t="s">
        <v>863</v>
      </c>
      <c r="Q62" s="1406">
        <f ca="1">Q56+Q57</f>
        <v>702</v>
      </c>
      <c r="R62" s="1406" t="s">
        <v>410</v>
      </c>
    </row>
    <row r="63" spans="1:18" s="1370" customFormat="1" ht="13.5" thickBot="1">
      <c r="A63" s="316"/>
      <c r="B63" s="943"/>
      <c r="C63" s="26"/>
      <c r="D63" s="953"/>
      <c r="E63" s="937" t="s">
        <v>788</v>
      </c>
      <c r="F63" s="293">
        <f t="shared" ca="1" si="0"/>
        <v>47032</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ROUND(C57*F64,2)</f>
        <v>76.7</v>
      </c>
      <c r="D64" s="951" t="s">
        <v>791</v>
      </c>
      <c r="E64" s="937" t="s">
        <v>783</v>
      </c>
      <c r="F64" s="318">
        <f t="shared" ca="1" si="0"/>
        <v>1.4999999999999999E-2</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ROUND(C56*F65,2)</f>
        <v>0</v>
      </c>
      <c r="D65" s="951" t="s">
        <v>743</v>
      </c>
      <c r="E65" s="937" t="s">
        <v>744</v>
      </c>
      <c r="F65" s="320">
        <f t="shared" ca="1" si="0"/>
        <v>1.5E-3</v>
      </c>
      <c r="I65" s="1448" t="s">
        <v>867</v>
      </c>
      <c r="J65" s="1449">
        <v>40</v>
      </c>
      <c r="K65" s="1449">
        <v>30</v>
      </c>
      <c r="L65" s="1449">
        <v>50</v>
      </c>
      <c r="M65" s="1451">
        <v>0.02</v>
      </c>
      <c r="O65" s="1404" t="s">
        <v>403</v>
      </c>
      <c r="P65" s="1405" t="s">
        <v>868</v>
      </c>
      <c r="Q65" s="1406">
        <f ca="1">C40+J29</f>
        <v>702</v>
      </c>
      <c r="R65" s="1406" t="s">
        <v>818</v>
      </c>
    </row>
    <row r="66" spans="1:18" s="1370" customFormat="1" ht="16.5" thickBot="1">
      <c r="A66" s="969" t="s">
        <v>793</v>
      </c>
      <c r="B66" s="937" t="s">
        <v>728</v>
      </c>
      <c r="C66" s="21">
        <f ca="1">ROUND(C48*F66,2)</f>
        <v>0</v>
      </c>
      <c r="D66" s="951" t="s">
        <v>794</v>
      </c>
      <c r="E66" s="937" t="s">
        <v>712</v>
      </c>
      <c r="F66" s="302">
        <f t="shared" ca="1" si="0"/>
        <v>0.02</v>
      </c>
      <c r="O66" s="1404" t="s">
        <v>404</v>
      </c>
      <c r="P66" s="1405" t="s">
        <v>846</v>
      </c>
      <c r="Q66" s="1406">
        <f ca="1">L60</f>
        <v>0</v>
      </c>
      <c r="R66" s="1406" t="s">
        <v>869</v>
      </c>
    </row>
    <row r="67" spans="1:18" s="1370" customFormat="1" ht="16.5" thickBot="1">
      <c r="A67" s="944" t="s">
        <v>394</v>
      </c>
      <c r="B67" s="954" t="s">
        <v>752</v>
      </c>
      <c r="C67" s="306">
        <f ca="1">C48-C58</f>
        <v>-86</v>
      </c>
      <c r="D67" s="950" t="s">
        <v>753</v>
      </c>
      <c r="E67" s="955"/>
      <c r="F67" s="956"/>
      <c r="O67" s="1414" t="s">
        <v>405</v>
      </c>
      <c r="P67" s="1405" t="s">
        <v>850</v>
      </c>
      <c r="Q67" s="1452">
        <f ca="1">L51</f>
        <v>982</v>
      </c>
      <c r="R67" s="1406" t="s">
        <v>870</v>
      </c>
    </row>
    <row r="68" spans="1:18" s="1370" customFormat="1" ht="16.5" thickBot="1">
      <c r="A68" s="934" t="s">
        <v>395</v>
      </c>
      <c r="B68" s="935" t="s">
        <v>774</v>
      </c>
      <c r="C68" s="291">
        <f ca="1">ROUND(C67*(1-((1+F70)/(1+F68))^F69)/(F68-F70),0)</f>
        <v>-1006</v>
      </c>
      <c r="D68" s="952" t="s">
        <v>758</v>
      </c>
      <c r="E68" s="937" t="s">
        <v>759</v>
      </c>
      <c r="F68" s="302">
        <f ca="1">F40</f>
        <v>0.06</v>
      </c>
      <c r="O68" s="1414" t="s">
        <v>406</v>
      </c>
      <c r="P68" s="1453" t="s">
        <v>871</v>
      </c>
      <c r="Q68" s="1406">
        <f ca="1">ROUND(Q69-Q70*Q71,0)</f>
        <v>60</v>
      </c>
      <c r="R68" s="1406" t="s">
        <v>414</v>
      </c>
    </row>
    <row r="69" spans="1:18" s="1370" customFormat="1" ht="13.5" thickBot="1">
      <c r="A69" s="938"/>
      <c r="B69" s="939"/>
      <c r="C69" s="296"/>
      <c r="D69" s="957" t="s">
        <v>762</v>
      </c>
      <c r="E69" s="937" t="s">
        <v>763</v>
      </c>
      <c r="F69" s="323">
        <f ca="1">F41</f>
        <v>20.76</v>
      </c>
      <c r="O69" s="1414" t="s">
        <v>411</v>
      </c>
      <c r="P69" s="1453" t="s">
        <v>872</v>
      </c>
      <c r="Q69" s="1406">
        <f ca="1">C39</f>
        <v>60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f ca="1">ROUND(C68*10000/F71,0)</f>
        <v>-1216</v>
      </c>
      <c r="D71" s="960" t="s">
        <v>777</v>
      </c>
      <c r="E71" s="961" t="s">
        <v>778</v>
      </c>
      <c r="F71" s="329">
        <f ca="1">F43</f>
        <v>8275.91</v>
      </c>
      <c r="O71" s="1414" t="s">
        <v>413</v>
      </c>
      <c r="P71" s="1453" t="s">
        <v>874</v>
      </c>
      <c r="Q71" s="1417">
        <f ca="1">C76</f>
        <v>7.4999999999999997E-2</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f ca="1">Q65+Q66</f>
        <v>702</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f ca="1">1-C83</f>
        <v>1</v>
      </c>
    </row>
    <row r="83" spans="2:3">
      <c r="B83" s="263" t="s">
        <v>803</v>
      </c>
      <c r="C83" s="26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7" t="s">
        <v>1770</v>
      </c>
      <c r="D4" s="3719"/>
      <c r="E4" s="3720" t="s">
        <v>1771</v>
      </c>
      <c r="F4" s="3721"/>
      <c r="G4" s="3707" t="s">
        <v>1772</v>
      </c>
      <c r="H4" s="3719"/>
      <c r="I4" s="3707" t="s">
        <v>1773</v>
      </c>
      <c r="J4" s="3719"/>
      <c r="K4" s="549" t="s">
        <v>1774</v>
      </c>
      <c r="L4" s="2695"/>
      <c r="M4" s="2696"/>
      <c r="N4" s="2696"/>
      <c r="O4" s="2696"/>
      <c r="P4" s="3722" t="s">
        <v>1775</v>
      </c>
      <c r="Q4" s="3723"/>
      <c r="R4" s="3728" t="s">
        <v>1771</v>
      </c>
      <c r="S4" s="3729"/>
      <c r="T4" s="3728" t="s">
        <v>1772</v>
      </c>
      <c r="U4" s="3729"/>
      <c r="V4" s="3715" t="s">
        <v>1773</v>
      </c>
      <c r="W4" s="3715"/>
      <c r="X4" s="1341"/>
      <c r="Y4" s="3728" t="s">
        <v>1775</v>
      </c>
      <c r="Z4" s="3729"/>
      <c r="AA4" s="3716" t="s">
        <v>1771</v>
      </c>
      <c r="AB4" s="3717" t="s">
        <v>1772</v>
      </c>
      <c r="AC4" s="3716" t="s">
        <v>1773</v>
      </c>
    </row>
    <row r="5" spans="1:29" ht="15">
      <c r="A5" s="348"/>
      <c r="B5" s="349"/>
      <c r="C5" s="3736" t="s">
        <v>1673</v>
      </c>
      <c r="D5" s="3737"/>
      <c r="E5" s="3743" t="s">
        <v>1674</v>
      </c>
      <c r="F5" s="3744"/>
      <c r="G5" s="3736" t="s">
        <v>1675</v>
      </c>
      <c r="H5" s="3737"/>
      <c r="I5" s="3736" t="s">
        <v>1676</v>
      </c>
      <c r="J5" s="3737"/>
      <c r="K5" s="549"/>
      <c r="L5" s="2695"/>
      <c r="M5" s="2696"/>
      <c r="N5" s="2696"/>
      <c r="O5" s="2696"/>
      <c r="P5" s="3724"/>
      <c r="Q5" s="3725"/>
      <c r="R5" s="3730"/>
      <c r="S5" s="3731"/>
      <c r="T5" s="3730"/>
      <c r="U5" s="3731"/>
      <c r="V5" s="3715"/>
      <c r="W5" s="3715"/>
      <c r="X5" s="1341"/>
      <c r="Y5" s="3730"/>
      <c r="Z5" s="3731"/>
      <c r="AA5" s="3717"/>
      <c r="AB5" s="3717"/>
      <c r="AC5" s="3717"/>
    </row>
    <row r="6" spans="1:29" ht="15.75" thickBot="1">
      <c r="A6" s="350"/>
      <c r="B6" s="351"/>
      <c r="C6" s="3798" t="s">
        <v>1919</v>
      </c>
      <c r="D6" s="3799"/>
      <c r="E6" s="3800" t="s">
        <v>1919</v>
      </c>
      <c r="F6" s="3801"/>
      <c r="G6" s="3798" t="s">
        <v>1919</v>
      </c>
      <c r="H6" s="3799"/>
      <c r="I6" s="3798" t="s">
        <v>1919</v>
      </c>
      <c r="J6" s="3799"/>
      <c r="K6" s="549" t="s">
        <v>1678</v>
      </c>
      <c r="L6" s="2695"/>
      <c r="M6" s="2696"/>
      <c r="N6" s="2696"/>
      <c r="O6" s="2696"/>
      <c r="P6" s="3726"/>
      <c r="Q6" s="3727"/>
      <c r="R6" s="3730"/>
      <c r="S6" s="3731"/>
      <c r="T6" s="3732"/>
      <c r="U6" s="3733"/>
      <c r="V6" s="3715"/>
      <c r="W6" s="3715"/>
      <c r="X6" s="1341"/>
      <c r="Y6" s="3732"/>
      <c r="Z6" s="3733"/>
      <c r="AA6" s="3718"/>
      <c r="AB6" s="3718"/>
      <c r="AC6" s="3718"/>
    </row>
    <row r="7" spans="1:29" s="105" customFormat="1" ht="15.7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38" t="s">
        <v>1680</v>
      </c>
      <c r="Q7" s="3740"/>
      <c r="R7" s="688" t="s">
        <v>14</v>
      </c>
      <c r="S7" s="689">
        <f t="shared" ref="S7:S15" si="0">F7</f>
        <v>0</v>
      </c>
      <c r="T7" s="688" t="s">
        <v>14</v>
      </c>
      <c r="U7" s="689">
        <f t="shared" ref="U7:U15" si="1">H7</f>
        <v>0</v>
      </c>
      <c r="V7" s="688" t="s">
        <v>14</v>
      </c>
      <c r="W7" s="689">
        <f t="shared" ref="W7:W15" si="2">J7</f>
        <v>0</v>
      </c>
      <c r="X7" s="690"/>
      <c r="Y7" s="3738" t="s">
        <v>1680</v>
      </c>
      <c r="Z7" s="3739"/>
      <c r="AA7" s="691" t="e">
        <f>D7/F7</f>
        <v>#DIV/0!</v>
      </c>
      <c r="AB7" s="691" t="e">
        <f>D7/H7</f>
        <v>#DIV/0!</v>
      </c>
      <c r="AC7" s="691" t="e">
        <f>D7/J7</f>
        <v>#DIV/0!</v>
      </c>
    </row>
    <row r="8" spans="1:29" s="105"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38" t="s">
        <v>1683</v>
      </c>
      <c r="Q8" s="3739"/>
      <c r="R8" s="688" t="s">
        <v>14</v>
      </c>
      <c r="S8" s="689">
        <f t="shared" si="0"/>
        <v>0</v>
      </c>
      <c r="T8" s="688" t="s">
        <v>14</v>
      </c>
      <c r="U8" s="689">
        <f t="shared" si="1"/>
        <v>0</v>
      </c>
      <c r="V8" s="688" t="s">
        <v>14</v>
      </c>
      <c r="W8" s="689">
        <f t="shared" si="2"/>
        <v>0</v>
      </c>
      <c r="X8" s="690"/>
      <c r="Y8" s="3738" t="s">
        <v>1683</v>
      </c>
      <c r="Z8" s="3739"/>
      <c r="AA8" s="691" t="e">
        <f t="shared" ref="AA8:AA40" si="3">D8/F8</f>
        <v>#DIV/0!</v>
      </c>
      <c r="AB8" s="691" t="e">
        <f t="shared" ref="AB8:AB40" si="4">D8/H8</f>
        <v>#DIV/0!</v>
      </c>
      <c r="AC8" s="691" t="e">
        <f t="shared" ref="AC8:AC40" si="5">D8/J8</f>
        <v>#DIV/0!</v>
      </c>
    </row>
    <row r="9" spans="1:29" s="105" customFormat="1">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10" t="s">
        <v>1686</v>
      </c>
      <c r="Q9" s="1329" t="str">
        <f t="shared" ref="Q9:Q15" si="6">B9</f>
        <v>用途</v>
      </c>
      <c r="R9" s="688" t="s">
        <v>14</v>
      </c>
      <c r="S9" s="689">
        <f t="shared" si="0"/>
        <v>100</v>
      </c>
      <c r="T9" s="688" t="s">
        <v>14</v>
      </c>
      <c r="U9" s="689">
        <f t="shared" si="1"/>
        <v>100</v>
      </c>
      <c r="V9" s="688" t="s">
        <v>14</v>
      </c>
      <c r="W9" s="689">
        <f t="shared" si="2"/>
        <v>100</v>
      </c>
      <c r="X9" s="690"/>
      <c r="Y9" s="3610" t="s">
        <v>1687</v>
      </c>
      <c r="Z9" s="52" t="str">
        <f t="shared" ref="Z9:Z15" si="7">Q9</f>
        <v>用途</v>
      </c>
      <c r="AA9" s="691">
        <f t="shared" si="3"/>
        <v>1</v>
      </c>
      <c r="AB9" s="691">
        <f t="shared" si="4"/>
        <v>1</v>
      </c>
      <c r="AC9" s="691">
        <f t="shared" si="5"/>
        <v>1</v>
      </c>
    </row>
    <row r="10" spans="1:29" s="368" customFormat="1" ht="27">
      <c r="A10" s="364"/>
      <c r="B10" s="365" t="s">
        <v>1688</v>
      </c>
      <c r="C10" s="373"/>
      <c r="D10" s="117">
        <v>100</v>
      </c>
      <c r="E10" s="373"/>
      <c r="F10" s="117">
        <f>ROUND(100/'数据-取费表'!G16,0)</f>
        <v>135</v>
      </c>
      <c r="G10" s="373"/>
      <c r="H10" s="117">
        <f>ROUND(100/'数据-取费表'!G16,0)</f>
        <v>135</v>
      </c>
      <c r="I10" s="373"/>
      <c r="J10" s="117">
        <f>ROUND(100/'数据-取费表'!G16,0)</f>
        <v>135</v>
      </c>
      <c r="K10" s="610"/>
      <c r="L10" s="2699"/>
      <c r="M10" s="2700"/>
      <c r="N10" s="2700"/>
      <c r="O10" s="2753"/>
      <c r="P10" s="3710"/>
      <c r="Q10" s="1329" t="str">
        <f t="shared" si="6"/>
        <v>土地使用年限（年）</v>
      </c>
      <c r="R10" s="688" t="s">
        <v>14</v>
      </c>
      <c r="S10" s="689">
        <f t="shared" si="0"/>
        <v>135</v>
      </c>
      <c r="T10" s="688" t="s">
        <v>14</v>
      </c>
      <c r="U10" s="689">
        <f t="shared" si="1"/>
        <v>135</v>
      </c>
      <c r="V10" s="688" t="s">
        <v>14</v>
      </c>
      <c r="W10" s="689">
        <f t="shared" si="2"/>
        <v>135</v>
      </c>
      <c r="X10" s="690"/>
      <c r="Y10" s="3610"/>
      <c r="Z10" s="52" t="str">
        <f t="shared" si="7"/>
        <v>土地使用年限（年）</v>
      </c>
      <c r="AA10" s="691">
        <f t="shared" si="3"/>
        <v>0.7407407407407407</v>
      </c>
      <c r="AB10" s="691">
        <f t="shared" si="4"/>
        <v>0.7407407407407407</v>
      </c>
      <c r="AC10" s="691">
        <f t="shared" si="5"/>
        <v>0.7407407407407407</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10"/>
      <c r="Q11" s="1329" t="str">
        <f t="shared" si="6"/>
        <v>容积率</v>
      </c>
      <c r="R11" s="688" t="s">
        <v>14</v>
      </c>
      <c r="S11" s="689" t="e">
        <f t="shared" si="0"/>
        <v>#N/A</v>
      </c>
      <c r="T11" s="688" t="s">
        <v>14</v>
      </c>
      <c r="U11" s="689" t="e">
        <f t="shared" si="1"/>
        <v>#N/A</v>
      </c>
      <c r="V11" s="688" t="s">
        <v>14</v>
      </c>
      <c r="W11" s="689" t="e">
        <f t="shared" si="2"/>
        <v>#N/A</v>
      </c>
      <c r="X11" s="690"/>
      <c r="Y11" s="3610"/>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10"/>
      <c r="Q12" s="1329">
        <f t="shared" si="6"/>
        <v>111</v>
      </c>
      <c r="R12" s="688" t="s">
        <v>14</v>
      </c>
      <c r="S12" s="689">
        <f t="shared" si="0"/>
        <v>100</v>
      </c>
      <c r="T12" s="688" t="s">
        <v>14</v>
      </c>
      <c r="U12" s="689">
        <f t="shared" si="1"/>
        <v>100</v>
      </c>
      <c r="V12" s="688" t="s">
        <v>14</v>
      </c>
      <c r="W12" s="689">
        <f t="shared" si="2"/>
        <v>100</v>
      </c>
      <c r="X12" s="690"/>
      <c r="Y12" s="3610"/>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10"/>
      <c r="Q13" s="1329">
        <f t="shared" si="6"/>
        <v>111</v>
      </c>
      <c r="R13" s="688" t="s">
        <v>14</v>
      </c>
      <c r="S13" s="689">
        <f t="shared" si="0"/>
        <v>100</v>
      </c>
      <c r="T13" s="688" t="s">
        <v>14</v>
      </c>
      <c r="U13" s="689">
        <f t="shared" si="1"/>
        <v>100</v>
      </c>
      <c r="V13" s="688" t="s">
        <v>14</v>
      </c>
      <c r="W13" s="689">
        <f t="shared" si="2"/>
        <v>100</v>
      </c>
      <c r="X13" s="690"/>
      <c r="Y13" s="3610"/>
      <c r="Z13" s="52">
        <f t="shared" si="7"/>
        <v>111</v>
      </c>
      <c r="AA13" s="691">
        <f t="shared" si="3"/>
        <v>1</v>
      </c>
      <c r="AB13" s="691">
        <f t="shared" si="4"/>
        <v>1</v>
      </c>
      <c r="AC13" s="691">
        <f t="shared" si="5"/>
        <v>1</v>
      </c>
    </row>
    <row r="14" spans="1:29" ht="15.75"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10"/>
      <c r="Q14" s="1329">
        <f t="shared" si="6"/>
        <v>111</v>
      </c>
      <c r="R14" s="688" t="s">
        <v>14</v>
      </c>
      <c r="S14" s="689">
        <f t="shared" si="0"/>
        <v>100</v>
      </c>
      <c r="T14" s="688" t="s">
        <v>14</v>
      </c>
      <c r="U14" s="689">
        <f t="shared" si="1"/>
        <v>100</v>
      </c>
      <c r="V14" s="688" t="s">
        <v>14</v>
      </c>
      <c r="W14" s="689">
        <f t="shared" si="2"/>
        <v>100</v>
      </c>
      <c r="X14" s="690"/>
      <c r="Y14" s="3610"/>
      <c r="Z14" s="52">
        <f t="shared" si="7"/>
        <v>111</v>
      </c>
      <c r="AA14" s="691">
        <f t="shared" si="3"/>
        <v>1</v>
      </c>
      <c r="AB14" s="691">
        <f t="shared" si="4"/>
        <v>1</v>
      </c>
      <c r="AC14" s="691">
        <f t="shared" si="5"/>
        <v>1</v>
      </c>
    </row>
    <row r="15" spans="1:29" ht="57">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11" t="s">
        <v>1691</v>
      </c>
      <c r="Q15" s="1338" t="str">
        <f t="shared" si="6"/>
        <v>产业集聚程度</v>
      </c>
      <c r="R15" s="692" t="s">
        <v>14</v>
      </c>
      <c r="S15" s="693">
        <f t="shared" si="0"/>
        <v>100</v>
      </c>
      <c r="T15" s="692" t="s">
        <v>14</v>
      </c>
      <c r="U15" s="693">
        <f t="shared" si="1"/>
        <v>100</v>
      </c>
      <c r="V15" s="692" t="s">
        <v>14</v>
      </c>
      <c r="W15" s="693">
        <f t="shared" si="2"/>
        <v>100</v>
      </c>
      <c r="X15" s="1341"/>
      <c r="Y15" s="3711"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12"/>
      <c r="Q16" s="1338"/>
      <c r="R16" s="692"/>
      <c r="S16" s="693"/>
      <c r="T16" s="692"/>
      <c r="U16" s="693"/>
      <c r="V16" s="692"/>
      <c r="W16" s="693"/>
      <c r="X16" s="1341"/>
      <c r="Y16" s="3712"/>
      <c r="Z16" s="1342"/>
      <c r="AA16" s="1339">
        <v>1</v>
      </c>
      <c r="AB16" s="1339">
        <v>1</v>
      </c>
      <c r="AC16" s="1339">
        <v>1</v>
      </c>
    </row>
    <row r="17" spans="1:29" ht="85.5">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12"/>
      <c r="Q17" s="1338" t="str">
        <f>B17</f>
        <v>交通便捷度</v>
      </c>
      <c r="R17" s="692" t="s">
        <v>14</v>
      </c>
      <c r="S17" s="693">
        <f>F17</f>
        <v>100</v>
      </c>
      <c r="T17" s="692" t="s">
        <v>14</v>
      </c>
      <c r="U17" s="693">
        <f>H17</f>
        <v>100</v>
      </c>
      <c r="V17" s="692" t="s">
        <v>14</v>
      </c>
      <c r="W17" s="693">
        <f>J17</f>
        <v>100</v>
      </c>
      <c r="X17" s="1341"/>
      <c r="Y17" s="3712"/>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12"/>
      <c r="Q18" s="1338"/>
      <c r="R18" s="692"/>
      <c r="S18" s="693"/>
      <c r="T18" s="692"/>
      <c r="U18" s="693"/>
      <c r="V18" s="692"/>
      <c r="W18" s="693"/>
      <c r="X18" s="1341"/>
      <c r="Y18" s="3712"/>
      <c r="Z18" s="1342"/>
      <c r="AA18" s="1339">
        <v>1</v>
      </c>
      <c r="AB18" s="1339">
        <v>1</v>
      </c>
      <c r="AC18" s="1339">
        <v>1</v>
      </c>
    </row>
    <row r="19" spans="1:29" ht="15">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12"/>
      <c r="Q19" s="1338" t="str">
        <f t="shared" ref="Q19:Q33" si="8">B19</f>
        <v>区域土地利用方向</v>
      </c>
      <c r="R19" s="692" t="s">
        <v>14</v>
      </c>
      <c r="S19" s="693">
        <f>F19</f>
        <v>100</v>
      </c>
      <c r="T19" s="692" t="s">
        <v>14</v>
      </c>
      <c r="U19" s="693">
        <f>H19</f>
        <v>100</v>
      </c>
      <c r="V19" s="692" t="s">
        <v>14</v>
      </c>
      <c r="W19" s="693">
        <f>J19</f>
        <v>100</v>
      </c>
      <c r="X19" s="1341"/>
      <c r="Y19" s="3712"/>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12"/>
      <c r="Q20" s="1338"/>
      <c r="R20" s="692"/>
      <c r="S20" s="693"/>
      <c r="T20" s="692"/>
      <c r="U20" s="693"/>
      <c r="V20" s="692"/>
      <c r="W20" s="693"/>
      <c r="X20" s="1341"/>
      <c r="Y20" s="3712"/>
      <c r="Z20" s="1342"/>
      <c r="AA20" s="1339"/>
      <c r="AB20" s="1339"/>
      <c r="AC20" s="1339"/>
    </row>
    <row r="21" spans="1:29" ht="71.25">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12"/>
      <c r="Q21" s="1338" t="str">
        <f t="shared" si="8"/>
        <v>环境状况</v>
      </c>
      <c r="R21" s="692" t="s">
        <v>14</v>
      </c>
      <c r="S21" s="693">
        <f>F21</f>
        <v>100</v>
      </c>
      <c r="T21" s="692" t="s">
        <v>14</v>
      </c>
      <c r="U21" s="693">
        <f>H21</f>
        <v>100</v>
      </c>
      <c r="V21" s="692" t="s">
        <v>14</v>
      </c>
      <c r="W21" s="693">
        <f>J21</f>
        <v>100</v>
      </c>
      <c r="X21" s="1341"/>
      <c r="Y21" s="3712"/>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12"/>
      <c r="Q22" s="1338"/>
      <c r="R22" s="692"/>
      <c r="S22" s="693"/>
      <c r="T22" s="692"/>
      <c r="U22" s="693"/>
      <c r="V22" s="692"/>
      <c r="W22" s="693"/>
      <c r="X22" s="1341"/>
      <c r="Y22" s="3712"/>
      <c r="Z22" s="1342"/>
      <c r="AA22" s="1339">
        <v>1</v>
      </c>
      <c r="AB22" s="1339">
        <v>1</v>
      </c>
      <c r="AC22" s="1339">
        <v>1</v>
      </c>
    </row>
    <row r="23" spans="1:29" s="105" customFormat="1" ht="42.75">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12"/>
      <c r="Q23" s="1329" t="str">
        <f t="shared" si="8"/>
        <v>公共配套设施</v>
      </c>
      <c r="R23" s="688" t="s">
        <v>14</v>
      </c>
      <c r="S23" s="689">
        <f>F23</f>
        <v>100</v>
      </c>
      <c r="T23" s="688" t="s">
        <v>14</v>
      </c>
      <c r="U23" s="689">
        <f>H23</f>
        <v>100</v>
      </c>
      <c r="V23" s="688" t="s">
        <v>14</v>
      </c>
      <c r="W23" s="689">
        <f>J23</f>
        <v>100</v>
      </c>
      <c r="X23" s="690"/>
      <c r="Y23" s="3712"/>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12"/>
      <c r="Q24" s="1329"/>
      <c r="R24" s="688"/>
      <c r="S24" s="689"/>
      <c r="T24" s="688"/>
      <c r="U24" s="689"/>
      <c r="V24" s="688"/>
      <c r="W24" s="689"/>
      <c r="X24" s="690"/>
      <c r="Y24" s="3712"/>
      <c r="Z24" s="52"/>
      <c r="AA24" s="691">
        <v>1</v>
      </c>
      <c r="AB24" s="691">
        <v>1</v>
      </c>
      <c r="AC24" s="691">
        <v>1</v>
      </c>
    </row>
    <row r="25" spans="1:29" s="105" customFormat="1" ht="28.5">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12"/>
      <c r="Q25" s="1329" t="str">
        <f t="shared" ref="Q25" si="9">B25</f>
        <v>基础设施水平</v>
      </c>
      <c r="R25" s="688" t="s">
        <v>14</v>
      </c>
      <c r="S25" s="689">
        <f>F25</f>
        <v>100</v>
      </c>
      <c r="T25" s="688" t="s">
        <v>14</v>
      </c>
      <c r="U25" s="689">
        <f>H25</f>
        <v>100</v>
      </c>
      <c r="V25" s="688" t="s">
        <v>14</v>
      </c>
      <c r="W25" s="689">
        <f>J25</f>
        <v>100</v>
      </c>
      <c r="X25" s="690"/>
      <c r="Y25" s="3712"/>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12"/>
      <c r="Q26" s="1329"/>
      <c r="R26" s="688"/>
      <c r="S26" s="689"/>
      <c r="T26" s="688"/>
      <c r="U26" s="689"/>
      <c r="V26" s="688"/>
      <c r="W26" s="689"/>
      <c r="X26" s="690"/>
      <c r="Y26" s="3712"/>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12"/>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12"/>
      <c r="Z27" s="1342" t="str">
        <f t="shared" ref="Z27:Z40" si="13">Q27</f>
        <v>临街状况</v>
      </c>
      <c r="AA27" s="1339">
        <f t="shared" si="3"/>
        <v>1</v>
      </c>
      <c r="AB27" s="1339">
        <f t="shared" si="4"/>
        <v>1</v>
      </c>
      <c r="AC27" s="1339">
        <f t="shared" si="5"/>
        <v>1</v>
      </c>
    </row>
    <row r="28" spans="1:29" ht="27">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12"/>
      <c r="Q28" s="1338" t="str">
        <f t="shared" si="8"/>
        <v>毗邻道路的类型与等级</v>
      </c>
      <c r="R28" s="692" t="s">
        <v>14</v>
      </c>
      <c r="S28" s="693">
        <f t="shared" si="10"/>
        <v>100</v>
      </c>
      <c r="T28" s="692" t="s">
        <v>14</v>
      </c>
      <c r="U28" s="693">
        <f t="shared" si="11"/>
        <v>100</v>
      </c>
      <c r="V28" s="692" t="s">
        <v>14</v>
      </c>
      <c r="W28" s="693">
        <f t="shared" si="12"/>
        <v>100</v>
      </c>
      <c r="X28" s="1341"/>
      <c r="Y28" s="3712"/>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12"/>
      <c r="Q29" s="1338"/>
      <c r="R29" s="692"/>
      <c r="S29" s="693"/>
      <c r="T29" s="692"/>
      <c r="U29" s="693"/>
      <c r="V29" s="692"/>
      <c r="W29" s="693"/>
      <c r="X29" s="1341"/>
      <c r="Y29" s="3712"/>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12"/>
      <c r="Q30" s="1338" t="str">
        <f t="shared" si="8"/>
        <v>土地级别</v>
      </c>
      <c r="R30" s="692" t="s">
        <v>14</v>
      </c>
      <c r="S30" s="693">
        <f t="shared" si="10"/>
        <v>100</v>
      </c>
      <c r="T30" s="692" t="s">
        <v>14</v>
      </c>
      <c r="U30" s="693">
        <f t="shared" si="11"/>
        <v>100</v>
      </c>
      <c r="V30" s="692" t="s">
        <v>14</v>
      </c>
      <c r="W30" s="693">
        <f t="shared" si="12"/>
        <v>100</v>
      </c>
      <c r="X30" s="1341"/>
      <c r="Y30" s="3712"/>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12"/>
      <c r="Q31" s="1338">
        <f t="shared" si="8"/>
        <v>111</v>
      </c>
      <c r="R31" s="692" t="s">
        <v>14</v>
      </c>
      <c r="S31" s="693">
        <f t="shared" si="10"/>
        <v>100</v>
      </c>
      <c r="T31" s="692" t="s">
        <v>14</v>
      </c>
      <c r="U31" s="693">
        <f t="shared" si="11"/>
        <v>100</v>
      </c>
      <c r="V31" s="692" t="s">
        <v>14</v>
      </c>
      <c r="W31" s="693">
        <f t="shared" si="12"/>
        <v>100</v>
      </c>
      <c r="X31" s="1341"/>
      <c r="Y31" s="3712"/>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13" t="s">
        <v>1696</v>
      </c>
      <c r="Q32" s="1338">
        <f t="shared" si="8"/>
        <v>111</v>
      </c>
      <c r="R32" s="692" t="s">
        <v>14</v>
      </c>
      <c r="S32" s="693">
        <f t="shared" si="10"/>
        <v>100</v>
      </c>
      <c r="T32" s="692" t="s">
        <v>14</v>
      </c>
      <c r="U32" s="693">
        <f t="shared" si="11"/>
        <v>100</v>
      </c>
      <c r="V32" s="692" t="s">
        <v>14</v>
      </c>
      <c r="W32" s="693">
        <f t="shared" si="12"/>
        <v>100</v>
      </c>
      <c r="X32" s="1341"/>
      <c r="Y32" s="3714" t="s">
        <v>1696</v>
      </c>
      <c r="Z32" s="1342">
        <f t="shared" si="13"/>
        <v>111</v>
      </c>
      <c r="AA32" s="1339">
        <f t="shared" si="3"/>
        <v>1</v>
      </c>
      <c r="AB32" s="1339">
        <f t="shared" si="4"/>
        <v>1</v>
      </c>
      <c r="AC32" s="1339">
        <f t="shared" si="5"/>
        <v>1</v>
      </c>
    </row>
    <row r="33" spans="1:31" s="412" customFormat="1" ht="15.75"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14"/>
      <c r="Q33" s="1338">
        <f t="shared" si="8"/>
        <v>111</v>
      </c>
      <c r="R33" s="695" t="s">
        <v>14</v>
      </c>
      <c r="S33" s="696">
        <f t="shared" si="10"/>
        <v>100</v>
      </c>
      <c r="T33" s="695" t="s">
        <v>14</v>
      </c>
      <c r="U33" s="696">
        <f t="shared" si="11"/>
        <v>100</v>
      </c>
      <c r="V33" s="695" t="s">
        <v>14</v>
      </c>
      <c r="W33" s="696">
        <f t="shared" si="12"/>
        <v>100</v>
      </c>
      <c r="X33" s="697"/>
      <c r="Y33" s="3714"/>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14"/>
      <c r="Q34" s="1338" t="str">
        <f>B34</f>
        <v>宗地面积</v>
      </c>
      <c r="R34" s="692" t="s">
        <v>14</v>
      </c>
      <c r="S34" s="693" t="e">
        <f t="shared" si="10"/>
        <v>#N/A</v>
      </c>
      <c r="T34" s="692" t="s">
        <v>14</v>
      </c>
      <c r="U34" s="693" t="e">
        <f t="shared" si="11"/>
        <v>#N/A</v>
      </c>
      <c r="V34" s="692" t="s">
        <v>14</v>
      </c>
      <c r="W34" s="693" t="e">
        <f t="shared" si="12"/>
        <v>#N/A</v>
      </c>
      <c r="X34" s="1341"/>
      <c r="Y34" s="3714"/>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14"/>
      <c r="Q35" s="1338" t="str">
        <f t="shared" ref="Q35:Q40" si="14">B35</f>
        <v>宗地形状</v>
      </c>
      <c r="R35" s="692" t="s">
        <v>14</v>
      </c>
      <c r="S35" s="693">
        <f t="shared" si="10"/>
        <v>100</v>
      </c>
      <c r="T35" s="692" t="s">
        <v>14</v>
      </c>
      <c r="U35" s="693">
        <f t="shared" si="11"/>
        <v>100</v>
      </c>
      <c r="V35" s="692" t="s">
        <v>14</v>
      </c>
      <c r="W35" s="693">
        <f t="shared" si="12"/>
        <v>100</v>
      </c>
      <c r="X35" s="1341"/>
      <c r="Y35" s="3714"/>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14"/>
      <c r="Q36" s="1338" t="str">
        <f t="shared" si="14"/>
        <v>宗地开发程度</v>
      </c>
      <c r="R36" s="688" t="s">
        <v>14</v>
      </c>
      <c r="S36" s="689">
        <f t="shared" si="10"/>
        <v>100</v>
      </c>
      <c r="T36" s="688" t="s">
        <v>14</v>
      </c>
      <c r="U36" s="689">
        <f t="shared" si="11"/>
        <v>100</v>
      </c>
      <c r="V36" s="688" t="s">
        <v>14</v>
      </c>
      <c r="W36" s="689">
        <f t="shared" si="12"/>
        <v>100</v>
      </c>
      <c r="X36" s="690"/>
      <c r="Y36" s="3714"/>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14" t="s">
        <v>1696</v>
      </c>
      <c r="Q37" s="1338" t="str">
        <f t="shared" si="14"/>
        <v>工程地质条件</v>
      </c>
      <c r="R37" s="692" t="s">
        <v>14</v>
      </c>
      <c r="S37" s="693">
        <f t="shared" si="10"/>
        <v>100</v>
      </c>
      <c r="T37" s="692" t="s">
        <v>14</v>
      </c>
      <c r="U37" s="693">
        <f t="shared" si="11"/>
        <v>100</v>
      </c>
      <c r="V37" s="692" t="s">
        <v>14</v>
      </c>
      <c r="W37" s="693">
        <f t="shared" si="12"/>
        <v>100</v>
      </c>
      <c r="X37" s="1341"/>
      <c r="Y37" s="3714"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14"/>
      <c r="Q38" s="1338">
        <f t="shared" si="14"/>
        <v>111</v>
      </c>
      <c r="R38" s="692" t="s">
        <v>14</v>
      </c>
      <c r="S38" s="693">
        <f t="shared" si="10"/>
        <v>100</v>
      </c>
      <c r="T38" s="692" t="s">
        <v>14</v>
      </c>
      <c r="U38" s="693">
        <f t="shared" si="11"/>
        <v>100</v>
      </c>
      <c r="V38" s="692" t="s">
        <v>14</v>
      </c>
      <c r="W38" s="693">
        <f t="shared" si="12"/>
        <v>100</v>
      </c>
      <c r="X38" s="1341"/>
      <c r="Y38" s="3714"/>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14"/>
      <c r="Q39" s="1338">
        <f t="shared" si="14"/>
        <v>111</v>
      </c>
      <c r="R39" s="692" t="s">
        <v>14</v>
      </c>
      <c r="S39" s="693">
        <f t="shared" si="10"/>
        <v>100</v>
      </c>
      <c r="T39" s="692" t="s">
        <v>14</v>
      </c>
      <c r="U39" s="693">
        <f t="shared" si="11"/>
        <v>100</v>
      </c>
      <c r="V39" s="692" t="s">
        <v>14</v>
      </c>
      <c r="W39" s="693">
        <f t="shared" si="12"/>
        <v>100</v>
      </c>
      <c r="X39" s="1341"/>
      <c r="Y39" s="3714"/>
      <c r="Z39" s="1342">
        <f t="shared" si="13"/>
        <v>111</v>
      </c>
      <c r="AA39" s="1339">
        <f t="shared" si="3"/>
        <v>1</v>
      </c>
      <c r="AB39" s="1339">
        <f t="shared" si="4"/>
        <v>1</v>
      </c>
      <c r="AC39" s="1339">
        <f t="shared" si="5"/>
        <v>1</v>
      </c>
    </row>
    <row r="40" spans="1:31" s="412" customFormat="1" ht="15.75"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14"/>
      <c r="Q40" s="1338">
        <f t="shared" si="14"/>
        <v>111</v>
      </c>
      <c r="R40" s="695" t="s">
        <v>14</v>
      </c>
      <c r="S40" s="696">
        <f t="shared" si="10"/>
        <v>100</v>
      </c>
      <c r="T40" s="695" t="s">
        <v>14</v>
      </c>
      <c r="U40" s="696">
        <f t="shared" si="11"/>
        <v>100</v>
      </c>
      <c r="V40" s="695" t="s">
        <v>14</v>
      </c>
      <c r="W40" s="696">
        <f t="shared" si="12"/>
        <v>100</v>
      </c>
      <c r="X40" s="697"/>
      <c r="Y40" s="3714"/>
      <c r="Z40" s="698">
        <f t="shared" si="13"/>
        <v>111</v>
      </c>
      <c r="AA40" s="1339">
        <f t="shared" si="3"/>
        <v>1</v>
      </c>
      <c r="AB40" s="1339">
        <f t="shared" si="4"/>
        <v>1</v>
      </c>
      <c r="AC40" s="1339">
        <f t="shared" si="5"/>
        <v>1</v>
      </c>
    </row>
    <row r="41" spans="1:31" ht="15">
      <c r="A41" s="420" t="s">
        <v>1844</v>
      </c>
      <c r="B41" s="1968" t="s">
        <v>1922</v>
      </c>
      <c r="C41" s="620" t="s">
        <v>0</v>
      </c>
      <c r="D41" s="422"/>
      <c r="E41" s="423"/>
      <c r="F41" s="424"/>
      <c r="G41" s="425"/>
      <c r="H41" s="426"/>
      <c r="I41" s="423"/>
      <c r="J41" s="426"/>
      <c r="K41" s="701"/>
      <c r="L41" s="2704"/>
      <c r="M41" s="2696"/>
      <c r="N41" s="2696"/>
      <c r="O41" s="2705"/>
      <c r="P41" s="3710" t="str">
        <f>A41</f>
        <v>成交单价</v>
      </c>
      <c r="Q41" s="3710"/>
      <c r="R41" s="3715">
        <f>E41</f>
        <v>0</v>
      </c>
      <c r="S41" s="3715"/>
      <c r="T41" s="3715">
        <f>G41</f>
        <v>0</v>
      </c>
      <c r="U41" s="3715"/>
      <c r="V41" s="3715">
        <f>I41</f>
        <v>0</v>
      </c>
      <c r="W41" s="3715"/>
      <c r="X41" s="677"/>
      <c r="Y41" s="699"/>
      <c r="Z41" s="677"/>
      <c r="AA41" s="677"/>
      <c r="AB41" s="677"/>
      <c r="AC41" s="677"/>
    </row>
    <row r="42" spans="1:31" ht="15.7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10" t="str">
        <f>A42</f>
        <v>比较价值（元/平方米）</v>
      </c>
      <c r="Q42" s="3710"/>
      <c r="R42" s="3703" t="e">
        <f>ROUND(PRODUCT(R41,AA7:AA40),0)</f>
        <v>#DIV/0!</v>
      </c>
      <c r="S42" s="3703"/>
      <c r="T42" s="3703" t="e">
        <f>ROUND(PRODUCT(T41,AB7:AB40),0)</f>
        <v>#DIV/0!</v>
      </c>
      <c r="U42" s="3703"/>
      <c r="V42" s="3703" t="e">
        <f>ROUND(PRODUCT(V41,AC7:AC40),0)</f>
        <v>#DIV/0!</v>
      </c>
      <c r="W42" s="3703"/>
      <c r="X42" s="677"/>
      <c r="Y42" s="677"/>
      <c r="Z42" s="677"/>
      <c r="AA42" s="677"/>
      <c r="AB42" s="677"/>
      <c r="AC42" s="677"/>
    </row>
    <row r="43" spans="1:31" ht="15.75" thickBot="1">
      <c r="A43" s="431" t="s">
        <v>1794</v>
      </c>
      <c r="B43" s="432"/>
      <c r="C43" s="433" t="e">
        <f>R43</f>
        <v>#DIV/0!</v>
      </c>
      <c r="D43" s="433"/>
      <c r="E43" s="433"/>
      <c r="F43" s="433"/>
      <c r="G43" s="433"/>
      <c r="H43" s="433"/>
      <c r="I43" s="433"/>
      <c r="J43" s="433"/>
      <c r="K43" s="702"/>
      <c r="L43" s="2704"/>
      <c r="M43" s="2696"/>
      <c r="N43" s="2696"/>
      <c r="O43" s="2705"/>
      <c r="P43" s="3704" t="str">
        <f>A43</f>
        <v>估价对象XX用房的比较价值（楼面单价，元/平方米）</v>
      </c>
      <c r="Q43" s="3705"/>
      <c r="R43" s="3706" t="e">
        <f>ROUND(IF(D42="简单平均",AVERAGE(R42:W42),R42*F42+T42*H42+V42*J42),0)</f>
        <v>#DIV/0!</v>
      </c>
      <c r="S43" s="3706"/>
      <c r="T43" s="3706"/>
      <c r="U43" s="3706"/>
      <c r="V43" s="3706"/>
      <c r="W43" s="3706"/>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5"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7">
      <c r="A50" s="622" t="s">
        <v>1881</v>
      </c>
      <c r="B50" s="623" t="s">
        <v>1882</v>
      </c>
      <c r="C50" s="1969" t="s">
        <v>1883</v>
      </c>
      <c r="D50" s="1970" t="s">
        <v>1884</v>
      </c>
      <c r="E50" s="624" t="s">
        <v>1885</v>
      </c>
      <c r="F50" s="625" t="s">
        <v>1886</v>
      </c>
      <c r="G50" s="3707" t="s">
        <v>1887</v>
      </c>
      <c r="H50" s="3708"/>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8275.91</v>
      </c>
      <c r="F51" s="629" t="e">
        <f t="shared" ref="F51:F60" si="15">ROUND(B51*E51/10000,0)</f>
        <v>#DIV/0!</v>
      </c>
      <c r="G51" s="3709"/>
      <c r="H51" s="3710"/>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5"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5" thickBot="1">
      <c r="A61" s="633" t="s">
        <v>1903</v>
      </c>
      <c r="B61" s="634" t="s">
        <v>22</v>
      </c>
      <c r="C61" s="634" t="s">
        <v>23</v>
      </c>
      <c r="D61" s="634" t="s">
        <v>392</v>
      </c>
      <c r="E61" s="634">
        <f>IF(B41="楼面地价",SUM(E51:E60),'数据-汇总表'!D3)</f>
        <v>47032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1.75"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5">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7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5">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5.75"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5.75"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7.75"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5.75"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ht="15">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5.75"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5.75"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5.75"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5.75"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5.75"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5.75"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7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15.75"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7.75"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7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7.75"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7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5.75"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5.75"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5"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5.75"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5"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5.75"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ht="15">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5.75"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5"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5.75"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5"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5.75"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5"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5.75"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5" t="s">
        <v>2084</v>
      </c>
      <c r="D1" s="3806"/>
      <c r="E1" s="3806"/>
      <c r="F1" s="3806"/>
      <c r="G1" s="3806"/>
      <c r="H1" s="3806"/>
      <c r="I1" s="3806"/>
      <c r="J1" s="3806"/>
      <c r="K1" s="3806"/>
      <c r="L1" s="3806"/>
      <c r="M1" s="3806"/>
      <c r="N1" s="3806"/>
      <c r="O1" s="3806"/>
      <c r="P1" s="3806"/>
      <c r="Q1" s="3806"/>
      <c r="R1" s="3806"/>
      <c r="S1" s="3807"/>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5"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75">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802" t="s">
        <v>27</v>
      </c>
      <c r="D22" s="3803"/>
      <c r="E22" s="3803"/>
      <c r="F22" s="3803"/>
      <c r="G22" s="3803"/>
      <c r="H22" s="3803"/>
      <c r="I22" s="3803"/>
      <c r="J22" s="3803"/>
      <c r="K22" s="3803"/>
      <c r="L22" s="3803"/>
      <c r="M22" s="3803"/>
      <c r="N22" s="3803"/>
      <c r="O22" s="3803"/>
      <c r="P22" s="3803"/>
      <c r="Q22" s="3804"/>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3" t="s">
        <v>2081</v>
      </c>
      <c r="B1" s="2133"/>
      <c r="C1" s="2133"/>
      <c r="D1" s="2133"/>
      <c r="E1" s="2133"/>
      <c r="F1" s="2773"/>
      <c r="G1" s="2773"/>
      <c r="H1" s="2773"/>
      <c r="I1" s="2773"/>
      <c r="J1" s="2773"/>
      <c r="K1" s="2773"/>
      <c r="L1" s="2773"/>
      <c r="M1" s="2773"/>
      <c r="N1" s="2773"/>
      <c r="O1" s="2773"/>
      <c r="P1" s="2773"/>
    </row>
    <row r="2" spans="1:16" ht="15.75">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75">
      <c r="A3" s="2131" t="s">
        <v>2076</v>
      </c>
      <c r="B3" s="2583" t="e">
        <f ca="1">ROUND(B2*10000/E2,0)</f>
        <v>#DIV/0!</v>
      </c>
      <c r="C3" s="2131" t="s">
        <v>2082</v>
      </c>
      <c r="D3" s="2773"/>
      <c r="E3" s="2773"/>
      <c r="F3" s="2773"/>
      <c r="G3" s="2773"/>
      <c r="H3" s="2773"/>
      <c r="I3" s="2773"/>
      <c r="J3" s="2773"/>
      <c r="K3" s="2773"/>
      <c r="L3" s="2773"/>
      <c r="M3" s="2773"/>
      <c r="N3" s="2773"/>
      <c r="O3" s="2773"/>
      <c r="P3" s="2773"/>
    </row>
    <row r="4" spans="1:16" ht="15.75">
      <c r="A4" s="2774"/>
      <c r="B4" s="2773"/>
      <c r="C4" s="2773"/>
      <c r="D4" s="2773"/>
      <c r="E4" s="2773"/>
      <c r="F4" s="2773"/>
      <c r="G4" s="2773"/>
      <c r="H4" s="2773"/>
      <c r="I4" s="2773"/>
      <c r="J4" s="2773"/>
      <c r="K4" s="2773"/>
      <c r="L4" s="2773"/>
      <c r="M4" s="2773"/>
      <c r="N4" s="2773"/>
      <c r="O4" s="2773"/>
      <c r="P4" s="2773"/>
    </row>
    <row r="5" spans="1:16" ht="28.5">
      <c r="A5" s="2589" t="s">
        <v>2077</v>
      </c>
      <c r="B5" s="2591" t="s">
        <v>2078</v>
      </c>
      <c r="C5" s="2132"/>
      <c r="D5" s="2773"/>
      <c r="E5" s="2592" t="s">
        <v>2079</v>
      </c>
      <c r="F5" s="2773"/>
      <c r="G5" s="2773"/>
      <c r="H5" s="2773"/>
      <c r="I5" s="2773"/>
      <c r="J5" s="2773"/>
      <c r="K5" s="2773"/>
      <c r="L5" s="2773"/>
      <c r="M5" s="2773"/>
      <c r="N5" s="2773"/>
      <c r="O5" s="2773"/>
      <c r="P5" s="2773"/>
    </row>
    <row r="6" spans="1:16" ht="15.75">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75">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75">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75">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75">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75">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75">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75">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39" customWidth="1"/>
    <col min="2" max="2" width="22.5" style="2130" customWidth="1"/>
    <col min="3" max="3" width="12" style="1984"/>
    <col min="4" max="4" width="14.875" style="1984" customWidth="1"/>
    <col min="5" max="5" width="14.625" style="1984" customWidth="1"/>
    <col min="6" max="8" width="12" style="1984"/>
    <col min="9" max="9" width="12.25" style="1984" bestFit="1" customWidth="1"/>
    <col min="10" max="10" width="12" style="1984"/>
    <col min="11" max="11" width="8.125" style="2035" customWidth="1"/>
    <col min="12" max="12" width="19.5" style="1984" customWidth="1"/>
    <col min="13" max="13" width="8.5" style="1984" customWidth="1"/>
    <col min="14" max="14" width="9.75" style="1984" customWidth="1"/>
    <col min="15" max="25" width="12" style="1984"/>
    <col min="26" max="26" width="9.375" style="2039" customWidth="1"/>
    <col min="27" max="32" width="9.375" style="1108" customWidth="1"/>
    <col min="33" max="36" width="9.375" style="2039" customWidth="1"/>
    <col min="37" max="38" width="9.375" style="1984" customWidth="1"/>
    <col min="39" max="16384" width="12" style="1984"/>
  </cols>
  <sheetData>
    <row r="1" spans="1:36" ht="28.5">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75">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75">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75">
      <c r="A4" s="3815"/>
      <c r="B4" s="3816"/>
      <c r="C4" s="3816"/>
      <c r="D4" s="3817"/>
      <c r="E4" s="3817"/>
      <c r="F4" s="3817"/>
      <c r="G4" s="3817"/>
      <c r="H4" s="3817"/>
      <c r="I4" s="3817"/>
      <c r="J4" s="3818"/>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75"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75"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75"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12" t="s">
        <v>1960</v>
      </c>
      <c r="X8" s="3813"/>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4"/>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4"/>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5"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15.75"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15">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75"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4.25">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5"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4.25">
      <c r="A20" s="3819" t="s">
        <v>3247</v>
      </c>
      <c r="B20" s="157" t="s">
        <v>1994</v>
      </c>
      <c r="C20" s="3299" t="e">
        <f>ROUND(IF(F21="与级别开发程度一致",0,(G21-E21)/C21),0)</f>
        <v>#DIV/0!</v>
      </c>
      <c r="D20" s="3315" t="s">
        <v>1998</v>
      </c>
      <c r="E20" s="3316"/>
      <c r="F20" s="3825" t="s">
        <v>1995</v>
      </c>
      <c r="G20" s="3826"/>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5" thickBot="1">
      <c r="A21" s="3820"/>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7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6.25"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75"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5">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25">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7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7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7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5">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7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7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4.25">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5"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24.75"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75" thickBot="1">
      <c r="A37" s="3823"/>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4"/>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5" thickBot="1">
      <c r="A39" s="3824"/>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5"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7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5">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4.75">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1">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76.5">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8.25">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5.5">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39"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76.5">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8.25">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5.5">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39"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76.5">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36">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4.25">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8.25">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5.5">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24">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38.25">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24.75"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5">
      <c r="A81" s="2112" t="s">
        <v>2069</v>
      </c>
      <c r="B81" s="2113">
        <f>1+E83</f>
        <v>1</v>
      </c>
      <c r="C81" s="728"/>
      <c r="D81" s="728"/>
      <c r="E81" s="729"/>
      <c r="F81" s="2115"/>
      <c r="G81" s="3"/>
      <c r="H81" s="3"/>
      <c r="I81" s="3"/>
      <c r="J81" s="4"/>
      <c r="K81" s="4"/>
      <c r="L81" s="4"/>
      <c r="M81" s="4"/>
      <c r="N81" s="4"/>
      <c r="Z81" s="1984"/>
      <c r="AA81" s="2039"/>
      <c r="AG81" s="1108"/>
      <c r="AK81" s="2039"/>
    </row>
    <row r="82" spans="1:37" ht="24.75">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8.25">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38.25">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36">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4.25">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5.5">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5.5">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24">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39"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5">
      <c r="A91" s="3351" t="s">
        <v>2603</v>
      </c>
      <c r="B91" s="3352">
        <f>1+E93</f>
        <v>1</v>
      </c>
      <c r="C91" s="3345"/>
      <c r="D91" s="3346"/>
      <c r="E91" s="1800"/>
      <c r="F91" s="1800"/>
      <c r="G91" s="3347"/>
      <c r="H91" s="3348"/>
      <c r="I91" s="3349"/>
      <c r="J91" s="3350"/>
      <c r="K91" s="3350"/>
      <c r="L91" s="3350"/>
      <c r="M91" s="3350"/>
      <c r="N91" s="3350"/>
    </row>
    <row r="92" spans="1:37" ht="24.75">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76.5">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24">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8.25">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5.5">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39"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21" t="s">
        <v>3287</v>
      </c>
      <c r="B103" s="3821"/>
      <c r="C103" s="3821"/>
      <c r="D103" s="3821"/>
      <c r="E103" s="3821"/>
      <c r="F103" s="3821"/>
      <c r="G103" s="3821"/>
      <c r="H103" s="3821"/>
      <c r="I103" s="3821"/>
      <c r="J103" s="3821"/>
      <c r="K103" s="3364"/>
      <c r="L103" s="3364"/>
      <c r="M103" s="3364"/>
      <c r="N103" s="3364"/>
    </row>
    <row r="104" spans="1:14">
      <c r="A104" s="3822" t="s">
        <v>3288</v>
      </c>
      <c r="B104" s="3822" t="s">
        <v>3289</v>
      </c>
      <c r="C104" s="3365" t="s">
        <v>3290</v>
      </c>
      <c r="D104" s="3366"/>
      <c r="E104" s="3366"/>
      <c r="F104" s="3366"/>
      <c r="G104" s="3366"/>
      <c r="H104" s="3366"/>
      <c r="I104" s="3366"/>
      <c r="J104" s="3367"/>
      <c r="K104" s="3368"/>
      <c r="L104" s="3368"/>
      <c r="M104" s="3368"/>
      <c r="N104" s="3368"/>
    </row>
    <row r="105" spans="1:14">
      <c r="A105" s="3822"/>
      <c r="B105" s="3822"/>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8"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9"/>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9"/>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9"/>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9"/>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9"/>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10"/>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11" t="s">
        <v>3304</v>
      </c>
      <c r="B113" s="3811"/>
      <c r="C113" s="3811"/>
      <c r="D113" s="3811"/>
      <c r="E113" s="3811"/>
      <c r="F113" s="3811"/>
      <c r="G113" s="3811"/>
      <c r="H113" s="3811"/>
      <c r="I113" s="3811"/>
      <c r="J113" s="3811"/>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5"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6" t="s">
        <v>2598</v>
      </c>
      <c r="B20" s="3831" t="s">
        <v>2619</v>
      </c>
      <c r="C20" s="3077" t="s">
        <v>2430</v>
      </c>
      <c r="D20" s="3078"/>
      <c r="E20" s="3079">
        <v>1</v>
      </c>
      <c r="F20" s="3080" t="s">
        <v>2431</v>
      </c>
      <c r="G20" s="3080"/>
    </row>
    <row r="21" spans="1:13" ht="19.5" customHeight="1">
      <c r="A21" s="3837"/>
      <c r="B21" s="3830"/>
      <c r="C21" s="3081" t="s">
        <v>2432</v>
      </c>
      <c r="D21" s="3082"/>
      <c r="E21" s="3083">
        <v>1</v>
      </c>
      <c r="F21" s="3080" t="s">
        <v>2433</v>
      </c>
      <c r="G21" s="3080"/>
    </row>
    <row r="22" spans="1:13" ht="19.5" customHeight="1">
      <c r="A22" s="3837"/>
      <c r="B22" s="3830"/>
      <c r="C22" s="3081" t="s">
        <v>2434</v>
      </c>
      <c r="D22" s="3082"/>
      <c r="E22" s="3083">
        <v>0.9</v>
      </c>
      <c r="F22" s="3080" t="s">
        <v>2435</v>
      </c>
      <c r="G22" s="3080"/>
    </row>
    <row r="23" spans="1:13" ht="19.5" customHeight="1">
      <c r="A23" s="3837"/>
      <c r="B23" s="3830"/>
      <c r="C23" s="3081" t="s">
        <v>2436</v>
      </c>
      <c r="D23" s="3082"/>
      <c r="E23" s="3083">
        <v>0.9</v>
      </c>
      <c r="F23" s="3080" t="s">
        <v>2437</v>
      </c>
      <c r="G23" s="3080"/>
    </row>
    <row r="24" spans="1:13" ht="19.5" customHeight="1">
      <c r="A24" s="3837"/>
      <c r="B24" s="3830"/>
      <c r="C24" s="3081" t="s">
        <v>2438</v>
      </c>
      <c r="D24" s="3082"/>
      <c r="E24" s="3083">
        <v>0.8</v>
      </c>
      <c r="F24" s="3080" t="s">
        <v>2439</v>
      </c>
      <c r="G24" s="3080"/>
    </row>
    <row r="25" spans="1:13" ht="19.5" customHeight="1" thickBot="1">
      <c r="A25" s="3838"/>
      <c r="B25" s="3832"/>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33" t="s">
        <v>2622</v>
      </c>
      <c r="B27" s="3831" t="s">
        <v>2603</v>
      </c>
      <c r="C27" s="3077" t="s">
        <v>2443</v>
      </c>
      <c r="D27" s="3078"/>
      <c r="E27" s="3079">
        <v>1</v>
      </c>
      <c r="F27" s="3080" t="s">
        <v>2444</v>
      </c>
      <c r="G27" s="3080"/>
    </row>
    <row r="28" spans="1:13" ht="19.5" customHeight="1">
      <c r="A28" s="3834"/>
      <c r="B28" s="3830"/>
      <c r="C28" s="3081" t="s">
        <v>2445</v>
      </c>
      <c r="D28" s="3082"/>
      <c r="E28" s="3083">
        <v>1</v>
      </c>
      <c r="F28" s="3080" t="s">
        <v>2446</v>
      </c>
      <c r="G28" s="3080"/>
    </row>
    <row r="29" spans="1:13" ht="19.5" customHeight="1">
      <c r="A29" s="3834"/>
      <c r="B29" s="3830"/>
      <c r="C29" s="3081" t="s">
        <v>2447</v>
      </c>
      <c r="D29" s="3082"/>
      <c r="E29" s="3083">
        <v>0.8</v>
      </c>
      <c r="F29" s="3080" t="s">
        <v>2448</v>
      </c>
      <c r="G29" s="3080"/>
    </row>
    <row r="30" spans="1:13" ht="19.5" customHeight="1">
      <c r="A30" s="3834"/>
      <c r="B30" s="3830"/>
      <c r="C30" s="3081" t="s">
        <v>2449</v>
      </c>
      <c r="D30" s="3082"/>
      <c r="E30" s="3083">
        <v>0.8</v>
      </c>
      <c r="F30" s="3080" t="s">
        <v>2450</v>
      </c>
      <c r="G30" s="3080"/>
    </row>
    <row r="31" spans="1:13" ht="19.5" customHeight="1">
      <c r="A31" s="3834"/>
      <c r="B31" s="3830"/>
      <c r="C31" s="3081" t="s">
        <v>2451</v>
      </c>
      <c r="D31" s="3082"/>
      <c r="E31" s="3083">
        <v>0.8</v>
      </c>
      <c r="F31" s="3080" t="s">
        <v>2452</v>
      </c>
      <c r="G31" s="3080"/>
    </row>
    <row r="32" spans="1:13" ht="19.5" customHeight="1">
      <c r="A32" s="3834"/>
      <c r="B32" s="3830"/>
      <c r="C32" s="3081" t="s">
        <v>2453</v>
      </c>
      <c r="D32" s="3082"/>
      <c r="E32" s="3083">
        <v>0.7</v>
      </c>
      <c r="F32" s="3080" t="s">
        <v>2454</v>
      </c>
      <c r="G32" s="3080"/>
    </row>
    <row r="33" spans="1:7" ht="19.5" customHeight="1">
      <c r="A33" s="3834"/>
      <c r="B33" s="3830"/>
      <c r="C33" s="3081" t="s">
        <v>2455</v>
      </c>
      <c r="D33" s="3082"/>
      <c r="E33" s="3083">
        <v>0.8</v>
      </c>
      <c r="F33" s="3080" t="s">
        <v>2456</v>
      </c>
      <c r="G33" s="3080"/>
    </row>
    <row r="34" spans="1:7" ht="19.5" customHeight="1">
      <c r="A34" s="3834"/>
      <c r="B34" s="3830"/>
      <c r="C34" s="3081" t="s">
        <v>2457</v>
      </c>
      <c r="D34" s="3082"/>
      <c r="E34" s="3083">
        <v>0.6</v>
      </c>
      <c r="F34" s="3080" t="s">
        <v>2458</v>
      </c>
      <c r="G34" s="3080"/>
    </row>
    <row r="35" spans="1:7" ht="19.5" customHeight="1">
      <c r="A35" s="3834"/>
      <c r="B35" s="3830"/>
      <c r="C35" s="3081" t="s">
        <v>2459</v>
      </c>
      <c r="D35" s="3082"/>
      <c r="E35" s="3083">
        <v>0.2</v>
      </c>
      <c r="F35" s="3080" t="s">
        <v>2460</v>
      </c>
      <c r="G35" s="3080"/>
    </row>
    <row r="36" spans="1:7" ht="19.5" customHeight="1">
      <c r="A36" s="3834"/>
      <c r="B36" s="3830"/>
      <c r="C36" s="3081" t="s">
        <v>2461</v>
      </c>
      <c r="D36" s="3082"/>
      <c r="E36" s="3083">
        <v>0.2</v>
      </c>
      <c r="F36" s="3080" t="s">
        <v>2462</v>
      </c>
      <c r="G36" s="3080"/>
    </row>
    <row r="37" spans="1:7" ht="19.5" customHeight="1">
      <c r="A37" s="3834"/>
      <c r="B37" s="3828" t="s">
        <v>2623</v>
      </c>
      <c r="C37" s="3081" t="s">
        <v>2463</v>
      </c>
      <c r="D37" s="3082"/>
      <c r="E37" s="3083">
        <v>0.6</v>
      </c>
      <c r="F37" s="3080" t="s">
        <v>2464</v>
      </c>
      <c r="G37" s="3080"/>
    </row>
    <row r="38" spans="1:7" ht="19.5" customHeight="1">
      <c r="A38" s="3834"/>
      <c r="B38" s="3830"/>
      <c r="C38" s="3081" t="s">
        <v>2465</v>
      </c>
      <c r="D38" s="3082"/>
      <c r="E38" s="3083">
        <v>0.6</v>
      </c>
      <c r="F38" s="3080" t="s">
        <v>2466</v>
      </c>
      <c r="G38" s="3080"/>
    </row>
    <row r="39" spans="1:7" ht="19.5" customHeight="1" thickBot="1">
      <c r="A39" s="3835"/>
      <c r="B39" s="3832"/>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6" t="s">
        <v>2601</v>
      </c>
      <c r="B41" s="3831" t="s">
        <v>2625</v>
      </c>
      <c r="C41" s="3077" t="s">
        <v>2470</v>
      </c>
      <c r="D41" s="3078"/>
      <c r="E41" s="3079">
        <v>1</v>
      </c>
      <c r="F41" s="3080" t="s">
        <v>2471</v>
      </c>
      <c r="G41" s="3080"/>
    </row>
    <row r="42" spans="1:7" ht="19.5" customHeight="1">
      <c r="A42" s="3837"/>
      <c r="B42" s="3830"/>
      <c r="C42" s="3081" t="s">
        <v>2472</v>
      </c>
      <c r="D42" s="3082"/>
      <c r="E42" s="3083">
        <v>1</v>
      </c>
      <c r="F42" s="3080" t="s">
        <v>2473</v>
      </c>
      <c r="G42" s="3080"/>
    </row>
    <row r="43" spans="1:7" ht="19.5" customHeight="1">
      <c r="A43" s="3837"/>
      <c r="B43" s="3829"/>
      <c r="C43" s="3081" t="s">
        <v>2474</v>
      </c>
      <c r="D43" s="3082"/>
      <c r="E43" s="3083">
        <v>1.5</v>
      </c>
      <c r="F43" s="3080" t="s">
        <v>2475</v>
      </c>
      <c r="G43" s="3080"/>
    </row>
    <row r="44" spans="1:7" ht="19.5" customHeight="1">
      <c r="A44" s="3837"/>
      <c r="B44" s="3092" t="s">
        <v>2626</v>
      </c>
      <c r="C44" s="3081" t="s">
        <v>2627</v>
      </c>
      <c r="D44" s="3082"/>
      <c r="E44" s="3083">
        <v>2</v>
      </c>
      <c r="F44" s="3080" t="s">
        <v>2476</v>
      </c>
      <c r="G44" s="3080"/>
    </row>
    <row r="45" spans="1:7" ht="19.5" customHeight="1">
      <c r="A45" s="3837"/>
      <c r="B45" s="3828" t="s">
        <v>2628</v>
      </c>
      <c r="C45" s="3081" t="s">
        <v>2477</v>
      </c>
      <c r="D45" s="3082"/>
      <c r="E45" s="3083">
        <v>1</v>
      </c>
      <c r="F45" s="3080" t="s">
        <v>2478</v>
      </c>
      <c r="G45" s="3080"/>
    </row>
    <row r="46" spans="1:7" ht="19.5" customHeight="1">
      <c r="A46" s="3837"/>
      <c r="B46" s="3830"/>
      <c r="C46" s="3081" t="s">
        <v>2479</v>
      </c>
      <c r="D46" s="3082"/>
      <c r="E46" s="3083">
        <v>1</v>
      </c>
      <c r="F46" s="3080" t="s">
        <v>2480</v>
      </c>
      <c r="G46" s="3080"/>
    </row>
    <row r="47" spans="1:7" ht="19.5" customHeight="1">
      <c r="A47" s="3837"/>
      <c r="B47" s="3830"/>
      <c r="C47" s="3081" t="s">
        <v>2481</v>
      </c>
      <c r="D47" s="3082"/>
      <c r="E47" s="3083">
        <v>1</v>
      </c>
      <c r="F47" s="3080" t="s">
        <v>2482</v>
      </c>
      <c r="G47" s="3080"/>
    </row>
    <row r="48" spans="1:7" ht="19.5" customHeight="1">
      <c r="A48" s="3837"/>
      <c r="B48" s="3830"/>
      <c r="C48" s="3081" t="s">
        <v>2483</v>
      </c>
      <c r="D48" s="3082"/>
      <c r="E48" s="3083">
        <v>1</v>
      </c>
      <c r="F48" s="3080" t="s">
        <v>2484</v>
      </c>
      <c r="G48" s="3080"/>
    </row>
    <row r="49" spans="1:7" ht="19.5" customHeight="1">
      <c r="A49" s="3837"/>
      <c r="B49" s="3830"/>
      <c r="C49" s="3081" t="s">
        <v>2485</v>
      </c>
      <c r="D49" s="3082"/>
      <c r="E49" s="3083">
        <v>1</v>
      </c>
      <c r="F49" s="3080" t="s">
        <v>2486</v>
      </c>
      <c r="G49" s="3080"/>
    </row>
    <row r="50" spans="1:7" ht="19.5" customHeight="1">
      <c r="A50" s="3837"/>
      <c r="B50" s="3830"/>
      <c r="C50" s="3081" t="s">
        <v>2487</v>
      </c>
      <c r="D50" s="3082"/>
      <c r="E50" s="3083">
        <v>1</v>
      </c>
      <c r="F50" s="3080" t="s">
        <v>2488</v>
      </c>
      <c r="G50" s="3080"/>
    </row>
    <row r="51" spans="1:7" ht="19.5" customHeight="1" thickBot="1">
      <c r="A51" s="3838"/>
      <c r="B51" s="3832"/>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3.5">
      <c r="A72" s="3092"/>
      <c r="B72" s="3092"/>
      <c r="C72" s="3092" t="s">
        <v>2641</v>
      </c>
      <c r="D72" s="3092"/>
      <c r="E72" s="3092" t="s">
        <v>2612</v>
      </c>
      <c r="F72" s="3092" t="s">
        <v>2612</v>
      </c>
    </row>
    <row r="73" spans="1:7" ht="13.5">
      <c r="A73" s="3092">
        <v>1</v>
      </c>
      <c r="B73" s="3828" t="s">
        <v>2642</v>
      </c>
      <c r="C73" s="3066" t="s">
        <v>2643</v>
      </c>
      <c r="D73" s="3066" t="s">
        <v>2644</v>
      </c>
      <c r="E73" s="3092">
        <v>0.2</v>
      </c>
      <c r="F73" s="3092">
        <v>25</v>
      </c>
    </row>
    <row r="74" spans="1:7" ht="24">
      <c r="A74" s="3092">
        <v>2</v>
      </c>
      <c r="B74" s="3830"/>
      <c r="C74" s="3066" t="s">
        <v>2645</v>
      </c>
      <c r="D74" s="3066" t="s">
        <v>2646</v>
      </c>
      <c r="E74" s="3092">
        <v>0.2</v>
      </c>
      <c r="F74" s="3092">
        <v>25</v>
      </c>
    </row>
    <row r="75" spans="1:7" ht="24">
      <c r="A75" s="3092">
        <v>3</v>
      </c>
      <c r="B75" s="3830"/>
      <c r="C75" s="3066" t="s">
        <v>2647</v>
      </c>
      <c r="D75" s="3066" t="s">
        <v>2648</v>
      </c>
      <c r="E75" s="3092">
        <v>0.2</v>
      </c>
      <c r="F75" s="3092">
        <v>25</v>
      </c>
    </row>
    <row r="76" spans="1:7" ht="13.5">
      <c r="A76" s="3092">
        <v>4</v>
      </c>
      <c r="B76" s="3830"/>
      <c r="C76" s="3066" t="s">
        <v>2649</v>
      </c>
      <c r="D76" s="3066" t="s">
        <v>2650</v>
      </c>
      <c r="E76" s="3092">
        <v>0.15</v>
      </c>
      <c r="F76" s="3092">
        <v>20</v>
      </c>
    </row>
    <row r="77" spans="1:7" ht="24">
      <c r="A77" s="3092">
        <v>5</v>
      </c>
      <c r="B77" s="3830"/>
      <c r="C77" s="3066" t="s">
        <v>2651</v>
      </c>
      <c r="D77" s="3066" t="s">
        <v>2652</v>
      </c>
      <c r="E77" s="3092">
        <v>0.15</v>
      </c>
      <c r="F77" s="3092">
        <v>20</v>
      </c>
    </row>
    <row r="78" spans="1:7" ht="24">
      <c r="A78" s="3092">
        <v>6</v>
      </c>
      <c r="B78" s="3830"/>
      <c r="C78" s="3066" t="s">
        <v>2653</v>
      </c>
      <c r="D78" s="3066" t="s">
        <v>2654</v>
      </c>
      <c r="E78" s="3092">
        <v>0.15</v>
      </c>
      <c r="F78" s="3092">
        <v>20</v>
      </c>
    </row>
    <row r="79" spans="1:7" ht="24">
      <c r="A79" s="3092">
        <v>7</v>
      </c>
      <c r="B79" s="3830"/>
      <c r="C79" s="3066" t="s">
        <v>2655</v>
      </c>
      <c r="D79" s="3066" t="s">
        <v>2656</v>
      </c>
      <c r="E79" s="3092">
        <v>0.15</v>
      </c>
      <c r="F79" s="3092">
        <v>20</v>
      </c>
    </row>
    <row r="80" spans="1:7" ht="24">
      <c r="A80" s="3092">
        <v>8</v>
      </c>
      <c r="B80" s="3830"/>
      <c r="C80" s="3066" t="s">
        <v>2657</v>
      </c>
      <c r="D80" s="3066" t="s">
        <v>2658</v>
      </c>
      <c r="E80" s="3092">
        <v>0.1</v>
      </c>
      <c r="F80" s="3092">
        <v>15</v>
      </c>
    </row>
    <row r="81" spans="1:6" ht="24">
      <c r="A81" s="3092">
        <v>9</v>
      </c>
      <c r="B81" s="3830"/>
      <c r="C81" s="3066" t="s">
        <v>2659</v>
      </c>
      <c r="D81" s="3066" t="s">
        <v>2660</v>
      </c>
      <c r="E81" s="3092">
        <v>0.1</v>
      </c>
      <c r="F81" s="3092">
        <v>15</v>
      </c>
    </row>
    <row r="82" spans="1:6" ht="24">
      <c r="A82" s="3092">
        <v>10</v>
      </c>
      <c r="B82" s="3830"/>
      <c r="C82" s="3066" t="s">
        <v>2661</v>
      </c>
      <c r="D82" s="3066" t="s">
        <v>2662</v>
      </c>
      <c r="E82" s="3092">
        <v>0.1</v>
      </c>
      <c r="F82" s="3092">
        <v>15</v>
      </c>
    </row>
    <row r="83" spans="1:6" ht="24">
      <c r="A83" s="3092">
        <v>11</v>
      </c>
      <c r="B83" s="3830"/>
      <c r="C83" s="3066" t="s">
        <v>2663</v>
      </c>
      <c r="D83" s="3066" t="s">
        <v>2664</v>
      </c>
      <c r="E83" s="3092">
        <v>0.1</v>
      </c>
      <c r="F83" s="3092">
        <v>15</v>
      </c>
    </row>
    <row r="84" spans="1:6" ht="24">
      <c r="A84" s="3092">
        <v>12</v>
      </c>
      <c r="B84" s="3830"/>
      <c r="C84" s="3066" t="s">
        <v>2665</v>
      </c>
      <c r="D84" s="3066" t="s">
        <v>2666</v>
      </c>
      <c r="E84" s="3092">
        <v>0.1</v>
      </c>
      <c r="F84" s="3092">
        <v>15</v>
      </c>
    </row>
    <row r="85" spans="1:6" ht="13.5">
      <c r="A85" s="3092">
        <v>13</v>
      </c>
      <c r="B85" s="3830"/>
      <c r="C85" s="3066" t="s">
        <v>2667</v>
      </c>
      <c r="D85" s="3066" t="s">
        <v>2668</v>
      </c>
      <c r="E85" s="3092">
        <v>0.1</v>
      </c>
      <c r="F85" s="3092">
        <v>15</v>
      </c>
    </row>
    <row r="86" spans="1:6" ht="13.5">
      <c r="A86" s="3092">
        <v>14</v>
      </c>
      <c r="B86" s="3830"/>
      <c r="C86" s="3066" t="s">
        <v>2669</v>
      </c>
      <c r="D86" s="3066" t="s">
        <v>2670</v>
      </c>
      <c r="E86" s="3092">
        <v>0.1</v>
      </c>
      <c r="F86" s="3092">
        <v>15</v>
      </c>
    </row>
    <row r="87" spans="1:6" ht="13.5">
      <c r="A87" s="3092">
        <v>15</v>
      </c>
      <c r="B87" s="3830"/>
      <c r="C87" s="3066" t="s">
        <v>2671</v>
      </c>
      <c r="D87" s="3066" t="s">
        <v>2672</v>
      </c>
      <c r="E87" s="3092">
        <v>0.1</v>
      </c>
      <c r="F87" s="3092">
        <v>15</v>
      </c>
    </row>
    <row r="88" spans="1:6" ht="24">
      <c r="A88" s="3092">
        <v>16</v>
      </c>
      <c r="B88" s="3830"/>
      <c r="C88" s="3066" t="s">
        <v>2673</v>
      </c>
      <c r="D88" s="3066" t="s">
        <v>2674</v>
      </c>
      <c r="E88" s="3092">
        <v>0.1</v>
      </c>
      <c r="F88" s="3092">
        <v>15</v>
      </c>
    </row>
    <row r="89" spans="1:6" ht="24">
      <c r="A89" s="3092">
        <v>17</v>
      </c>
      <c r="B89" s="3829"/>
      <c r="C89" s="3066" t="s">
        <v>2675</v>
      </c>
      <c r="D89" s="3066" t="s">
        <v>2676</v>
      </c>
      <c r="E89" s="3092">
        <v>0.1</v>
      </c>
      <c r="F89" s="3092">
        <v>15</v>
      </c>
    </row>
    <row r="90" spans="1:6" ht="13.5">
      <c r="A90" s="3092">
        <v>18</v>
      </c>
      <c r="B90" s="3828" t="s">
        <v>2677</v>
      </c>
      <c r="C90" s="3066" t="s">
        <v>2678</v>
      </c>
      <c r="D90" s="3066" t="s">
        <v>2679</v>
      </c>
      <c r="E90" s="3092">
        <v>0.2</v>
      </c>
      <c r="F90" s="3092">
        <v>25</v>
      </c>
    </row>
    <row r="91" spans="1:6" ht="24">
      <c r="A91" s="3092">
        <v>19</v>
      </c>
      <c r="B91" s="3830"/>
      <c r="C91" s="3066" t="s">
        <v>2680</v>
      </c>
      <c r="D91" s="3066" t="s">
        <v>2681</v>
      </c>
      <c r="E91" s="3092">
        <v>0.2</v>
      </c>
      <c r="F91" s="3092">
        <v>25</v>
      </c>
    </row>
    <row r="92" spans="1:6" ht="13.5">
      <c r="A92" s="3092">
        <v>20</v>
      </c>
      <c r="B92" s="3830"/>
      <c r="C92" s="3066" t="s">
        <v>2682</v>
      </c>
      <c r="D92" s="3066" t="s">
        <v>2683</v>
      </c>
      <c r="E92" s="3092">
        <v>0.15</v>
      </c>
      <c r="F92" s="3092">
        <v>20</v>
      </c>
    </row>
    <row r="93" spans="1:6" ht="13.5">
      <c r="A93" s="3092">
        <v>21</v>
      </c>
      <c r="B93" s="3830"/>
      <c r="C93" s="3066" t="s">
        <v>2684</v>
      </c>
      <c r="D93" s="3066" t="s">
        <v>2685</v>
      </c>
      <c r="E93" s="3092">
        <v>0.15</v>
      </c>
      <c r="F93" s="3092">
        <v>20</v>
      </c>
    </row>
    <row r="94" spans="1:6" ht="13.5">
      <c r="A94" s="3092">
        <v>22</v>
      </c>
      <c r="B94" s="3830"/>
      <c r="C94" s="3066" t="s">
        <v>2686</v>
      </c>
      <c r="D94" s="3066" t="s">
        <v>2687</v>
      </c>
      <c r="E94" s="3092">
        <v>0.15</v>
      </c>
      <c r="F94" s="3092">
        <v>20</v>
      </c>
    </row>
    <row r="95" spans="1:6" ht="36">
      <c r="A95" s="3092">
        <v>23</v>
      </c>
      <c r="B95" s="3830"/>
      <c r="C95" s="3066" t="s">
        <v>2688</v>
      </c>
      <c r="D95" s="3066" t="s">
        <v>2689</v>
      </c>
      <c r="E95" s="3092">
        <v>0.15</v>
      </c>
      <c r="F95" s="3092">
        <v>20</v>
      </c>
    </row>
    <row r="96" spans="1:6" ht="13.5">
      <c r="A96" s="3092">
        <v>24</v>
      </c>
      <c r="B96" s="3830"/>
      <c r="C96" s="3066" t="s">
        <v>2690</v>
      </c>
      <c r="D96" s="3066" t="s">
        <v>2691</v>
      </c>
      <c r="E96" s="3092">
        <v>0.1</v>
      </c>
      <c r="F96" s="3092">
        <v>15</v>
      </c>
    </row>
    <row r="97" spans="1:6" ht="13.5">
      <c r="A97" s="3092">
        <v>25</v>
      </c>
      <c r="B97" s="3830"/>
      <c r="C97" s="3066" t="s">
        <v>2692</v>
      </c>
      <c r="D97" s="3066" t="s">
        <v>2693</v>
      </c>
      <c r="E97" s="3092">
        <v>0.1</v>
      </c>
      <c r="F97" s="3092">
        <v>15</v>
      </c>
    </row>
    <row r="98" spans="1:6" ht="24">
      <c r="A98" s="3092">
        <v>26</v>
      </c>
      <c r="B98" s="3830"/>
      <c r="C98" s="3066" t="s">
        <v>2694</v>
      </c>
      <c r="D98" s="3066" t="s">
        <v>2695</v>
      </c>
      <c r="E98" s="3092">
        <v>0.1</v>
      </c>
      <c r="F98" s="3092">
        <v>15</v>
      </c>
    </row>
    <row r="99" spans="1:6" ht="24">
      <c r="A99" s="3092">
        <v>27</v>
      </c>
      <c r="B99" s="3830"/>
      <c r="C99" s="3066" t="s">
        <v>2696</v>
      </c>
      <c r="D99" s="3066" t="s">
        <v>2697</v>
      </c>
      <c r="E99" s="3092">
        <v>0.1</v>
      </c>
      <c r="F99" s="3092">
        <v>15</v>
      </c>
    </row>
    <row r="100" spans="1:6" ht="13.5">
      <c r="A100" s="3092">
        <v>28</v>
      </c>
      <c r="B100" s="3830"/>
      <c r="C100" s="3066" t="s">
        <v>2698</v>
      </c>
      <c r="D100" s="3066" t="s">
        <v>2699</v>
      </c>
      <c r="E100" s="3092">
        <v>0.1</v>
      </c>
      <c r="F100" s="3092">
        <v>15</v>
      </c>
    </row>
    <row r="101" spans="1:6" ht="13.5">
      <c r="A101" s="3092">
        <v>29</v>
      </c>
      <c r="B101" s="3830"/>
      <c r="C101" s="3066" t="s">
        <v>2700</v>
      </c>
      <c r="D101" s="3066" t="s">
        <v>2701</v>
      </c>
      <c r="E101" s="3092">
        <v>0.1</v>
      </c>
      <c r="F101" s="3092">
        <v>15</v>
      </c>
    </row>
    <row r="102" spans="1:6" ht="13.5">
      <c r="A102" s="3092">
        <v>30</v>
      </c>
      <c r="B102" s="3830"/>
      <c r="C102" s="3066" t="s">
        <v>2702</v>
      </c>
      <c r="D102" s="3066" t="s">
        <v>2703</v>
      </c>
      <c r="E102" s="3092">
        <v>0.1</v>
      </c>
      <c r="F102" s="3092">
        <v>15</v>
      </c>
    </row>
    <row r="103" spans="1:6" ht="24">
      <c r="A103" s="3092">
        <v>31</v>
      </c>
      <c r="B103" s="3830"/>
      <c r="C103" s="3066" t="s">
        <v>2704</v>
      </c>
      <c r="D103" s="3066" t="s">
        <v>2705</v>
      </c>
      <c r="E103" s="3092">
        <v>0.1</v>
      </c>
      <c r="F103" s="3092">
        <v>15</v>
      </c>
    </row>
    <row r="104" spans="1:6" ht="24">
      <c r="A104" s="3092">
        <v>32</v>
      </c>
      <c r="B104" s="3830"/>
      <c r="C104" s="3066" t="s">
        <v>2706</v>
      </c>
      <c r="D104" s="3066" t="s">
        <v>2707</v>
      </c>
      <c r="E104" s="3092">
        <v>0.1</v>
      </c>
      <c r="F104" s="3092">
        <v>15</v>
      </c>
    </row>
    <row r="105" spans="1:6" ht="24">
      <c r="A105" s="3092">
        <v>33</v>
      </c>
      <c r="B105" s="3830"/>
      <c r="C105" s="3066" t="s">
        <v>2708</v>
      </c>
      <c r="D105" s="3066" t="s">
        <v>2709</v>
      </c>
      <c r="E105" s="3092">
        <v>0.1</v>
      </c>
      <c r="F105" s="3092">
        <v>15</v>
      </c>
    </row>
    <row r="106" spans="1:6" ht="24">
      <c r="A106" s="3092">
        <v>34</v>
      </c>
      <c r="B106" s="3829"/>
      <c r="C106" s="3066" t="s">
        <v>2710</v>
      </c>
      <c r="D106" s="3066" t="s">
        <v>2711</v>
      </c>
      <c r="E106" s="3092">
        <v>0.1</v>
      </c>
      <c r="F106" s="3092">
        <v>15</v>
      </c>
    </row>
    <row r="107" spans="1:6" ht="24">
      <c r="A107" s="3092">
        <v>35</v>
      </c>
      <c r="B107" s="3828" t="s">
        <v>2712</v>
      </c>
      <c r="C107" s="3092" t="s">
        <v>2713</v>
      </c>
      <c r="D107" s="3066" t="s">
        <v>2714</v>
      </c>
      <c r="E107" s="3092">
        <v>0.15</v>
      </c>
      <c r="F107" s="3092">
        <v>20</v>
      </c>
    </row>
    <row r="108" spans="1:6" ht="13.5">
      <c r="A108" s="3092">
        <v>36</v>
      </c>
      <c r="B108" s="3830"/>
      <c r="C108" s="3092" t="s">
        <v>2715</v>
      </c>
      <c r="D108" s="3066" t="s">
        <v>2716</v>
      </c>
      <c r="E108" s="3092">
        <v>0.15</v>
      </c>
      <c r="F108" s="3092">
        <v>20</v>
      </c>
    </row>
    <row r="109" spans="1:6" ht="13.5">
      <c r="A109" s="3092">
        <v>37</v>
      </c>
      <c r="B109" s="3830"/>
      <c r="C109" s="3092" t="s">
        <v>2717</v>
      </c>
      <c r="D109" s="3066" t="s">
        <v>2718</v>
      </c>
      <c r="E109" s="3092">
        <v>0.15</v>
      </c>
      <c r="F109" s="3092">
        <v>20</v>
      </c>
    </row>
    <row r="110" spans="1:6" ht="13.5">
      <c r="A110" s="3092">
        <v>38</v>
      </c>
      <c r="B110" s="3830"/>
      <c r="C110" s="3092" t="s">
        <v>2719</v>
      </c>
      <c r="D110" s="3066" t="s">
        <v>2720</v>
      </c>
      <c r="E110" s="3092">
        <v>0.1</v>
      </c>
      <c r="F110" s="3092">
        <v>15</v>
      </c>
    </row>
    <row r="111" spans="1:6" ht="24">
      <c r="A111" s="3092">
        <v>39</v>
      </c>
      <c r="B111" s="3830"/>
      <c r="C111" s="3092" t="s">
        <v>2721</v>
      </c>
      <c r="D111" s="3066" t="s">
        <v>2722</v>
      </c>
      <c r="E111" s="3092">
        <v>0.1</v>
      </c>
      <c r="F111" s="3092">
        <v>15</v>
      </c>
    </row>
    <row r="112" spans="1:6" ht="24">
      <c r="A112" s="3092">
        <v>40</v>
      </c>
      <c r="B112" s="3829"/>
      <c r="C112" s="3092" t="s">
        <v>2723</v>
      </c>
      <c r="D112" s="3066" t="s">
        <v>2724</v>
      </c>
      <c r="E112" s="3092">
        <v>0.1</v>
      </c>
      <c r="F112" s="3092">
        <v>15</v>
      </c>
    </row>
    <row r="113" spans="1:6" ht="13.5">
      <c r="A113" s="3092">
        <v>41</v>
      </c>
      <c r="B113" s="3827" t="s">
        <v>2725</v>
      </c>
      <c r="C113" s="3092" t="s">
        <v>2726</v>
      </c>
      <c r="D113" s="3066" t="s">
        <v>2727</v>
      </c>
      <c r="E113" s="3092">
        <v>0.1</v>
      </c>
      <c r="F113" s="3092">
        <v>15</v>
      </c>
    </row>
    <row r="114" spans="1:6" ht="13.5">
      <c r="A114" s="3092">
        <v>42</v>
      </c>
      <c r="B114" s="3827"/>
      <c r="C114" s="3092" t="s">
        <v>2728</v>
      </c>
      <c r="D114" s="3066" t="s">
        <v>2729</v>
      </c>
      <c r="E114" s="3092">
        <v>0.1</v>
      </c>
      <c r="F114" s="3092">
        <v>15</v>
      </c>
    </row>
    <row r="115" spans="1:6" ht="24">
      <c r="A115" s="3092">
        <v>43</v>
      </c>
      <c r="B115" s="3827"/>
      <c r="C115" s="3092" t="s">
        <v>2730</v>
      </c>
      <c r="D115" s="3066" t="s">
        <v>2731</v>
      </c>
      <c r="E115" s="3092">
        <v>0.1</v>
      </c>
      <c r="F115" s="3092">
        <v>15</v>
      </c>
    </row>
    <row r="116" spans="1:6" ht="13.5">
      <c r="A116" s="3092">
        <v>44</v>
      </c>
      <c r="B116" s="3828" t="s">
        <v>2732</v>
      </c>
      <c r="C116" s="3092" t="s">
        <v>2733</v>
      </c>
      <c r="D116" s="3066" t="s">
        <v>2734</v>
      </c>
      <c r="E116" s="3092">
        <v>0.1</v>
      </c>
      <c r="F116" s="3092">
        <v>15</v>
      </c>
    </row>
    <row r="117" spans="1:6" ht="24">
      <c r="A117" s="3092">
        <v>45</v>
      </c>
      <c r="B117" s="3829"/>
      <c r="C117" s="3066" t="s">
        <v>2735</v>
      </c>
      <c r="D117" s="3066" t="s">
        <v>2736</v>
      </c>
      <c r="E117" s="3092">
        <v>0.1</v>
      </c>
      <c r="F117" s="3092">
        <v>15</v>
      </c>
    </row>
    <row r="118" spans="1:6" ht="24">
      <c r="A118" s="3092">
        <v>46</v>
      </c>
      <c r="B118" s="3828" t="s">
        <v>2737</v>
      </c>
      <c r="C118" s="3092" t="s">
        <v>2738</v>
      </c>
      <c r="D118" s="3066" t="s">
        <v>2739</v>
      </c>
      <c r="E118" s="3092">
        <v>0.1</v>
      </c>
      <c r="F118" s="3092">
        <v>15</v>
      </c>
    </row>
    <row r="119" spans="1:6" ht="24">
      <c r="A119" s="3092">
        <v>47</v>
      </c>
      <c r="B119" s="3829"/>
      <c r="C119" s="3092" t="s">
        <v>2740</v>
      </c>
      <c r="D119" s="3066" t="s">
        <v>2741</v>
      </c>
      <c r="E119" s="3092">
        <v>0.1</v>
      </c>
      <c r="F119" s="3092">
        <v>15</v>
      </c>
    </row>
    <row r="120" spans="1:6" ht="13.5">
      <c r="A120" s="3092">
        <v>48</v>
      </c>
      <c r="B120" s="3828" t="s">
        <v>2742</v>
      </c>
      <c r="C120" s="3092" t="s">
        <v>2743</v>
      </c>
      <c r="D120" s="3066" t="s">
        <v>2744</v>
      </c>
      <c r="E120" s="3092">
        <v>0.1</v>
      </c>
      <c r="F120" s="3092">
        <v>15</v>
      </c>
    </row>
    <row r="121" spans="1:6" ht="13.5">
      <c r="A121" s="3092">
        <v>49</v>
      </c>
      <c r="B121" s="3829"/>
      <c r="C121" s="3092" t="s">
        <v>2745</v>
      </c>
      <c r="D121" s="3066" t="s">
        <v>2746</v>
      </c>
      <c r="E121" s="3092">
        <v>0.1</v>
      </c>
      <c r="F121" s="3092">
        <v>15</v>
      </c>
    </row>
    <row r="122" spans="1:6" ht="24">
      <c r="A122" s="3092">
        <v>50</v>
      </c>
      <c r="B122" s="3827" t="s">
        <v>2747</v>
      </c>
      <c r="C122" s="3092" t="s">
        <v>2748</v>
      </c>
      <c r="D122" s="3066" t="s">
        <v>2749</v>
      </c>
      <c r="E122" s="3092">
        <v>0.1</v>
      </c>
      <c r="F122" s="3092">
        <v>15</v>
      </c>
    </row>
    <row r="123" spans="1:6" ht="24">
      <c r="A123" s="3092">
        <v>51</v>
      </c>
      <c r="B123" s="3827"/>
      <c r="C123" s="3092" t="s">
        <v>2750</v>
      </c>
      <c r="D123" s="3066" t="s">
        <v>2751</v>
      </c>
      <c r="E123" s="3092">
        <v>0.1</v>
      </c>
      <c r="F123" s="3092">
        <v>15</v>
      </c>
    </row>
    <row r="124" spans="1:6" ht="24">
      <c r="A124" s="3092">
        <v>52</v>
      </c>
      <c r="B124" s="3827" t="s">
        <v>2752</v>
      </c>
      <c r="C124" s="3092" t="s">
        <v>2753</v>
      </c>
      <c r="D124" s="3066" t="s">
        <v>2754</v>
      </c>
      <c r="E124" s="3092">
        <v>0.1</v>
      </c>
      <c r="F124" s="3092">
        <v>15</v>
      </c>
    </row>
    <row r="125" spans="1:6" ht="24">
      <c r="A125" s="3092">
        <v>53</v>
      </c>
      <c r="B125" s="3827"/>
      <c r="C125" s="3092" t="s">
        <v>2755</v>
      </c>
      <c r="D125" s="3066" t="s">
        <v>2756</v>
      </c>
      <c r="E125" s="3092">
        <v>0.1</v>
      </c>
      <c r="F125" s="3092">
        <v>15</v>
      </c>
    </row>
    <row r="126" spans="1:6" ht="13.5">
      <c r="A126" s="3092">
        <v>54</v>
      </c>
      <c r="B126" s="3092" t="s">
        <v>2757</v>
      </c>
      <c r="C126" s="3092" t="s">
        <v>2758</v>
      </c>
      <c r="D126" s="3066" t="s">
        <v>2759</v>
      </c>
      <c r="E126" s="3092">
        <v>0.1</v>
      </c>
      <c r="F126" s="3092">
        <v>15</v>
      </c>
    </row>
    <row r="127" spans="1:6" ht="13.5">
      <c r="A127" s="3092">
        <v>55</v>
      </c>
      <c r="B127" s="3827" t="s">
        <v>2760</v>
      </c>
      <c r="C127" s="3092" t="s">
        <v>2761</v>
      </c>
      <c r="D127" s="3066" t="s">
        <v>2762</v>
      </c>
      <c r="E127" s="3092">
        <v>0.1</v>
      </c>
      <c r="F127" s="3092">
        <v>15</v>
      </c>
    </row>
    <row r="128" spans="1:6" ht="13.5">
      <c r="A128" s="3092">
        <v>56</v>
      </c>
      <c r="B128" s="3827"/>
      <c r="C128" s="3092" t="s">
        <v>2763</v>
      </c>
      <c r="D128" s="3066" t="s">
        <v>2764</v>
      </c>
      <c r="E128" s="3092">
        <v>0.1</v>
      </c>
      <c r="F128" s="3092">
        <v>15</v>
      </c>
    </row>
    <row r="129" spans="1:6" ht="24">
      <c r="A129" s="3092">
        <v>57</v>
      </c>
      <c r="B129" s="3827"/>
      <c r="C129" s="3092" t="s">
        <v>2765</v>
      </c>
      <c r="D129" s="3066" t="s">
        <v>2766</v>
      </c>
      <c r="E129" s="3092">
        <v>0.1</v>
      </c>
      <c r="F129" s="3092">
        <v>15</v>
      </c>
    </row>
    <row r="130" spans="1:6" ht="24">
      <c r="A130" s="3092">
        <v>58</v>
      </c>
      <c r="B130" s="3827" t="s">
        <v>2767</v>
      </c>
      <c r="C130" s="3092" t="s">
        <v>2768</v>
      </c>
      <c r="D130" s="3066" t="s">
        <v>2769</v>
      </c>
      <c r="E130" s="3092">
        <v>0.1</v>
      </c>
      <c r="F130" s="3092">
        <v>15</v>
      </c>
    </row>
    <row r="131" spans="1:6" ht="13.5">
      <c r="A131" s="3092">
        <v>59</v>
      </c>
      <c r="B131" s="3827"/>
      <c r="C131" s="3092" t="s">
        <v>2770</v>
      </c>
      <c r="D131" s="3066" t="s">
        <v>2771</v>
      </c>
      <c r="E131" s="3092">
        <v>0.1</v>
      </c>
      <c r="F131" s="3092">
        <v>15</v>
      </c>
    </row>
    <row r="132" spans="1:6" ht="13.5">
      <c r="A132" s="3092">
        <v>60</v>
      </c>
      <c r="B132" s="3828" t="s">
        <v>2772</v>
      </c>
      <c r="C132" s="3092" t="s">
        <v>2773</v>
      </c>
      <c r="D132" s="3066" t="s">
        <v>2774</v>
      </c>
      <c r="E132" s="3092">
        <v>0.1</v>
      </c>
      <c r="F132" s="3092">
        <v>15</v>
      </c>
    </row>
    <row r="133" spans="1:6" ht="13.5">
      <c r="A133" s="3092">
        <v>61</v>
      </c>
      <c r="B133" s="3829"/>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13.5">
      <c r="A135" s="3092">
        <v>63</v>
      </c>
      <c r="B135" s="3827" t="s">
        <v>2780</v>
      </c>
      <c r="C135" s="3092" t="s">
        <v>2781</v>
      </c>
      <c r="D135" s="3066" t="s">
        <v>2782</v>
      </c>
      <c r="E135" s="3092">
        <v>0.1</v>
      </c>
      <c r="F135" s="3092">
        <v>15</v>
      </c>
    </row>
    <row r="136" spans="1:6" ht="13.5">
      <c r="A136" s="3092">
        <v>64</v>
      </c>
      <c r="B136" s="3827"/>
      <c r="C136" s="3092" t="s">
        <v>2783</v>
      </c>
      <c r="D136" s="3066" t="s">
        <v>2784</v>
      </c>
      <c r="E136" s="3092">
        <v>0.1</v>
      </c>
      <c r="F136" s="3092">
        <v>15</v>
      </c>
    </row>
    <row r="137" spans="1:6" ht="13.5">
      <c r="A137" s="3092">
        <v>65</v>
      </c>
      <c r="B137" s="3092" t="s">
        <v>2785</v>
      </c>
      <c r="C137" s="3092" t="s">
        <v>2786</v>
      </c>
      <c r="D137" s="3066" t="s">
        <v>2787</v>
      </c>
      <c r="E137" s="3092">
        <v>0.1</v>
      </c>
      <c r="F137" s="3092">
        <v>15</v>
      </c>
    </row>
    <row r="138" spans="1:6" ht="13.5">
      <c r="A138" s="3092"/>
      <c r="B138" s="3092"/>
      <c r="C138" s="3092"/>
      <c r="D138" s="3092"/>
      <c r="E138" s="3092" t="s">
        <v>2788</v>
      </c>
      <c r="F138" s="3092"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估价结果一览表（市场价值不需“结果表-1”）</v>
      </c>
      <c r="B3" s="3515"/>
      <c r="C3" s="3515"/>
      <c r="D3" s="3515"/>
      <c r="E3" s="3515"/>
    </row>
    <row r="4" spans="1:5" ht="19.5" thickBot="1">
      <c r="A4" s="1479"/>
      <c r="B4" s="3513" t="s">
        <v>917</v>
      </c>
      <c r="C4" s="3513"/>
      <c r="D4" s="3513"/>
      <c r="E4" s="1479"/>
    </row>
    <row r="5" spans="1:5" ht="16.5" thickTop="1">
      <c r="A5" s="1477"/>
      <c r="B5" s="3511" t="s">
        <v>909</v>
      </c>
      <c r="C5" s="1480" t="s">
        <v>910</v>
      </c>
      <c r="D5" s="837">
        <f ca="1">结果表!H101</f>
        <v>2874</v>
      </c>
      <c r="E5" s="1477"/>
    </row>
    <row r="6" spans="1:5" ht="15.75">
      <c r="A6" s="1477"/>
      <c r="B6" s="3511"/>
      <c r="C6" s="1480" t="s">
        <v>911</v>
      </c>
      <c r="D6" s="837" t="str">
        <f ca="1">NUMBERSTRING(INT(D5*10000),2)&amp;"元整"</f>
        <v>贰仟捌佰柒拾肆万元整</v>
      </c>
      <c r="E6" s="1477"/>
    </row>
    <row r="7" spans="1:5" ht="15.75">
      <c r="A7" s="1477"/>
      <c r="B7" s="3516"/>
      <c r="C7" s="1481" t="s">
        <v>912</v>
      </c>
      <c r="D7" s="838">
        <f ca="1">结果表!H102</f>
        <v>3473</v>
      </c>
      <c r="E7" s="1477"/>
    </row>
    <row r="8" spans="1:5" ht="15.75">
      <c r="A8" s="1477"/>
      <c r="B8" s="3517" t="str">
        <f>结果表!E103</f>
        <v>2.估价师知悉的法定优先受偿款</v>
      </c>
      <c r="C8" s="1482" t="s">
        <v>913</v>
      </c>
      <c r="D8" s="838">
        <f>结果表!H103</f>
        <v>0</v>
      </c>
      <c r="E8" s="1477"/>
    </row>
    <row r="9" spans="1:5" ht="15.75">
      <c r="A9" s="1477"/>
      <c r="B9" s="3519"/>
      <c r="C9" s="1480" t="s">
        <v>911</v>
      </c>
      <c r="D9" s="837" t="str">
        <f>NUMBERSTRING(INT(D8*10000),2)&amp;"元整"</f>
        <v>零元整</v>
      </c>
      <c r="E9" s="1477"/>
    </row>
    <row r="10" spans="1:5" ht="15">
      <c r="A10" s="1477"/>
      <c r="B10" s="1483" t="s">
        <v>916</v>
      </c>
      <c r="C10" s="1484" t="s">
        <v>914</v>
      </c>
      <c r="D10" s="839">
        <f>结果表!H104</f>
        <v>0</v>
      </c>
      <c r="E10" s="1477"/>
    </row>
    <row r="11" spans="1:5" ht="15">
      <c r="A11" s="1477"/>
      <c r="B11" s="1483" t="s">
        <v>918</v>
      </c>
      <c r="C11" s="1484" t="s">
        <v>919</v>
      </c>
      <c r="D11" s="839">
        <f>结果表!H105</f>
        <v>0</v>
      </c>
      <c r="E11" s="1477"/>
    </row>
    <row r="12" spans="1:5" ht="15">
      <c r="A12" s="1477"/>
      <c r="B12" s="1483" t="s">
        <v>920</v>
      </c>
      <c r="C12" s="1484" t="s">
        <v>919</v>
      </c>
      <c r="D12" s="839">
        <f>结果表!H106</f>
        <v>0</v>
      </c>
      <c r="E12" s="1477"/>
    </row>
    <row r="13" spans="1:5" ht="15.75">
      <c r="A13" s="1477"/>
      <c r="B13" s="3510" t="str">
        <f>结果表!E107</f>
        <v>3.房地产抵押价值</v>
      </c>
      <c r="C13" s="1485" t="s">
        <v>910</v>
      </c>
      <c r="D13" s="840">
        <f ca="1">结果表!H107</f>
        <v>2874</v>
      </c>
      <c r="E13" s="1477"/>
    </row>
    <row r="14" spans="1:5" ht="15.75">
      <c r="A14" s="1477"/>
      <c r="B14" s="3511"/>
      <c r="C14" s="1480" t="s">
        <v>911</v>
      </c>
      <c r="D14" s="837" t="str">
        <f ca="1">NUMBERSTRING(INT(D13*10000),2)&amp;"元整"</f>
        <v>贰仟捌佰柒拾肆万元整</v>
      </c>
      <c r="E14" s="1477"/>
    </row>
    <row r="15" spans="1:5" ht="15">
      <c r="A15" s="1477"/>
      <c r="B15" s="3516"/>
      <c r="C15" s="1481" t="s">
        <v>921</v>
      </c>
      <c r="D15" s="846">
        <f ca="1">结果表!H108</f>
        <v>3473</v>
      </c>
      <c r="E15" s="1477"/>
    </row>
    <row r="16" spans="1:5" ht="15">
      <c r="A16" s="1477"/>
      <c r="B16" s="3517" t="str">
        <f>结果表!E109</f>
        <v>——</v>
      </c>
      <c r="C16" s="1485" t="s">
        <v>922</v>
      </c>
      <c r="D16" s="1486" t="str">
        <f>结果表!H109</f>
        <v>——</v>
      </c>
      <c r="E16" s="1477"/>
    </row>
    <row r="17" spans="1:5" ht="15.75">
      <c r="A17" s="1477"/>
      <c r="B17" s="3518"/>
      <c r="C17" s="1480" t="s">
        <v>923</v>
      </c>
      <c r="D17" s="837" t="e">
        <f>NUMBERSTRING(INT(D16*10000),2)&amp;"元整"</f>
        <v>#VALUE!</v>
      </c>
      <c r="E17" s="1477"/>
    </row>
    <row r="18" spans="1:5" ht="15">
      <c r="A18" s="1477"/>
      <c r="B18" s="3519"/>
      <c r="C18" s="1481" t="s">
        <v>912</v>
      </c>
      <c r="D18" s="846" t="str">
        <f>结果表!H110</f>
        <v>——</v>
      </c>
      <c r="E18" s="1477"/>
    </row>
    <row r="19" spans="1:5" ht="15.75">
      <c r="A19" s="1477"/>
      <c r="B19" s="3510" t="str">
        <f>结果表!E111</f>
        <v>——</v>
      </c>
      <c r="C19" s="1485" t="s">
        <v>910</v>
      </c>
      <c r="D19" s="838" t="str">
        <f>结果表!H111</f>
        <v>——</v>
      </c>
      <c r="E19" s="1477"/>
    </row>
    <row r="20" spans="1:5" ht="15.75">
      <c r="A20" s="1477"/>
      <c r="B20" s="3511"/>
      <c r="C20" s="1480" t="s">
        <v>923</v>
      </c>
      <c r="D20" s="837" t="e">
        <f>NUMBERSTRING(INT(D19*10000),2)&amp;"元整"</f>
        <v>#VALUE!</v>
      </c>
      <c r="E20" s="1477"/>
    </row>
    <row r="21" spans="1:5" ht="15.75" thickBot="1">
      <c r="A21" s="1477"/>
      <c r="B21" s="3512"/>
      <c r="C21" s="1487" t="s">
        <v>921</v>
      </c>
      <c r="D21" s="847"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5"/>
    <col min="14" max="16384" width="9" style="737"/>
  </cols>
  <sheetData>
    <row r="1" spans="1:20" ht="15"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31372</v>
      </c>
      <c r="C2" s="2" t="s">
        <v>106</v>
      </c>
      <c r="D2" s="189"/>
      <c r="E2" s="189"/>
      <c r="F2" s="189"/>
      <c r="G2" s="189"/>
    </row>
    <row r="3" spans="1:7" s="190" customFormat="1" ht="18" customHeight="1" thickBot="1">
      <c r="A3" s="193" t="s">
        <v>58</v>
      </c>
      <c r="B3" s="194">
        <f ca="1">ROUND(B2*10000/'数据-汇总表'!E3,0)</f>
        <v>37908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27</v>
      </c>
      <c r="D10" s="832">
        <f>'数据-汇总表'!E6</f>
        <v>8275.91</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166</v>
      </c>
      <c r="D19" s="836">
        <f>'数据-汇总表'!E3</f>
        <v>8275.91</v>
      </c>
      <c r="E19" s="201">
        <f>'数据-取费表'!B31</f>
        <v>200</v>
      </c>
      <c r="F19" s="221"/>
      <c r="G19" s="1" t="s">
        <v>436</v>
      </c>
    </row>
    <row r="20" spans="1:7" s="204" customFormat="1" ht="13.5" customHeight="1">
      <c r="A20" s="764" t="s">
        <v>419</v>
      </c>
      <c r="B20" s="200" t="s">
        <v>77</v>
      </c>
      <c r="C20" s="222">
        <f>ROUND((C5+C19)*F20,0)</f>
        <v>416</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1473</v>
      </c>
      <c r="D22" s="225">
        <f ca="1">C26</f>
        <v>6.9999999999999999E-4</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1447</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12</v>
      </c>
      <c r="D24" s="228"/>
      <c r="E24" s="228"/>
      <c r="F24" s="229"/>
      <c r="G24" s="230" t="s">
        <v>82</v>
      </c>
    </row>
    <row r="25" spans="1:7" s="204" customFormat="1" ht="24">
      <c r="A25" s="767" t="s">
        <v>348</v>
      </c>
      <c r="B25" s="205" t="s">
        <v>420</v>
      </c>
      <c r="C25" s="1092">
        <f ca="1">ROUND(IF('数据-取费表'!B22&lt;=1,C20*F22*'数据-取费表'!B23/2,C20*(POWER((1+F22),'数据-取费表'!B23/2)-1)),0)</f>
        <v>14</v>
      </c>
      <c r="D25" s="228"/>
      <c r="E25" s="231"/>
      <c r="F25" s="229"/>
      <c r="G25" s="232" t="s">
        <v>83</v>
      </c>
    </row>
    <row r="26" spans="1:7" s="204" customFormat="1">
      <c r="A26" s="767" t="s">
        <v>350</v>
      </c>
      <c r="B26" s="205" t="s">
        <v>422</v>
      </c>
      <c r="C26" s="228">
        <f ca="1">ROUND(IF('数据-取费表'!B22&lt;=1,F21*F22*'数据-取费表'!B23/2,F21*(POWER((1+F22),'数据-取费表'!B23/2)-1)),4)</f>
        <v>6.9999999999999999E-4</v>
      </c>
      <c r="D26" s="228"/>
      <c r="E26" s="231"/>
      <c r="F26" s="229"/>
      <c r="G26" s="233"/>
    </row>
    <row r="27" spans="1:7" s="204" customFormat="1" ht="24.75">
      <c r="A27" s="764" t="s">
        <v>342</v>
      </c>
      <c r="B27" s="234" t="s">
        <v>85</v>
      </c>
      <c r="C27" s="235">
        <f>C28</f>
        <v>3179</v>
      </c>
      <c r="D27" s="225">
        <f>C29</f>
        <v>3.0000000000000001E-3</v>
      </c>
      <c r="E27" s="226" t="s">
        <v>99</v>
      </c>
      <c r="F27" s="236">
        <f>'数据-取费表'!Q16</f>
        <v>0.15</v>
      </c>
      <c r="G27" s="237" t="s">
        <v>431</v>
      </c>
    </row>
    <row r="28" spans="1:7" s="204" customFormat="1" ht="13.5" customHeight="1">
      <c r="A28" s="767" t="s">
        <v>349</v>
      </c>
      <c r="B28" s="238" t="s">
        <v>424</v>
      </c>
      <c r="C28" s="239">
        <f>ROUND((C5+C19+C20)*F27*'数据-取费表'!B21/'数据-取费表'!B20,0)</f>
        <v>3179</v>
      </c>
      <c r="D28" s="225"/>
      <c r="E28" s="226"/>
      <c r="F28" s="236"/>
      <c r="G28" s="237"/>
    </row>
    <row r="29" spans="1:7" s="204" customFormat="1" ht="13.5" customHeight="1">
      <c r="A29" s="767" t="s">
        <v>347</v>
      </c>
      <c r="B29" s="238" t="s">
        <v>425</v>
      </c>
      <c r="C29" s="228">
        <f>ROUND(C21*F27*'数据-取费表'!B21/'数据-取费表'!B20,4)</f>
        <v>3.0000000000000001E-3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27972</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3910</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3583</v>
      </c>
      <c r="D34" s="207"/>
      <c r="E34" s="210"/>
      <c r="F34" s="247">
        <f>IF('数据-取费表'!B24=0,1,'数据-取费表'!N16)</f>
        <v>1</v>
      </c>
      <c r="G34" s="209" t="s">
        <v>89</v>
      </c>
    </row>
    <row r="35" spans="1:7" ht="13.5" customHeight="1">
      <c r="A35" s="767" t="s">
        <v>351</v>
      </c>
      <c r="B35" s="205" t="s">
        <v>33</v>
      </c>
      <c r="C35" s="210">
        <f>ROUND(C34*F35,0)</f>
        <v>107</v>
      </c>
      <c r="D35" s="210"/>
      <c r="E35" s="210"/>
      <c r="F35" s="249">
        <f>'数据-取费表'!B33</f>
        <v>0.03</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166</v>
      </c>
      <c r="D37" s="207">
        <f>'数据-汇总表'!E3</f>
        <v>8275.91</v>
      </c>
      <c r="E37" s="239">
        <f>'数据-取费表'!B35</f>
        <v>200</v>
      </c>
      <c r="F37" s="249"/>
      <c r="G37" s="251" t="s">
        <v>92</v>
      </c>
    </row>
    <row r="38" spans="1:7" ht="13.5" customHeight="1">
      <c r="A38" s="767" t="s">
        <v>354</v>
      </c>
      <c r="B38" s="205" t="s">
        <v>36</v>
      </c>
      <c r="C38" s="210">
        <f>ROUND(C34*F38,0)</f>
        <v>54</v>
      </c>
      <c r="D38" s="210"/>
      <c r="E38" s="210"/>
      <c r="F38" s="249">
        <f>'数据-取费表'!B36</f>
        <v>1.4999999999999999E-2</v>
      </c>
      <c r="G38" s="209" t="s">
        <v>90</v>
      </c>
    </row>
    <row r="39" spans="1:7" s="204" customFormat="1" ht="13.5" customHeight="1">
      <c r="A39" s="764" t="s">
        <v>338</v>
      </c>
      <c r="B39" s="200" t="s">
        <v>77</v>
      </c>
      <c r="C39" s="222">
        <f>ROUND(C33*F20,0)</f>
        <v>78</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138</v>
      </c>
      <c r="D41" s="225">
        <f ca="1">C44</f>
        <v>6.9999999999999999E-4</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135</v>
      </c>
      <c r="D42" s="228"/>
      <c r="E42" s="228"/>
      <c r="F42" s="229"/>
      <c r="G42" s="3745" t="s">
        <v>94</v>
      </c>
    </row>
    <row r="43" spans="1:7" ht="13.5" customHeight="1">
      <c r="A43" s="767" t="s">
        <v>347</v>
      </c>
      <c r="B43" s="205" t="s">
        <v>426</v>
      </c>
      <c r="C43" s="228">
        <f ca="1">ROUND(IF('数据-取费表'!B22&lt;=1,C39*F22*'数据-取费表'!B21/2,C39*(POWER((1+F22),'数据-取费表'!B21/2)-1)),0)</f>
        <v>3</v>
      </c>
      <c r="D43" s="228"/>
      <c r="E43" s="228"/>
      <c r="F43" s="229"/>
      <c r="G43" s="3746"/>
    </row>
    <row r="44" spans="1:7" ht="13.5" customHeight="1">
      <c r="A44" s="767" t="s">
        <v>348</v>
      </c>
      <c r="B44" s="205" t="s">
        <v>428</v>
      </c>
      <c r="C44" s="228">
        <f ca="1">ROUND(IF('数据-取费表'!B22&lt;=1,C40*F22*'数据-取费表'!B21/2,C40*(POWER((1+F22),'数据-取费表'!B21/2)-1)),4)</f>
        <v>6.9999999999999999E-4</v>
      </c>
      <c r="D44" s="228"/>
      <c r="E44" s="228"/>
      <c r="F44" s="229"/>
      <c r="G44" s="3747"/>
    </row>
    <row r="45" spans="1:7" s="204" customFormat="1" ht="13.5" customHeight="1">
      <c r="A45" s="764" t="s">
        <v>341</v>
      </c>
      <c r="B45" s="234" t="s">
        <v>85</v>
      </c>
      <c r="C45" s="235">
        <f>C46</f>
        <v>598</v>
      </c>
      <c r="D45" s="225">
        <f>C47</f>
        <v>3.0000000000000001E-3</v>
      </c>
      <c r="E45" s="226" t="s">
        <v>102</v>
      </c>
      <c r="F45" s="236"/>
      <c r="G45" s="237" t="s">
        <v>434</v>
      </c>
    </row>
    <row r="46" spans="1:7" s="204" customFormat="1" ht="13.5" customHeight="1">
      <c r="A46" s="767" t="s">
        <v>349</v>
      </c>
      <c r="B46" s="238" t="s">
        <v>427</v>
      </c>
      <c r="C46" s="239">
        <f>ROUND((C33+C39)*F27,0)</f>
        <v>598</v>
      </c>
      <c r="D46" s="253"/>
      <c r="E46" s="226"/>
      <c r="F46" s="236"/>
      <c r="G46" s="237"/>
    </row>
    <row r="47" spans="1:7" s="204" customFormat="1" ht="13.5" customHeight="1">
      <c r="A47" s="767" t="s">
        <v>347</v>
      </c>
      <c r="B47" s="238" t="s">
        <v>429</v>
      </c>
      <c r="C47" s="228">
        <f>ROUND(C40*F27,4)</f>
        <v>3.0000000000000001E-3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5113</v>
      </c>
      <c r="D49" s="222"/>
      <c r="E49" s="222"/>
      <c r="F49" s="254"/>
      <c r="G49" s="224" t="s">
        <v>435</v>
      </c>
    </row>
    <row r="50" spans="1:7" s="248" customFormat="1" ht="24">
      <c r="A50" s="764" t="s">
        <v>344</v>
      </c>
      <c r="B50" s="200" t="s">
        <v>97</v>
      </c>
      <c r="C50" s="222"/>
      <c r="D50" s="222"/>
      <c r="E50" s="222"/>
      <c r="F50" s="254">
        <f>IF('数据-取费表'!B24=0,'数据-取费表'!N16,1)</f>
        <v>0.66500000000000004</v>
      </c>
      <c r="G50" s="237" t="s">
        <v>98</v>
      </c>
    </row>
    <row r="51" spans="1:7" ht="16.5" customHeight="1">
      <c r="A51" s="764" t="s">
        <v>345</v>
      </c>
      <c r="B51" s="200" t="s">
        <v>105</v>
      </c>
      <c r="C51" s="222">
        <f ca="1">ROUND(C49*F50,0)</f>
        <v>3400</v>
      </c>
      <c r="D51" s="222"/>
      <c r="E51" s="222"/>
      <c r="F51" s="254"/>
      <c r="G51" s="224" t="s">
        <v>37</v>
      </c>
    </row>
    <row r="52" spans="1:7" s="198" customFormat="1" ht="16.5" thickBot="1">
      <c r="A52" s="255" t="s">
        <v>38</v>
      </c>
      <c r="B52" s="256"/>
      <c r="C52" s="257">
        <f ca="1">C31+C51</f>
        <v>31372</v>
      </c>
      <c r="D52" s="256"/>
      <c r="E52" s="256"/>
      <c r="F52" s="256"/>
      <c r="G52" s="258"/>
    </row>
    <row r="55" spans="1:7" ht="15">
      <c r="B55" s="260" t="s">
        <v>39</v>
      </c>
      <c r="C55" s="261"/>
    </row>
    <row r="56" spans="1:7">
      <c r="B56" s="263" t="s">
        <v>40</v>
      </c>
      <c r="C56" s="264">
        <f ca="1">ROUND(C51/C52,3)</f>
        <v>0.108</v>
      </c>
    </row>
    <row r="57" spans="1:7">
      <c r="B57" s="263" t="s">
        <v>41</v>
      </c>
      <c r="C57" s="265">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41" t="s">
        <v>2832</v>
      </c>
      <c r="B1" s="3841"/>
      <c r="C1" s="3841"/>
      <c r="D1" s="3841"/>
      <c r="E1" s="3841"/>
      <c r="F1" s="3841"/>
      <c r="G1" s="3842"/>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2"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9"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2" thickBot="1">
      <c r="A4" s="3840"/>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2"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2"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2"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2"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43" t="s">
        <v>3174</v>
      </c>
      <c r="B1" s="3843"/>
    </row>
    <row r="2" spans="1:7" ht="14.25" thickBot="1">
      <c r="A2" s="3229"/>
      <c r="B2" s="3229"/>
    </row>
    <row r="3" spans="1:7" ht="14.25" thickBot="1">
      <c r="A3" s="3229"/>
      <c r="B3" s="3229"/>
      <c r="C3" s="3230" t="s">
        <v>2802</v>
      </c>
      <c r="D3" s="3230" t="s">
        <v>2860</v>
      </c>
      <c r="E3" s="3230" t="s">
        <v>2804</v>
      </c>
      <c r="F3" s="3230" t="s">
        <v>2861</v>
      </c>
      <c r="G3" s="3230" t="s">
        <v>2622</v>
      </c>
    </row>
    <row r="4" spans="1:7" ht="14.2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4.2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4.2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4.2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4.2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4.2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4.2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4.2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4.2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4.2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4.2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4"/>
  </cols>
  <sheetData>
    <row r="1" spans="1:6">
      <c r="A1" s="3844" t="s">
        <v>3225</v>
      </c>
      <c r="B1" s="3844"/>
      <c r="C1" s="3844"/>
      <c r="D1" s="3844"/>
      <c r="E1" s="3844"/>
      <c r="F1" s="3845"/>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6" t="s">
        <v>456</v>
      </c>
      <c r="S1" s="3847"/>
      <c r="T1" s="3847"/>
      <c r="U1" s="3847"/>
      <c r="V1" s="3847"/>
      <c r="W1" s="3847"/>
      <c r="X1" s="3139"/>
      <c r="Y1" s="3846" t="s">
        <v>457</v>
      </c>
      <c r="Z1" s="3847"/>
      <c r="AA1" s="3847"/>
      <c r="AB1" s="3847"/>
      <c r="AC1" s="3847"/>
      <c r="AD1" s="3847"/>
    </row>
    <row r="2" spans="1:30" s="3117" customFormat="1" ht="14.2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2.75">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2.75">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2.75">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2.75">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2.75">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ROUND(IF([4]项目基本情况!B8="出让",SUMPRODUCT(PRODUCT(1+K9:K16)),SUMPRODUCT(PRODUCT(1+K9:K15))),4)</f>
        <v>1.0565</v>
      </c>
      <c r="S9" s="3157">
        <f>ROUND(IF([4]项目基本情况!B8="出让",SUMPRODUCT(PRODUCT(1+L9:L16)),SUMPRODUCT(PRODUCT(1+L9:L15))),4)</f>
        <v>1.0250999999999999</v>
      </c>
      <c r="T9" s="3157">
        <f>ROUND(IF([4]项目基本情况!B8="出让",SUMPRODUCT(PRODUCT(1+M9:M16)),SUMPRODUCT(PRODUCT(1+M9:M15))),4)</f>
        <v>1.0145</v>
      </c>
      <c r="U9" s="3157">
        <f>ROUND(IF([4]项目基本情况!B8="出让",SUMPRODUCT(PRODUCT(1+N9:N16)),SUMPRODUCT(PRODUCT(1+N9:N15))),4)</f>
        <v>1.0618000000000001</v>
      </c>
      <c r="V9" s="3157">
        <f>ROUND(IF([4]项目基本情况!B8="出让",SUMPRODUCT(PRODUCT(1+O9:O16)),SUMPRODUCT(PRODUCT(1+O9:O15))),4)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2.75">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ROUND(IF([4]项目基本情况!B8="出让",SUMPRODUCT(PRODUCT(1+K10:K16)),SUMPRODUCT(PRODUCT(1+K10:K15))),4)</f>
        <v>1.05</v>
      </c>
      <c r="S10" s="3157">
        <f>ROUND(IF([4]项目基本情况!B8="出让",SUMPRODUCT(PRODUCT(1+L10:L16)),SUMPRODUCT(PRODUCT(1+L10:L15))),4)</f>
        <v>1.0229999999999999</v>
      </c>
      <c r="T10" s="3157">
        <f>ROUND(IF([4]项目基本情况!B8="出让",SUMPRODUCT(PRODUCT(1+M10:M16)),SUMPRODUCT(PRODUCT(1+M10:M15))),4)</f>
        <v>1.0134000000000001</v>
      </c>
      <c r="U10" s="3157">
        <f>ROUND(IF([4]项目基本情况!B8="出让",SUMPRODUCT(PRODUCT(1+N10:N16)),SUMPRODUCT(PRODUCT(1+N10:N15))),4)</f>
        <v>1.0545</v>
      </c>
      <c r="V10" s="3157">
        <f>ROUND(IF([4]项目基本情况!B8="出让",SUMPRODUCT(PRODUCT(1+O10:O16)),SUMPRODUCT(PRODUCT(1+O10:O15))),4)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2.75">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ROUND(IF([4]项目基本情况!B8="出让",SUMPRODUCT(PRODUCT(1+K11:K16)),SUMPRODUCT(PRODUCT(1+K11:K15))),4)</f>
        <v>1.0430999999999999</v>
      </c>
      <c r="S11" s="3157">
        <f>ROUND(IF([4]项目基本情况!B8="出让",SUMPRODUCT(PRODUCT(1+L11:L16)),SUMPRODUCT(PRODUCT(1+L11:L15))),4)</f>
        <v>1.0197000000000001</v>
      </c>
      <c r="T11" s="3157">
        <f>ROUND(IF([4]项目基本情况!B8="出让",SUMPRODUCT(PRODUCT(1+M11:M16)),SUMPRODUCT(PRODUCT(1+M11:M15))),4)</f>
        <v>1.0109999999999999</v>
      </c>
      <c r="U11" s="3157">
        <f>ROUND(IF([4]项目基本情况!B8="出让",SUMPRODUCT(PRODUCT(1+N11:N16)),SUMPRODUCT(PRODUCT(1+N11:N15))),4)</f>
        <v>1.0468999999999999</v>
      </c>
      <c r="V11" s="3157">
        <f>ROUND(IF([4]项目基本情况!B8="出让",SUMPRODUCT(PRODUCT(1+O11:O16)),SUMPRODUCT(PRODUCT(1+O11:O15))),4)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2.75">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ROUND(IF([4]项目基本情况!B8="出让",SUMPRODUCT(PRODUCT(1+K12:K16)),SUMPRODUCT(PRODUCT(1+K12:K15))),4)</f>
        <v>1.0335000000000001</v>
      </c>
      <c r="S12" s="3157">
        <f>ROUND(IF([4]项目基本情况!B8="出让",SUMPRODUCT(PRODUCT(1+L12:L16)),SUMPRODUCT(PRODUCT(1+L12:L15))),4)</f>
        <v>1.0182</v>
      </c>
      <c r="T12" s="3157">
        <f>ROUND(IF([4]项目基本情况!B8="出让",SUMPRODUCT(PRODUCT(1+M12:M16)),SUMPRODUCT(PRODUCT(1+M12:M15))),4)</f>
        <v>1.0108999999999999</v>
      </c>
      <c r="U12" s="3157">
        <f>ROUND(IF([4]项目基本情况!B8="出让",SUMPRODUCT(PRODUCT(1+N12:N16)),SUMPRODUCT(PRODUCT(1+N12:N15))),4)</f>
        <v>1.0361</v>
      </c>
      <c r="V12" s="3157">
        <f>ROUND(IF([4]项目基本情况!B8="出让",SUMPRODUCT(PRODUCT(1+O12:O16)),SUMPRODUCT(PRODUCT(1+O12:O15))),4)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2.75">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ROUND(IF([4]项目基本情况!B8="出让",SUMPRODUCT(PRODUCT(1+K13:K16)),SUMPRODUCT(PRODUCT(1+K13:K15))),4)</f>
        <v>1.0244</v>
      </c>
      <c r="S13" s="3157">
        <f>ROUND(IF([4]项目基本情况!B8="出让",SUMPRODUCT(PRODUCT(1+L13:L16)),SUMPRODUCT(PRODUCT(1+L13:L15))),4)</f>
        <v>1.0138</v>
      </c>
      <c r="T13" s="3157">
        <f>ROUND(IF([4]项目基本情况!B8="出让",SUMPRODUCT(PRODUCT(1+M13:M16)),SUMPRODUCT(PRODUCT(1+M13:M15))),4)</f>
        <v>1.0072000000000001</v>
      </c>
      <c r="U13" s="3157">
        <f>ROUND(IF([4]项目基本情况!B8="出让",SUMPRODUCT(PRODUCT(1+N13:N16)),SUMPRODUCT(PRODUCT(1+N13:N15))),4)</f>
        <v>1.0262</v>
      </c>
      <c r="V13" s="3157">
        <f>ROUND(IF([4]项目基本情况!B8="出让",SUMPRODUCT(PRODUCT(1+O13:O16)),SUMPRODUCT(PRODUCT(1+O13:O15))),4)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2.75">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ROUND(IF([4]项目基本情况!B8="出让",SUMPRODUCT(PRODUCT(1+K14:K16)),SUMPRODUCT(PRODUCT(1+K14:K15))),4)</f>
        <v>1.0139</v>
      </c>
      <c r="S14" s="3157">
        <f>ROUND(IF([4]项目基本情况!B8="出让",SUMPRODUCT(PRODUCT(1+L14:L16)),SUMPRODUCT(PRODUCT(1+L14:L15))),4)</f>
        <v>1.0113000000000001</v>
      </c>
      <c r="T14" s="3157">
        <f>ROUND(IF([4]项目基本情况!B8="出让",SUMPRODUCT(PRODUCT(1+M14:M16)),SUMPRODUCT(PRODUCT(1+M14:M15))),4)</f>
        <v>1.0065</v>
      </c>
      <c r="U14" s="3157">
        <f>ROUND(IF([4]项目基本情况!B8="出让",SUMPRODUCT(PRODUCT(1+N14:N16)),SUMPRODUCT(PRODUCT(1+N14:N15))),4)</f>
        <v>1.0143</v>
      </c>
      <c r="V14" s="3157">
        <f>ROUND(IF([4]项目基本情况!B8="出让",SUMPRODUCT(PRODUCT(1+O14:O16)),SUMPRODUCT(PRODUCT(1+O14:O15))),4)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2.75">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ROUND(IF([4]项目基本情况!B8="出让",SUMPRODUCT(PRODUCT(1+K15:K16)),SUMPRODUCT(PRODUCT(1+K15:K15))),4)</f>
        <v>1.0092000000000001</v>
      </c>
      <c r="S15" s="3157">
        <f>ROUND(IF([4]项目基本情况!B8="出让",SUMPRODUCT(PRODUCT(1+L15:L16)),SUMPRODUCT(PRODUCT(1+L15:L15))),4)</f>
        <v>1.0072000000000001</v>
      </c>
      <c r="T15" s="3157">
        <f>ROUND(IF([4]项目基本情况!B8="出让",SUMPRODUCT(PRODUCT(1+M15:M16)),SUMPRODUCT(PRODUCT(1+M15:M15))),4)</f>
        <v>1.0041</v>
      </c>
      <c r="U15" s="3157">
        <f>ROUND(IF([4]项目基本情况!B8="出让",SUMPRODUCT(PRODUCT(1+N15:N16)),SUMPRODUCT(PRODUCT(1+N15:N15))),4)</f>
        <v>1.0095000000000001</v>
      </c>
      <c r="V15" s="3157">
        <f>ROUND(IF([4]项目基本情况!B8="出让",SUMPRODUCT(PRODUCT(1+O15:O16)),SUMPRODUCT(PRODUCT(1+O15:O15))),4)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4.25" thickTop="1"/>
    <row r="18" spans="1:30" s="2983" customFormat="1">
      <c r="A18" s="3422" t="s">
        <v>3359</v>
      </c>
    </row>
    <row r="19" spans="1:30" s="2983" customFormat="1">
      <c r="I19" s="3182" t="s">
        <v>2816</v>
      </c>
    </row>
    <row r="20" spans="1:30" s="2983" customFormat="1"/>
    <row r="21" spans="1:30" s="3183" customFormat="1" ht="12.75">
      <c r="B21" s="3184" t="s">
        <v>2817</v>
      </c>
      <c r="C21" s="3185"/>
      <c r="D21" s="3185"/>
      <c r="E21" s="3185"/>
      <c r="F21" s="3185"/>
      <c r="G21" s="3185"/>
      <c r="H21" s="3185"/>
      <c r="I21" s="3185"/>
      <c r="J21" s="3139"/>
      <c r="K21" s="3185" t="s">
        <v>2818</v>
      </c>
      <c r="L21" s="3185"/>
      <c r="M21" s="3185"/>
      <c r="N21" s="3185"/>
      <c r="O21" s="3185"/>
      <c r="P21" s="3185"/>
      <c r="Q21" s="3139"/>
      <c r="R21" s="3846" t="s">
        <v>2819</v>
      </c>
      <c r="S21" s="3847"/>
      <c r="T21" s="3847"/>
      <c r="U21" s="3847"/>
      <c r="V21" s="3847"/>
      <c r="W21" s="3847"/>
      <c r="X21" s="3139"/>
      <c r="Y21" s="3846" t="s">
        <v>2820</v>
      </c>
      <c r="Z21" s="3847"/>
      <c r="AA21" s="3847"/>
      <c r="AB21" s="3847"/>
      <c r="AC21" s="3847"/>
      <c r="AD21" s="3847"/>
    </row>
    <row r="22" spans="1:30" s="3117" customFormat="1" ht="14.2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2.75">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2.75">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2.75">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ROUND(IF([4]项目基本情况!$B$8="出让",SUMPRODUCT(PRODUCT(1+L25:L$36)),SUMPRODUCT(PRODUCT(1+L25:L$35))),4)</f>
        <v>1.0396000000000001</v>
      </c>
      <c r="T25" s="3157">
        <f>ROUND(IF([4]项目基本情况!$B$8="出让",SUMPRODUCT(PRODUCT(1+M25:M$36)),SUMPRODUCT(PRODUCT(1+M25:M$35))),4)</f>
        <v>1.0269999999999999</v>
      </c>
      <c r="U25" s="3157">
        <f>ROUND(IF([4]项目基本情况!$B$8="出让",SUMPRODUCT(PRODUCT(1+N25:N$36)),SUMPRODUCT(PRODUCT(1+N25:N$35))),4)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2.75">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ROUND(IF([4]项目基本情况!$B$8="出让",SUMPRODUCT(PRODUCT(1+L26:L$36)),SUMPRODUCT(PRODUCT(1+L26:L$35))),4)</f>
        <v>1.0396000000000001</v>
      </c>
      <c r="T26" s="3157">
        <f>ROUND(IF([4]项目基本情况!$B$8="出让",SUMPRODUCT(PRODUCT(1+M26:M$36)),SUMPRODUCT(PRODUCT(1+M26:M$35))),4)</f>
        <v>1.0269999999999999</v>
      </c>
      <c r="U26" s="3157">
        <f>ROUND(IF([4]项目基本情况!$B$8="出让",SUMPRODUCT(PRODUCT(1+N26:N$36)),SUMPRODUCT(PRODUCT(1+N26:N$35))),4)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2.75">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ROUND(IF([4]项目基本情况!$B$8="出让",SUMPRODUCT(PRODUCT(1+L27:L$36)),SUMPRODUCT(PRODUCT(1+L27:L$35))),4)</f>
        <v>1.0396000000000001</v>
      </c>
      <c r="T27" s="3166">
        <f>ROUND(IF([4]项目基本情况!$B$8="出让",SUMPRODUCT(PRODUCT(1+M27:M$36)),SUMPRODUCT(PRODUCT(1+M27:M$35))),4)</f>
        <v>1.0269999999999999</v>
      </c>
      <c r="U27" s="3166">
        <f>ROUND(IF([4]项目基本情况!$B$8="出让",SUMPRODUCT(PRODUCT(1+N27:N$36)),SUMPRODUCT(PRODUCT(1+N27:N$35))),4)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2.75">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ROUND(IF([4]项目基本情况!$B$8="出让",SUMPRODUCT(PRODUCT(1+L28:L$36)),SUMPRODUCT(PRODUCT(1+L28:L$35))),4)</f>
        <v>1.0344</v>
      </c>
      <c r="T28" s="3157">
        <f>ROUND(IF([4]项目基本情况!$B$8="出让",SUMPRODUCT(PRODUCT(1+M28:M$36)),SUMPRODUCT(PRODUCT(1+M28:M$35))),4)</f>
        <v>1.0224</v>
      </c>
      <c r="U28" s="3157">
        <f>ROUND(IF([4]项目基本情况!$B$8="出让",SUMPRODUCT(PRODUCT(1+N28:N$36)),SUMPRODUCT(PRODUCT(1+N28:N$35))),4)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2.75">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ROUND(IF([4]项目基本情况!$B$8="出让",SUMPRODUCT(PRODUCT(1+L29:L$36)),SUMPRODUCT(PRODUCT(1+L29:L$35))),4)</f>
        <v>1.0286999999999999</v>
      </c>
      <c r="T29" s="3157">
        <f>ROUND(IF([4]项目基本情况!$B$8="出让",SUMPRODUCT(PRODUCT(1+M29:M$36)),SUMPRODUCT(PRODUCT(1+M29:M$35))),4)</f>
        <v>1.0164</v>
      </c>
      <c r="U29" s="3157">
        <f>ROUND(IF([4]项目基本情况!$B$8="出让",SUMPRODUCT(PRODUCT(1+N29:N$36)),SUMPRODUCT(PRODUCT(1+N29:N$35))),4)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2.75">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ROUND(IF([4]项目基本情况!$B$8="出让",SUMPRODUCT(PRODUCT(1+L30:L$36)),SUMPRODUCT(PRODUCT(1+L30:L$35))),4)</f>
        <v>1.0241</v>
      </c>
      <c r="T30" s="3157">
        <f>ROUND(IF([4]项目基本情况!$B$8="出让",SUMPRODUCT(PRODUCT(1+M30:M$36)),SUMPRODUCT(PRODUCT(1+M30:M$35))),4)</f>
        <v>1.0144</v>
      </c>
      <c r="U30" s="3157">
        <f>ROUND(IF([4]项目基本情况!$B$8="出让",SUMPRODUCT(PRODUCT(1+N30:N$36)),SUMPRODUCT(PRODUCT(1+N30:N$35))),4)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2.75">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ROUND(IF([4]项目基本情况!$B$8="出让",SUMPRODUCT(PRODUCT(1+L31:L$36)),SUMPRODUCT(PRODUCT(1+L31:L$35))),4)</f>
        <v>1.0210999999999999</v>
      </c>
      <c r="T31" s="3157">
        <f>ROUND(IF([4]项目基本情况!$B$8="出让",SUMPRODUCT(PRODUCT(1+M31:M$36)),SUMPRODUCT(PRODUCT(1+M31:M$35))),4)</f>
        <v>1.0114000000000001</v>
      </c>
      <c r="U31" s="3157">
        <f>ROUND(IF([4]项目基本情况!$B$8="出让",SUMPRODUCT(PRODUCT(1+N31:N$36)),SUMPRODUCT(PRODUCT(1+N31:N$35))),4)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2.75">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ROUND(IF([4]项目基本情况!$B$8="出让",SUMPRODUCT(PRODUCT(1+L32:L$36)),SUMPRODUCT(PRODUCT(1+L32:L$35))),4)</f>
        <v>1.0222</v>
      </c>
      <c r="T32" s="3157">
        <f>ROUND(IF([4]项目基本情况!$B$8="出让",SUMPRODUCT(PRODUCT(1+M32:M$36)),SUMPRODUCT(PRODUCT(1+M32:M$35))),4)</f>
        <v>1.0127999999999999</v>
      </c>
      <c r="U32" s="3157">
        <f>ROUND(IF([4]项目基本情况!$B$8="出让",SUMPRODUCT(PRODUCT(1+N32:N$36)),SUMPRODUCT(PRODUCT(1+N32:N$35))),4)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2.75">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ROUND(IF([4]项目基本情况!$B$8="出让",SUMPRODUCT(PRODUCT(1+L33:L$36)),SUMPRODUCT(PRODUCT(1+L33:L$35))),4)</f>
        <v>1.0161</v>
      </c>
      <c r="T33" s="3157">
        <f>ROUND(IF([4]项目基本情况!$B$8="出让",SUMPRODUCT(PRODUCT(1+M33:M$36)),SUMPRODUCT(PRODUCT(1+M33:M$35))),4)</f>
        <v>1.0082</v>
      </c>
      <c r="U33" s="3157">
        <f>ROUND(IF([4]项目基本情况!$B$8="出让",SUMPRODUCT(PRODUCT(1+N33:N$36)),SUMPRODUCT(PRODUCT(1+N33:N$35))),4)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2.75">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ROUND(IF([4]项目基本情况!$B$8="出让",SUMPRODUCT(PRODUCT(1+L34:L$36)),SUMPRODUCT(PRODUCT(1+L34:L$35))),4)</f>
        <v>1.0102</v>
      </c>
      <c r="T34" s="3157">
        <f>ROUND(IF([4]项目基本情况!$B$8="出让",SUMPRODUCT(PRODUCT(1+M34:M$36)),SUMPRODUCT(PRODUCT(1+M34:M$35))),4)</f>
        <v>1.0074000000000001</v>
      </c>
      <c r="U34" s="3157">
        <f>ROUND(IF([4]项目基本情况!$B$8="出让",SUMPRODUCT(PRODUCT(1+N34:N$36)),SUMPRODUCT(PRODUCT(1+N34:N$35))),4)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2.75">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ROUND(IF([4]项目基本情况!$B$8="出让",SUMPRODUCT(PRODUCT(1+L35:L$36)),SUMPRODUCT(PRODUCT(1+L35:L$35))),4)</f>
        <v>1.0055000000000001</v>
      </c>
      <c r="T35" s="3157">
        <f>ROUND(IF([4]项目基本情况!$B$8="出让",SUMPRODUCT(PRODUCT(1+M35:M$36)),SUMPRODUCT(PRODUCT(1+M35:M$35))),4)</f>
        <v>1.0045999999999999</v>
      </c>
      <c r="U35" s="3157">
        <f>ROUND(IF([4]项目基本情况!$B$8="出让",SUMPRODUCT(PRODUCT(1+N35:N$36)),SUMPRODUCT(PRODUCT(1+N35:N$35))),4)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4.2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8"/>
    <col min="2" max="6" width="9" style="2178" customWidth="1"/>
    <col min="7" max="7" width="9" style="2216"/>
    <col min="8" max="8" width="9" style="2178"/>
    <col min="9" max="12" width="9" style="2178" customWidth="1"/>
    <col min="13" max="13" width="2.25" style="2178" customWidth="1"/>
    <col min="14" max="14" width="9" style="2216" customWidth="1"/>
    <col min="15" max="17" width="9" style="2178" customWidth="1"/>
    <col min="18" max="18" width="2.375" style="2178" customWidth="1"/>
    <col min="19" max="19" width="7.125" style="2216" customWidth="1"/>
    <col min="20" max="22" width="7.125" style="2178" customWidth="1"/>
    <col min="23" max="23" width="24.25" style="2178" customWidth="1"/>
    <col min="24" max="25" width="9" style="2178"/>
    <col min="26" max="27" width="11.625" style="2178" customWidth="1"/>
    <col min="28" max="28" width="9" style="2178"/>
    <col min="29" max="29" width="2" style="2178" customWidth="1"/>
    <col min="30" max="16384" width="9" style="2178"/>
  </cols>
  <sheetData>
    <row r="1" spans="1:34" s="2157" customFormat="1">
      <c r="B1" s="3853" t="s">
        <v>452</v>
      </c>
      <c r="C1" s="3853"/>
      <c r="D1" s="3853"/>
      <c r="E1" s="3853"/>
      <c r="F1" s="3853"/>
      <c r="G1" s="3852" t="s">
        <v>453</v>
      </c>
      <c r="H1" s="3852"/>
      <c r="I1" s="3852"/>
      <c r="J1" s="3852"/>
      <c r="K1" s="3852"/>
      <c r="L1" s="3852"/>
      <c r="N1" s="3852" t="s">
        <v>454</v>
      </c>
      <c r="O1" s="3852"/>
      <c r="P1" s="3852"/>
      <c r="Q1" s="3852"/>
      <c r="S1" s="3852" t="s">
        <v>455</v>
      </c>
      <c r="T1" s="3852"/>
      <c r="U1" s="3852"/>
      <c r="V1" s="3852"/>
      <c r="X1" s="3851" t="s">
        <v>456</v>
      </c>
      <c r="Y1" s="3852"/>
      <c r="Z1" s="3852"/>
      <c r="AA1" s="3852"/>
      <c r="AB1" s="3852"/>
      <c r="AD1" s="3851" t="s">
        <v>457</v>
      </c>
      <c r="AE1" s="3852"/>
      <c r="AF1" s="3852"/>
      <c r="AG1" s="3852"/>
      <c r="AH1" s="3852"/>
    </row>
    <row r="2" spans="1:34" s="2158" customFormat="1" ht="14.2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25">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25">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5"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5"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9">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5"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9"/>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5"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9"/>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8"/>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4">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5"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9"/>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5"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9"/>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8"/>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4">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9"/>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9"/>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5"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50"/>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5" thickBot="1">
      <c r="A33" s="2191" t="s">
        <v>124</v>
      </c>
      <c r="B33" s="2206">
        <v>333</v>
      </c>
      <c r="C33" s="2206">
        <v>277</v>
      </c>
      <c r="D33" s="2206">
        <f t="shared" si="246"/>
        <v>277</v>
      </c>
      <c r="E33" s="2206">
        <v>459</v>
      </c>
      <c r="F33" s="2207">
        <v>249</v>
      </c>
      <c r="G33" s="3848">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9"/>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9"/>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50"/>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5" thickBot="1">
      <c r="A37" s="2191" t="s">
        <v>120</v>
      </c>
      <c r="B37" s="2220">
        <v>318</v>
      </c>
      <c r="C37" s="2220">
        <v>268</v>
      </c>
      <c r="D37" s="2220">
        <f t="shared" si="246"/>
        <v>268</v>
      </c>
      <c r="E37" s="2220">
        <v>437</v>
      </c>
      <c r="F37" s="2221">
        <v>237</v>
      </c>
      <c r="G37" s="3848">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9"/>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5"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9"/>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5"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50"/>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5" thickBot="1">
      <c r="A41" s="2191" t="s">
        <v>465</v>
      </c>
      <c r="B41" s="2206">
        <v>299</v>
      </c>
      <c r="C41" s="2206">
        <v>252</v>
      </c>
      <c r="D41" s="2206">
        <f t="shared" si="246"/>
        <v>252</v>
      </c>
      <c r="E41" s="2206">
        <v>409</v>
      </c>
      <c r="F41" s="2207">
        <v>227</v>
      </c>
      <c r="G41" s="3855">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6"/>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6"/>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7"/>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5" thickBot="1">
      <c r="A45" s="2191" t="s">
        <v>469</v>
      </c>
      <c r="B45" s="2241">
        <v>278</v>
      </c>
      <c r="C45" s="2241">
        <v>234</v>
      </c>
      <c r="D45" s="2241">
        <f t="shared" si="246"/>
        <v>234</v>
      </c>
      <c r="E45" s="2241">
        <v>379</v>
      </c>
      <c r="F45" s="2242">
        <v>220</v>
      </c>
      <c r="G45" s="3848">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9"/>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9"/>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5" thickBot="1">
      <c r="A48" s="2191" t="s">
        <v>472</v>
      </c>
      <c r="B48" s="2192">
        <f>B47/(1+N47)</f>
        <v>275.19025476197027</v>
      </c>
      <c r="C48" s="2243">
        <v>232</v>
      </c>
      <c r="D48" s="2243">
        <f t="shared" si="246"/>
        <v>232</v>
      </c>
      <c r="E48" s="2192">
        <f t="shared" si="257"/>
        <v>375.65990977608692</v>
      </c>
      <c r="F48" s="2192">
        <f t="shared" si="257"/>
        <v>214.12518283971252</v>
      </c>
      <c r="G48" s="3850"/>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5" thickBot="1">
      <c r="A49" s="2191" t="s">
        <v>473</v>
      </c>
      <c r="B49" s="2206">
        <v>275</v>
      </c>
      <c r="C49" s="2206">
        <v>232</v>
      </c>
      <c r="D49" s="2206">
        <f t="shared" si="246"/>
        <v>232</v>
      </c>
      <c r="E49" s="2206">
        <v>376</v>
      </c>
      <c r="F49" s="2207">
        <v>213</v>
      </c>
      <c r="G49" s="3848">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9">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9">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5"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50">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5" thickBot="1">
      <c r="A53" s="2191" t="s">
        <v>477</v>
      </c>
      <c r="B53" s="2206">
        <v>269</v>
      </c>
      <c r="C53" s="2206">
        <v>221</v>
      </c>
      <c r="D53" s="2206">
        <f t="shared" si="246"/>
        <v>221</v>
      </c>
      <c r="E53" s="2206">
        <v>373</v>
      </c>
      <c r="F53" s="2207">
        <v>196</v>
      </c>
      <c r="G53" s="3848">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9">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9">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5"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50">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5" thickBot="1">
      <c r="A57" s="2191" t="s">
        <v>481</v>
      </c>
      <c r="B57" s="2206">
        <v>220</v>
      </c>
      <c r="C57" s="2206">
        <v>187</v>
      </c>
      <c r="D57" s="2206">
        <f t="shared" si="246"/>
        <v>187</v>
      </c>
      <c r="E57" s="2206">
        <v>301</v>
      </c>
      <c r="F57" s="2207">
        <v>168</v>
      </c>
      <c r="G57" s="3848">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9">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9">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50">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5" thickBot="1">
      <c r="A61" s="2191" t="s">
        <v>485</v>
      </c>
      <c r="B61" s="2241">
        <v>214</v>
      </c>
      <c r="C61" s="2241">
        <v>188</v>
      </c>
      <c r="D61" s="2241">
        <f t="shared" si="246"/>
        <v>188</v>
      </c>
      <c r="E61" s="2241">
        <v>289</v>
      </c>
      <c r="F61" s="2242">
        <v>166</v>
      </c>
      <c r="G61" s="3848">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9">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9">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5"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50">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5" thickBot="1">
      <c r="A65" s="2191" t="s">
        <v>489</v>
      </c>
      <c r="B65" s="2206">
        <v>188</v>
      </c>
      <c r="C65" s="2206">
        <v>165</v>
      </c>
      <c r="D65" s="2206">
        <f t="shared" si="246"/>
        <v>165</v>
      </c>
      <c r="E65" s="2206">
        <v>254</v>
      </c>
      <c r="F65" s="2207">
        <v>148</v>
      </c>
      <c r="G65" s="3848">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9">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9">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50">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5" thickBot="1">
      <c r="A69" s="2191" t="s">
        <v>493</v>
      </c>
      <c r="B69" s="2220">
        <v>159</v>
      </c>
      <c r="C69" s="2220">
        <v>141</v>
      </c>
      <c r="D69" s="2220">
        <f t="shared" si="246"/>
        <v>141</v>
      </c>
      <c r="E69" s="2220">
        <v>195</v>
      </c>
      <c r="F69" s="2221">
        <v>122</v>
      </c>
      <c r="G69" s="3848">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9">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9">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50">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5" thickBot="1">
      <c r="A73" s="2191" t="s">
        <v>497</v>
      </c>
      <c r="B73" s="2220">
        <v>138</v>
      </c>
      <c r="C73" s="2220">
        <v>131</v>
      </c>
      <c r="D73" s="2220">
        <f t="shared" si="246"/>
        <v>131</v>
      </c>
      <c r="E73" s="2220">
        <v>155</v>
      </c>
      <c r="F73" s="2221">
        <v>114</v>
      </c>
      <c r="G73" s="3848">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9">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9">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50">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5" thickBot="1">
      <c r="A77" s="2191" t="s">
        <v>501</v>
      </c>
      <c r="B77" s="2241">
        <v>121</v>
      </c>
      <c r="C77" s="2241">
        <v>122</v>
      </c>
      <c r="D77" s="2241">
        <f t="shared" si="246"/>
        <v>122</v>
      </c>
      <c r="E77" s="2241">
        <v>124</v>
      </c>
      <c r="F77" s="2242">
        <v>107</v>
      </c>
      <c r="G77" s="3848">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9">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9">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5"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50">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5" thickBot="1">
      <c r="A81" s="2191" t="s">
        <v>505</v>
      </c>
      <c r="B81" s="2261">
        <v>111</v>
      </c>
      <c r="C81" s="2261">
        <v>114</v>
      </c>
      <c r="D81" s="2261">
        <f t="shared" si="246"/>
        <v>114</v>
      </c>
      <c r="E81" s="2261">
        <v>108</v>
      </c>
      <c r="F81" s="2262">
        <v>104</v>
      </c>
      <c r="G81" s="3848">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9">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9">
        <v>2003</v>
      </c>
      <c r="H83" s="2204">
        <v>2</v>
      </c>
      <c r="I83" s="2263"/>
      <c r="J83" s="2263"/>
      <c r="K83" s="2263"/>
      <c r="L83" s="2263"/>
      <c r="X83" s="2255"/>
      <c r="Y83" s="2255"/>
      <c r="Z83" s="2255"/>
    </row>
    <row r="84" spans="1:26" ht="13.5" thickBot="1">
      <c r="A84" s="2191" t="s">
        <v>508</v>
      </c>
      <c r="B84" s="2265">
        <f t="shared" si="282"/>
        <v>107.25</v>
      </c>
      <c r="C84" s="2265">
        <f t="shared" si="282"/>
        <v>108.75</v>
      </c>
      <c r="D84" s="2265">
        <f t="shared" si="246"/>
        <v>108.75</v>
      </c>
      <c r="E84" s="2265">
        <f t="shared" si="283"/>
        <v>105.75</v>
      </c>
      <c r="F84" s="2265">
        <f t="shared" si="283"/>
        <v>102.5</v>
      </c>
      <c r="G84" s="3850">
        <v>2003</v>
      </c>
      <c r="H84" s="2266">
        <v>1</v>
      </c>
      <c r="I84" s="2263"/>
      <c r="J84" s="2263"/>
      <c r="K84" s="2263"/>
      <c r="L84" s="2263"/>
      <c r="S84" s="2194"/>
      <c r="T84" s="2179"/>
      <c r="U84" s="2179"/>
      <c r="X84" s="2255"/>
      <c r="Y84" s="2255"/>
      <c r="Z84" s="2255"/>
    </row>
    <row r="85" spans="1:26" ht="13.5" thickBot="1">
      <c r="A85" s="2191" t="s">
        <v>509</v>
      </c>
      <c r="B85" s="2267">
        <v>106</v>
      </c>
      <c r="C85" s="2267">
        <v>107</v>
      </c>
      <c r="D85" s="2267">
        <f t="shared" si="246"/>
        <v>107</v>
      </c>
      <c r="E85" s="2267">
        <v>105</v>
      </c>
      <c r="F85" s="2268">
        <v>102</v>
      </c>
      <c r="G85" s="3848">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9">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9">
        <v>2002</v>
      </c>
      <c r="H87" s="2204">
        <v>2</v>
      </c>
      <c r="I87" s="2263"/>
      <c r="J87" s="2263"/>
      <c r="K87" s="2263"/>
      <c r="L87" s="2263"/>
      <c r="X87" s="2255"/>
      <c r="Y87" s="2255"/>
      <c r="Z87" s="2255"/>
    </row>
    <row r="88" spans="1:26" s="2228" customFormat="1" ht="13.5" thickBot="1">
      <c r="A88" s="2224" t="s">
        <v>512</v>
      </c>
      <c r="B88" s="2231">
        <f t="shared" si="284"/>
        <v>103</v>
      </c>
      <c r="C88" s="2231">
        <f t="shared" si="284"/>
        <v>104</v>
      </c>
      <c r="D88" s="2231">
        <f t="shared" si="246"/>
        <v>104</v>
      </c>
      <c r="E88" s="2231">
        <f t="shared" si="285"/>
        <v>103.5</v>
      </c>
      <c r="F88" s="2231">
        <f t="shared" si="285"/>
        <v>100.5</v>
      </c>
      <c r="G88" s="3850">
        <v>2002</v>
      </c>
      <c r="H88" s="2269">
        <v>1</v>
      </c>
      <c r="I88" s="2270"/>
      <c r="J88" s="2270"/>
      <c r="K88" s="2270"/>
      <c r="L88" s="2270"/>
      <c r="N88" s="2271"/>
      <c r="S88" s="2271"/>
      <c r="X88" s="2272"/>
      <c r="Y88" s="2272"/>
      <c r="Z88" s="2272"/>
    </row>
    <row r="89" spans="1:26" ht="13.5"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5"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5"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8" customWidth="1"/>
    <col min="2" max="2" width="13.25" style="1234" customWidth="1"/>
    <col min="3" max="3" width="15.625" style="1234" customWidth="1"/>
    <col min="4" max="4" width="9.375" style="1234" bestFit="1" customWidth="1"/>
    <col min="5" max="5" width="13.5" style="1234" customWidth="1"/>
    <col min="6" max="6" width="9" style="1234"/>
    <col min="7" max="7" width="9.375" style="1234" bestFit="1" customWidth="1"/>
    <col min="8" max="8" width="12.25" style="1234" customWidth="1"/>
    <col min="9" max="9" width="9" style="1234"/>
    <col min="10" max="10" width="9.375" style="1234" bestFit="1" customWidth="1"/>
    <col min="11" max="11" width="4" style="1228" customWidth="1"/>
    <col min="12" max="12" width="5.125" style="1234" customWidth="1"/>
    <col min="13" max="13" width="13.75" style="1234" customWidth="1"/>
    <col min="14" max="256" width="9" style="1234"/>
    <col min="257" max="257" width="4.875" style="1225" customWidth="1"/>
    <col min="258" max="258" width="13.25" style="1225" customWidth="1"/>
    <col min="259" max="259" width="15.625" style="1225" customWidth="1"/>
    <col min="260" max="260" width="9.375" style="1225" bestFit="1" customWidth="1"/>
    <col min="261" max="261" width="13.5" style="1225" customWidth="1"/>
    <col min="262" max="262" width="9" style="1225"/>
    <col min="263" max="263" width="9.375" style="1225" bestFit="1" customWidth="1"/>
    <col min="264" max="265" width="9" style="1225"/>
    <col min="266" max="266" width="9.375" style="1225" bestFit="1" customWidth="1"/>
    <col min="267" max="267" width="4" style="1225" customWidth="1"/>
    <col min="268" max="268" width="5.125" style="1225" customWidth="1"/>
    <col min="269" max="269" width="13.75" style="1225" customWidth="1"/>
    <col min="270" max="512" width="9" style="1225"/>
    <col min="513" max="513" width="4.875" style="1225" customWidth="1"/>
    <col min="514" max="514" width="13.25" style="1225" customWidth="1"/>
    <col min="515" max="515" width="15.625" style="1225" customWidth="1"/>
    <col min="516" max="516" width="9.375" style="1225" bestFit="1" customWidth="1"/>
    <col min="517" max="517" width="13.5" style="1225" customWidth="1"/>
    <col min="518" max="518" width="9" style="1225"/>
    <col min="519" max="519" width="9.375" style="1225" bestFit="1" customWidth="1"/>
    <col min="520" max="521" width="9" style="1225"/>
    <col min="522" max="522" width="9.375" style="1225" bestFit="1" customWidth="1"/>
    <col min="523" max="523" width="4" style="1225" customWidth="1"/>
    <col min="524" max="524" width="5.125" style="1225" customWidth="1"/>
    <col min="525" max="525" width="13.75" style="1225" customWidth="1"/>
    <col min="526" max="768" width="9" style="1225"/>
    <col min="769" max="769" width="4.875" style="1225" customWidth="1"/>
    <col min="770" max="770" width="13.25" style="1225" customWidth="1"/>
    <col min="771" max="771" width="15.625" style="1225" customWidth="1"/>
    <col min="772" max="772" width="9.375" style="1225" bestFit="1" customWidth="1"/>
    <col min="773" max="773" width="13.5" style="1225" customWidth="1"/>
    <col min="774" max="774" width="9" style="1225"/>
    <col min="775" max="775" width="9.375" style="1225" bestFit="1" customWidth="1"/>
    <col min="776" max="777" width="9" style="1225"/>
    <col min="778" max="778" width="9.375" style="1225" bestFit="1" customWidth="1"/>
    <col min="779" max="779" width="4" style="1225" customWidth="1"/>
    <col min="780" max="780" width="5.125" style="1225" customWidth="1"/>
    <col min="781" max="781" width="13.75" style="1225" customWidth="1"/>
    <col min="782" max="1024" width="9" style="1225"/>
    <col min="1025" max="1025" width="4.875" style="1225" customWidth="1"/>
    <col min="1026" max="1026" width="13.25" style="1225" customWidth="1"/>
    <col min="1027" max="1027" width="15.625" style="1225" customWidth="1"/>
    <col min="1028" max="1028" width="9.375" style="1225" bestFit="1" customWidth="1"/>
    <col min="1029" max="1029" width="13.5" style="1225" customWidth="1"/>
    <col min="1030" max="1030" width="9" style="1225"/>
    <col min="1031" max="1031" width="9.375" style="1225" bestFit="1" customWidth="1"/>
    <col min="1032" max="1033" width="9" style="1225"/>
    <col min="1034" max="1034" width="9.375" style="1225" bestFit="1" customWidth="1"/>
    <col min="1035" max="1035" width="4" style="1225" customWidth="1"/>
    <col min="1036" max="1036" width="5.125" style="1225" customWidth="1"/>
    <col min="1037" max="1037" width="13.75" style="1225" customWidth="1"/>
    <col min="1038" max="1280" width="9" style="1225"/>
    <col min="1281" max="1281" width="4.875" style="1225" customWidth="1"/>
    <col min="1282" max="1282" width="13.25" style="1225" customWidth="1"/>
    <col min="1283" max="1283" width="15.625" style="1225" customWidth="1"/>
    <col min="1284" max="1284" width="9.375" style="1225" bestFit="1" customWidth="1"/>
    <col min="1285" max="1285" width="13.5" style="1225" customWidth="1"/>
    <col min="1286" max="1286" width="9" style="1225"/>
    <col min="1287" max="1287" width="9.375" style="1225" bestFit="1" customWidth="1"/>
    <col min="1288" max="1289" width="9" style="1225"/>
    <col min="1290" max="1290" width="9.375" style="1225" bestFit="1" customWidth="1"/>
    <col min="1291" max="1291" width="4" style="1225" customWidth="1"/>
    <col min="1292" max="1292" width="5.125" style="1225" customWidth="1"/>
    <col min="1293" max="1293" width="13.75" style="1225" customWidth="1"/>
    <col min="1294" max="1536" width="9" style="1225"/>
    <col min="1537" max="1537" width="4.875" style="1225" customWidth="1"/>
    <col min="1538" max="1538" width="13.25" style="1225" customWidth="1"/>
    <col min="1539" max="1539" width="15.625" style="1225" customWidth="1"/>
    <col min="1540" max="1540" width="9.375" style="1225" bestFit="1" customWidth="1"/>
    <col min="1541" max="1541" width="13.5" style="1225" customWidth="1"/>
    <col min="1542" max="1542" width="9" style="1225"/>
    <col min="1543" max="1543" width="9.375" style="1225" bestFit="1" customWidth="1"/>
    <col min="1544" max="1545" width="9" style="1225"/>
    <col min="1546" max="1546" width="9.375" style="1225" bestFit="1" customWidth="1"/>
    <col min="1547" max="1547" width="4" style="1225" customWidth="1"/>
    <col min="1548" max="1548" width="5.125" style="1225" customWidth="1"/>
    <col min="1549" max="1549" width="13.75" style="1225" customWidth="1"/>
    <col min="1550" max="1792" width="9" style="1225"/>
    <col min="1793" max="1793" width="4.875" style="1225" customWidth="1"/>
    <col min="1794" max="1794" width="13.25" style="1225" customWidth="1"/>
    <col min="1795" max="1795" width="15.625" style="1225" customWidth="1"/>
    <col min="1796" max="1796" width="9.375" style="1225" bestFit="1" customWidth="1"/>
    <col min="1797" max="1797" width="13.5" style="1225" customWidth="1"/>
    <col min="1798" max="1798" width="9" style="1225"/>
    <col min="1799" max="1799" width="9.375" style="1225" bestFit="1" customWidth="1"/>
    <col min="1800" max="1801" width="9" style="1225"/>
    <col min="1802" max="1802" width="9.375" style="1225" bestFit="1" customWidth="1"/>
    <col min="1803" max="1803" width="4" style="1225" customWidth="1"/>
    <col min="1804" max="1804" width="5.125" style="1225" customWidth="1"/>
    <col min="1805" max="1805" width="13.75" style="1225" customWidth="1"/>
    <col min="1806" max="2048" width="9" style="1225"/>
    <col min="2049" max="2049" width="4.875" style="1225" customWidth="1"/>
    <col min="2050" max="2050" width="13.25" style="1225" customWidth="1"/>
    <col min="2051" max="2051" width="15.625" style="1225" customWidth="1"/>
    <col min="2052" max="2052" width="9.375" style="1225" bestFit="1" customWidth="1"/>
    <col min="2053" max="2053" width="13.5" style="1225" customWidth="1"/>
    <col min="2054" max="2054" width="9" style="1225"/>
    <col min="2055" max="2055" width="9.375" style="1225" bestFit="1" customWidth="1"/>
    <col min="2056" max="2057" width="9" style="1225"/>
    <col min="2058" max="2058" width="9.375" style="1225" bestFit="1" customWidth="1"/>
    <col min="2059" max="2059" width="4" style="1225" customWidth="1"/>
    <col min="2060" max="2060" width="5.125" style="1225" customWidth="1"/>
    <col min="2061" max="2061" width="13.75" style="1225" customWidth="1"/>
    <col min="2062" max="2304" width="9" style="1225"/>
    <col min="2305" max="2305" width="4.875" style="1225" customWidth="1"/>
    <col min="2306" max="2306" width="13.25" style="1225" customWidth="1"/>
    <col min="2307" max="2307" width="15.625" style="1225" customWidth="1"/>
    <col min="2308" max="2308" width="9.375" style="1225" bestFit="1" customWidth="1"/>
    <col min="2309" max="2309" width="13.5" style="1225" customWidth="1"/>
    <col min="2310" max="2310" width="9" style="1225"/>
    <col min="2311" max="2311" width="9.375" style="1225" bestFit="1" customWidth="1"/>
    <col min="2312" max="2313" width="9" style="1225"/>
    <col min="2314" max="2314" width="9.375" style="1225" bestFit="1" customWidth="1"/>
    <col min="2315" max="2315" width="4" style="1225" customWidth="1"/>
    <col min="2316" max="2316" width="5.125" style="1225" customWidth="1"/>
    <col min="2317" max="2317" width="13.75" style="1225" customWidth="1"/>
    <col min="2318" max="2560" width="9" style="1225"/>
    <col min="2561" max="2561" width="4.875" style="1225" customWidth="1"/>
    <col min="2562" max="2562" width="13.25" style="1225" customWidth="1"/>
    <col min="2563" max="2563" width="15.625" style="1225" customWidth="1"/>
    <col min="2564" max="2564" width="9.375" style="1225" bestFit="1" customWidth="1"/>
    <col min="2565" max="2565" width="13.5" style="1225" customWidth="1"/>
    <col min="2566" max="2566" width="9" style="1225"/>
    <col min="2567" max="2567" width="9.375" style="1225" bestFit="1" customWidth="1"/>
    <col min="2568" max="2569" width="9" style="1225"/>
    <col min="2570" max="2570" width="9.375" style="1225" bestFit="1" customWidth="1"/>
    <col min="2571" max="2571" width="4" style="1225" customWidth="1"/>
    <col min="2572" max="2572" width="5.125" style="1225" customWidth="1"/>
    <col min="2573" max="2573" width="13.75" style="1225" customWidth="1"/>
    <col min="2574" max="2816" width="9" style="1225"/>
    <col min="2817" max="2817" width="4.875" style="1225" customWidth="1"/>
    <col min="2818" max="2818" width="13.25" style="1225" customWidth="1"/>
    <col min="2819" max="2819" width="15.625" style="1225" customWidth="1"/>
    <col min="2820" max="2820" width="9.375" style="1225" bestFit="1" customWidth="1"/>
    <col min="2821" max="2821" width="13.5" style="1225" customWidth="1"/>
    <col min="2822" max="2822" width="9" style="1225"/>
    <col min="2823" max="2823" width="9.375" style="1225" bestFit="1" customWidth="1"/>
    <col min="2824" max="2825" width="9" style="1225"/>
    <col min="2826" max="2826" width="9.375" style="1225" bestFit="1" customWidth="1"/>
    <col min="2827" max="2827" width="4" style="1225" customWidth="1"/>
    <col min="2828" max="2828" width="5.125" style="1225" customWidth="1"/>
    <col min="2829" max="2829" width="13.75" style="1225" customWidth="1"/>
    <col min="2830" max="3072" width="9" style="1225"/>
    <col min="3073" max="3073" width="4.875" style="1225" customWidth="1"/>
    <col min="3074" max="3074" width="13.25" style="1225" customWidth="1"/>
    <col min="3075" max="3075" width="15.625" style="1225" customWidth="1"/>
    <col min="3076" max="3076" width="9.375" style="1225" bestFit="1" customWidth="1"/>
    <col min="3077" max="3077" width="13.5" style="1225" customWidth="1"/>
    <col min="3078" max="3078" width="9" style="1225"/>
    <col min="3079" max="3079" width="9.375" style="1225" bestFit="1" customWidth="1"/>
    <col min="3080" max="3081" width="9" style="1225"/>
    <col min="3082" max="3082" width="9.375" style="1225" bestFit="1" customWidth="1"/>
    <col min="3083" max="3083" width="4" style="1225" customWidth="1"/>
    <col min="3084" max="3084" width="5.125" style="1225" customWidth="1"/>
    <col min="3085" max="3085" width="13.75" style="1225" customWidth="1"/>
    <col min="3086" max="3328" width="9" style="1225"/>
    <col min="3329" max="3329" width="4.875" style="1225" customWidth="1"/>
    <col min="3330" max="3330" width="13.25" style="1225" customWidth="1"/>
    <col min="3331" max="3331" width="15.625" style="1225" customWidth="1"/>
    <col min="3332" max="3332" width="9.375" style="1225" bestFit="1" customWidth="1"/>
    <col min="3333" max="3333" width="13.5" style="1225" customWidth="1"/>
    <col min="3334" max="3334" width="9" style="1225"/>
    <col min="3335" max="3335" width="9.375" style="1225" bestFit="1" customWidth="1"/>
    <col min="3336" max="3337" width="9" style="1225"/>
    <col min="3338" max="3338" width="9.375" style="1225" bestFit="1" customWidth="1"/>
    <col min="3339" max="3339" width="4" style="1225" customWidth="1"/>
    <col min="3340" max="3340" width="5.125" style="1225" customWidth="1"/>
    <col min="3341" max="3341" width="13.75" style="1225" customWidth="1"/>
    <col min="3342" max="3584" width="9" style="1225"/>
    <col min="3585" max="3585" width="4.875" style="1225" customWidth="1"/>
    <col min="3586" max="3586" width="13.25" style="1225" customWidth="1"/>
    <col min="3587" max="3587" width="15.625" style="1225" customWidth="1"/>
    <col min="3588" max="3588" width="9.375" style="1225" bestFit="1" customWidth="1"/>
    <col min="3589" max="3589" width="13.5" style="1225" customWidth="1"/>
    <col min="3590" max="3590" width="9" style="1225"/>
    <col min="3591" max="3591" width="9.375" style="1225" bestFit="1" customWidth="1"/>
    <col min="3592" max="3593" width="9" style="1225"/>
    <col min="3594" max="3594" width="9.375" style="1225" bestFit="1" customWidth="1"/>
    <col min="3595" max="3595" width="4" style="1225" customWidth="1"/>
    <col min="3596" max="3596" width="5.125" style="1225" customWidth="1"/>
    <col min="3597" max="3597" width="13.75" style="1225" customWidth="1"/>
    <col min="3598" max="3840" width="9" style="1225"/>
    <col min="3841" max="3841" width="4.875" style="1225" customWidth="1"/>
    <col min="3842" max="3842" width="13.25" style="1225" customWidth="1"/>
    <col min="3843" max="3843" width="15.625" style="1225" customWidth="1"/>
    <col min="3844" max="3844" width="9.375" style="1225" bestFit="1" customWidth="1"/>
    <col min="3845" max="3845" width="13.5" style="1225" customWidth="1"/>
    <col min="3846" max="3846" width="9" style="1225"/>
    <col min="3847" max="3847" width="9.375" style="1225" bestFit="1" customWidth="1"/>
    <col min="3848" max="3849" width="9" style="1225"/>
    <col min="3850" max="3850" width="9.375" style="1225" bestFit="1" customWidth="1"/>
    <col min="3851" max="3851" width="4" style="1225" customWidth="1"/>
    <col min="3852" max="3852" width="5.125" style="1225" customWidth="1"/>
    <col min="3853" max="3853" width="13.75" style="1225" customWidth="1"/>
    <col min="3854" max="4096" width="9" style="1225"/>
    <col min="4097" max="4097" width="4.875" style="1225" customWidth="1"/>
    <col min="4098" max="4098" width="13.25" style="1225" customWidth="1"/>
    <col min="4099" max="4099" width="15.625" style="1225" customWidth="1"/>
    <col min="4100" max="4100" width="9.375" style="1225" bestFit="1" customWidth="1"/>
    <col min="4101" max="4101" width="13.5" style="1225" customWidth="1"/>
    <col min="4102" max="4102" width="9" style="1225"/>
    <col min="4103" max="4103" width="9.375" style="1225" bestFit="1" customWidth="1"/>
    <col min="4104" max="4105" width="9" style="1225"/>
    <col min="4106" max="4106" width="9.375" style="1225" bestFit="1" customWidth="1"/>
    <col min="4107" max="4107" width="4" style="1225" customWidth="1"/>
    <col min="4108" max="4108" width="5.125" style="1225" customWidth="1"/>
    <col min="4109" max="4109" width="13.75" style="1225" customWidth="1"/>
    <col min="4110" max="4352" width="9" style="1225"/>
    <col min="4353" max="4353" width="4.875" style="1225" customWidth="1"/>
    <col min="4354" max="4354" width="13.25" style="1225" customWidth="1"/>
    <col min="4355" max="4355" width="15.625" style="1225" customWidth="1"/>
    <col min="4356" max="4356" width="9.375" style="1225" bestFit="1" customWidth="1"/>
    <col min="4357" max="4357" width="13.5" style="1225" customWidth="1"/>
    <col min="4358" max="4358" width="9" style="1225"/>
    <col min="4359" max="4359" width="9.375" style="1225" bestFit="1" customWidth="1"/>
    <col min="4360" max="4361" width="9" style="1225"/>
    <col min="4362" max="4362" width="9.375" style="1225" bestFit="1" customWidth="1"/>
    <col min="4363" max="4363" width="4" style="1225" customWidth="1"/>
    <col min="4364" max="4364" width="5.125" style="1225" customWidth="1"/>
    <col min="4365" max="4365" width="13.75" style="1225" customWidth="1"/>
    <col min="4366" max="4608" width="9" style="1225"/>
    <col min="4609" max="4609" width="4.875" style="1225" customWidth="1"/>
    <col min="4610" max="4610" width="13.25" style="1225" customWidth="1"/>
    <col min="4611" max="4611" width="15.625" style="1225" customWidth="1"/>
    <col min="4612" max="4612" width="9.375" style="1225" bestFit="1" customWidth="1"/>
    <col min="4613" max="4613" width="13.5" style="1225" customWidth="1"/>
    <col min="4614" max="4614" width="9" style="1225"/>
    <col min="4615" max="4615" width="9.375" style="1225" bestFit="1" customWidth="1"/>
    <col min="4616" max="4617" width="9" style="1225"/>
    <col min="4618" max="4618" width="9.375" style="1225" bestFit="1" customWidth="1"/>
    <col min="4619" max="4619" width="4" style="1225" customWidth="1"/>
    <col min="4620" max="4620" width="5.125" style="1225" customWidth="1"/>
    <col min="4621" max="4621" width="13.75" style="1225" customWidth="1"/>
    <col min="4622" max="4864" width="9" style="1225"/>
    <col min="4865" max="4865" width="4.875" style="1225" customWidth="1"/>
    <col min="4866" max="4866" width="13.25" style="1225" customWidth="1"/>
    <col min="4867" max="4867" width="15.625" style="1225" customWidth="1"/>
    <col min="4868" max="4868" width="9.375" style="1225" bestFit="1" customWidth="1"/>
    <col min="4869" max="4869" width="13.5" style="1225" customWidth="1"/>
    <col min="4870" max="4870" width="9" style="1225"/>
    <col min="4871" max="4871" width="9.375" style="1225" bestFit="1" customWidth="1"/>
    <col min="4872" max="4873" width="9" style="1225"/>
    <col min="4874" max="4874" width="9.375" style="1225" bestFit="1" customWidth="1"/>
    <col min="4875" max="4875" width="4" style="1225" customWidth="1"/>
    <col min="4876" max="4876" width="5.125" style="1225" customWidth="1"/>
    <col min="4877" max="4877" width="13.75" style="1225" customWidth="1"/>
    <col min="4878" max="5120" width="9" style="1225"/>
    <col min="5121" max="5121" width="4.875" style="1225" customWidth="1"/>
    <col min="5122" max="5122" width="13.25" style="1225" customWidth="1"/>
    <col min="5123" max="5123" width="15.625" style="1225" customWidth="1"/>
    <col min="5124" max="5124" width="9.375" style="1225" bestFit="1" customWidth="1"/>
    <col min="5125" max="5125" width="13.5" style="1225" customWidth="1"/>
    <col min="5126" max="5126" width="9" style="1225"/>
    <col min="5127" max="5127" width="9.375" style="1225" bestFit="1" customWidth="1"/>
    <col min="5128" max="5129" width="9" style="1225"/>
    <col min="5130" max="5130" width="9.375" style="1225" bestFit="1" customWidth="1"/>
    <col min="5131" max="5131" width="4" style="1225" customWidth="1"/>
    <col min="5132" max="5132" width="5.125" style="1225" customWidth="1"/>
    <col min="5133" max="5133" width="13.75" style="1225" customWidth="1"/>
    <col min="5134" max="5376" width="9" style="1225"/>
    <col min="5377" max="5377" width="4.875" style="1225" customWidth="1"/>
    <col min="5378" max="5378" width="13.25" style="1225" customWidth="1"/>
    <col min="5379" max="5379" width="15.625" style="1225" customWidth="1"/>
    <col min="5380" max="5380" width="9.375" style="1225" bestFit="1" customWidth="1"/>
    <col min="5381" max="5381" width="13.5" style="1225" customWidth="1"/>
    <col min="5382" max="5382" width="9" style="1225"/>
    <col min="5383" max="5383" width="9.375" style="1225" bestFit="1" customWidth="1"/>
    <col min="5384" max="5385" width="9" style="1225"/>
    <col min="5386" max="5386" width="9.375" style="1225" bestFit="1" customWidth="1"/>
    <col min="5387" max="5387" width="4" style="1225" customWidth="1"/>
    <col min="5388" max="5388" width="5.125" style="1225" customWidth="1"/>
    <col min="5389" max="5389" width="13.75" style="1225" customWidth="1"/>
    <col min="5390" max="5632" width="9" style="1225"/>
    <col min="5633" max="5633" width="4.875" style="1225" customWidth="1"/>
    <col min="5634" max="5634" width="13.25" style="1225" customWidth="1"/>
    <col min="5635" max="5635" width="15.625" style="1225" customWidth="1"/>
    <col min="5636" max="5636" width="9.375" style="1225" bestFit="1" customWidth="1"/>
    <col min="5637" max="5637" width="13.5" style="1225" customWidth="1"/>
    <col min="5638" max="5638" width="9" style="1225"/>
    <col min="5639" max="5639" width="9.375" style="1225" bestFit="1" customWidth="1"/>
    <col min="5640" max="5641" width="9" style="1225"/>
    <col min="5642" max="5642" width="9.375" style="1225" bestFit="1" customWidth="1"/>
    <col min="5643" max="5643" width="4" style="1225" customWidth="1"/>
    <col min="5644" max="5644" width="5.125" style="1225" customWidth="1"/>
    <col min="5645" max="5645" width="13.75" style="1225" customWidth="1"/>
    <col min="5646" max="5888" width="9" style="1225"/>
    <col min="5889" max="5889" width="4.875" style="1225" customWidth="1"/>
    <col min="5890" max="5890" width="13.25" style="1225" customWidth="1"/>
    <col min="5891" max="5891" width="15.625" style="1225" customWidth="1"/>
    <col min="5892" max="5892" width="9.375" style="1225" bestFit="1" customWidth="1"/>
    <col min="5893" max="5893" width="13.5" style="1225" customWidth="1"/>
    <col min="5894" max="5894" width="9" style="1225"/>
    <col min="5895" max="5895" width="9.375" style="1225" bestFit="1" customWidth="1"/>
    <col min="5896" max="5897" width="9" style="1225"/>
    <col min="5898" max="5898" width="9.375" style="1225" bestFit="1" customWidth="1"/>
    <col min="5899" max="5899" width="4" style="1225" customWidth="1"/>
    <col min="5900" max="5900" width="5.125" style="1225" customWidth="1"/>
    <col min="5901" max="5901" width="13.75" style="1225" customWidth="1"/>
    <col min="5902" max="6144" width="9" style="1225"/>
    <col min="6145" max="6145" width="4.875" style="1225" customWidth="1"/>
    <col min="6146" max="6146" width="13.25" style="1225" customWidth="1"/>
    <col min="6147" max="6147" width="15.625" style="1225" customWidth="1"/>
    <col min="6148" max="6148" width="9.375" style="1225" bestFit="1" customWidth="1"/>
    <col min="6149" max="6149" width="13.5" style="1225" customWidth="1"/>
    <col min="6150" max="6150" width="9" style="1225"/>
    <col min="6151" max="6151" width="9.375" style="1225" bestFit="1" customWidth="1"/>
    <col min="6152" max="6153" width="9" style="1225"/>
    <col min="6154" max="6154" width="9.375" style="1225" bestFit="1" customWidth="1"/>
    <col min="6155" max="6155" width="4" style="1225" customWidth="1"/>
    <col min="6156" max="6156" width="5.125" style="1225" customWidth="1"/>
    <col min="6157" max="6157" width="13.75" style="1225" customWidth="1"/>
    <col min="6158" max="6400" width="9" style="1225"/>
    <col min="6401" max="6401" width="4.875" style="1225" customWidth="1"/>
    <col min="6402" max="6402" width="13.25" style="1225" customWidth="1"/>
    <col min="6403" max="6403" width="15.625" style="1225" customWidth="1"/>
    <col min="6404" max="6404" width="9.375" style="1225" bestFit="1" customWidth="1"/>
    <col min="6405" max="6405" width="13.5" style="1225" customWidth="1"/>
    <col min="6406" max="6406" width="9" style="1225"/>
    <col min="6407" max="6407" width="9.375" style="1225" bestFit="1" customWidth="1"/>
    <col min="6408" max="6409" width="9" style="1225"/>
    <col min="6410" max="6410" width="9.375" style="1225" bestFit="1" customWidth="1"/>
    <col min="6411" max="6411" width="4" style="1225" customWidth="1"/>
    <col min="6412" max="6412" width="5.125" style="1225" customWidth="1"/>
    <col min="6413" max="6413" width="13.75" style="1225" customWidth="1"/>
    <col min="6414" max="6656" width="9" style="1225"/>
    <col min="6657" max="6657" width="4.875" style="1225" customWidth="1"/>
    <col min="6658" max="6658" width="13.25" style="1225" customWidth="1"/>
    <col min="6659" max="6659" width="15.625" style="1225" customWidth="1"/>
    <col min="6660" max="6660" width="9.375" style="1225" bestFit="1" customWidth="1"/>
    <col min="6661" max="6661" width="13.5" style="1225" customWidth="1"/>
    <col min="6662" max="6662" width="9" style="1225"/>
    <col min="6663" max="6663" width="9.375" style="1225" bestFit="1" customWidth="1"/>
    <col min="6664" max="6665" width="9" style="1225"/>
    <col min="6666" max="6666" width="9.375" style="1225" bestFit="1" customWidth="1"/>
    <col min="6667" max="6667" width="4" style="1225" customWidth="1"/>
    <col min="6668" max="6668" width="5.125" style="1225" customWidth="1"/>
    <col min="6669" max="6669" width="13.75" style="1225" customWidth="1"/>
    <col min="6670" max="6912" width="9" style="1225"/>
    <col min="6913" max="6913" width="4.875" style="1225" customWidth="1"/>
    <col min="6914" max="6914" width="13.25" style="1225" customWidth="1"/>
    <col min="6915" max="6915" width="15.625" style="1225" customWidth="1"/>
    <col min="6916" max="6916" width="9.375" style="1225" bestFit="1" customWidth="1"/>
    <col min="6917" max="6917" width="13.5" style="1225" customWidth="1"/>
    <col min="6918" max="6918" width="9" style="1225"/>
    <col min="6919" max="6919" width="9.375" style="1225" bestFit="1" customWidth="1"/>
    <col min="6920" max="6921" width="9" style="1225"/>
    <col min="6922" max="6922" width="9.375" style="1225" bestFit="1" customWidth="1"/>
    <col min="6923" max="6923" width="4" style="1225" customWidth="1"/>
    <col min="6924" max="6924" width="5.125" style="1225" customWidth="1"/>
    <col min="6925" max="6925" width="13.75" style="1225" customWidth="1"/>
    <col min="6926" max="7168" width="9" style="1225"/>
    <col min="7169" max="7169" width="4.875" style="1225" customWidth="1"/>
    <col min="7170" max="7170" width="13.25" style="1225" customWidth="1"/>
    <col min="7171" max="7171" width="15.625" style="1225" customWidth="1"/>
    <col min="7172" max="7172" width="9.375" style="1225" bestFit="1" customWidth="1"/>
    <col min="7173" max="7173" width="13.5" style="1225" customWidth="1"/>
    <col min="7174" max="7174" width="9" style="1225"/>
    <col min="7175" max="7175" width="9.375" style="1225" bestFit="1" customWidth="1"/>
    <col min="7176" max="7177" width="9" style="1225"/>
    <col min="7178" max="7178" width="9.375" style="1225" bestFit="1" customWidth="1"/>
    <col min="7179" max="7179" width="4" style="1225" customWidth="1"/>
    <col min="7180" max="7180" width="5.125" style="1225" customWidth="1"/>
    <col min="7181" max="7181" width="13.75" style="1225" customWidth="1"/>
    <col min="7182" max="7424" width="9" style="1225"/>
    <col min="7425" max="7425" width="4.875" style="1225" customWidth="1"/>
    <col min="7426" max="7426" width="13.25" style="1225" customWidth="1"/>
    <col min="7427" max="7427" width="15.625" style="1225" customWidth="1"/>
    <col min="7428" max="7428" width="9.375" style="1225" bestFit="1" customWidth="1"/>
    <col min="7429" max="7429" width="13.5" style="1225" customWidth="1"/>
    <col min="7430" max="7430" width="9" style="1225"/>
    <col min="7431" max="7431" width="9.375" style="1225" bestFit="1" customWidth="1"/>
    <col min="7432" max="7433" width="9" style="1225"/>
    <col min="7434" max="7434" width="9.375" style="1225" bestFit="1" customWidth="1"/>
    <col min="7435" max="7435" width="4" style="1225" customWidth="1"/>
    <col min="7436" max="7436" width="5.125" style="1225" customWidth="1"/>
    <col min="7437" max="7437" width="13.75" style="1225" customWidth="1"/>
    <col min="7438" max="7680" width="9" style="1225"/>
    <col min="7681" max="7681" width="4.875" style="1225" customWidth="1"/>
    <col min="7682" max="7682" width="13.25" style="1225" customWidth="1"/>
    <col min="7683" max="7683" width="15.625" style="1225" customWidth="1"/>
    <col min="7684" max="7684" width="9.375" style="1225" bestFit="1" customWidth="1"/>
    <col min="7685" max="7685" width="13.5" style="1225" customWidth="1"/>
    <col min="7686" max="7686" width="9" style="1225"/>
    <col min="7687" max="7687" width="9.375" style="1225" bestFit="1" customWidth="1"/>
    <col min="7688" max="7689" width="9" style="1225"/>
    <col min="7690" max="7690" width="9.375" style="1225" bestFit="1" customWidth="1"/>
    <col min="7691" max="7691" width="4" style="1225" customWidth="1"/>
    <col min="7692" max="7692" width="5.125" style="1225" customWidth="1"/>
    <col min="7693" max="7693" width="13.75" style="1225" customWidth="1"/>
    <col min="7694" max="7936" width="9" style="1225"/>
    <col min="7937" max="7937" width="4.875" style="1225" customWidth="1"/>
    <col min="7938" max="7938" width="13.25" style="1225" customWidth="1"/>
    <col min="7939" max="7939" width="15.625" style="1225" customWidth="1"/>
    <col min="7940" max="7940" width="9.375" style="1225" bestFit="1" customWidth="1"/>
    <col min="7941" max="7941" width="13.5" style="1225" customWidth="1"/>
    <col min="7942" max="7942" width="9" style="1225"/>
    <col min="7943" max="7943" width="9.375" style="1225" bestFit="1" customWidth="1"/>
    <col min="7944" max="7945" width="9" style="1225"/>
    <col min="7946" max="7946" width="9.375" style="1225" bestFit="1" customWidth="1"/>
    <col min="7947" max="7947" width="4" style="1225" customWidth="1"/>
    <col min="7948" max="7948" width="5.125" style="1225" customWidth="1"/>
    <col min="7949" max="7949" width="13.75" style="1225" customWidth="1"/>
    <col min="7950" max="8192" width="9" style="1225"/>
    <col min="8193" max="8193" width="4.875" style="1225" customWidth="1"/>
    <col min="8194" max="8194" width="13.25" style="1225" customWidth="1"/>
    <col min="8195" max="8195" width="15.625" style="1225" customWidth="1"/>
    <col min="8196" max="8196" width="9.375" style="1225" bestFit="1" customWidth="1"/>
    <col min="8197" max="8197" width="13.5" style="1225" customWidth="1"/>
    <col min="8198" max="8198" width="9" style="1225"/>
    <col min="8199" max="8199" width="9.375" style="1225" bestFit="1" customWidth="1"/>
    <col min="8200" max="8201" width="9" style="1225"/>
    <col min="8202" max="8202" width="9.375" style="1225" bestFit="1" customWidth="1"/>
    <col min="8203" max="8203" width="4" style="1225" customWidth="1"/>
    <col min="8204" max="8204" width="5.125" style="1225" customWidth="1"/>
    <col min="8205" max="8205" width="13.75" style="1225" customWidth="1"/>
    <col min="8206" max="8448" width="9" style="1225"/>
    <col min="8449" max="8449" width="4.875" style="1225" customWidth="1"/>
    <col min="8450" max="8450" width="13.25" style="1225" customWidth="1"/>
    <col min="8451" max="8451" width="15.625" style="1225" customWidth="1"/>
    <col min="8452" max="8452" width="9.375" style="1225" bestFit="1" customWidth="1"/>
    <col min="8453" max="8453" width="13.5" style="1225" customWidth="1"/>
    <col min="8454" max="8454" width="9" style="1225"/>
    <col min="8455" max="8455" width="9.375" style="1225" bestFit="1" customWidth="1"/>
    <col min="8456" max="8457" width="9" style="1225"/>
    <col min="8458" max="8458" width="9.375" style="1225" bestFit="1" customWidth="1"/>
    <col min="8459" max="8459" width="4" style="1225" customWidth="1"/>
    <col min="8460" max="8460" width="5.125" style="1225" customWidth="1"/>
    <col min="8461" max="8461" width="13.75" style="1225" customWidth="1"/>
    <col min="8462" max="8704" width="9" style="1225"/>
    <col min="8705" max="8705" width="4.875" style="1225" customWidth="1"/>
    <col min="8706" max="8706" width="13.25" style="1225" customWidth="1"/>
    <col min="8707" max="8707" width="15.625" style="1225" customWidth="1"/>
    <col min="8708" max="8708" width="9.375" style="1225" bestFit="1" customWidth="1"/>
    <col min="8709" max="8709" width="13.5" style="1225" customWidth="1"/>
    <col min="8710" max="8710" width="9" style="1225"/>
    <col min="8711" max="8711" width="9.375" style="1225" bestFit="1" customWidth="1"/>
    <col min="8712" max="8713" width="9" style="1225"/>
    <col min="8714" max="8714" width="9.375" style="1225" bestFit="1" customWidth="1"/>
    <col min="8715" max="8715" width="4" style="1225" customWidth="1"/>
    <col min="8716" max="8716" width="5.125" style="1225" customWidth="1"/>
    <col min="8717" max="8717" width="13.75" style="1225" customWidth="1"/>
    <col min="8718" max="8960" width="9" style="1225"/>
    <col min="8961" max="8961" width="4.875" style="1225" customWidth="1"/>
    <col min="8962" max="8962" width="13.25" style="1225" customWidth="1"/>
    <col min="8963" max="8963" width="15.625" style="1225" customWidth="1"/>
    <col min="8964" max="8964" width="9.375" style="1225" bestFit="1" customWidth="1"/>
    <col min="8965" max="8965" width="13.5" style="1225" customWidth="1"/>
    <col min="8966" max="8966" width="9" style="1225"/>
    <col min="8967" max="8967" width="9.375" style="1225" bestFit="1" customWidth="1"/>
    <col min="8968" max="8969" width="9" style="1225"/>
    <col min="8970" max="8970" width="9.375" style="1225" bestFit="1" customWidth="1"/>
    <col min="8971" max="8971" width="4" style="1225" customWidth="1"/>
    <col min="8972" max="8972" width="5.125" style="1225" customWidth="1"/>
    <col min="8973" max="8973" width="13.75" style="1225" customWidth="1"/>
    <col min="8974" max="9216" width="9" style="1225"/>
    <col min="9217" max="9217" width="4.875" style="1225" customWidth="1"/>
    <col min="9218" max="9218" width="13.25" style="1225" customWidth="1"/>
    <col min="9219" max="9219" width="15.625" style="1225" customWidth="1"/>
    <col min="9220" max="9220" width="9.375" style="1225" bestFit="1" customWidth="1"/>
    <col min="9221" max="9221" width="13.5" style="1225" customWidth="1"/>
    <col min="9222" max="9222" width="9" style="1225"/>
    <col min="9223" max="9223" width="9.375" style="1225" bestFit="1" customWidth="1"/>
    <col min="9224" max="9225" width="9" style="1225"/>
    <col min="9226" max="9226" width="9.375" style="1225" bestFit="1" customWidth="1"/>
    <col min="9227" max="9227" width="4" style="1225" customWidth="1"/>
    <col min="9228" max="9228" width="5.125" style="1225" customWidth="1"/>
    <col min="9229" max="9229" width="13.75" style="1225" customWidth="1"/>
    <col min="9230" max="9472" width="9" style="1225"/>
    <col min="9473" max="9473" width="4.875" style="1225" customWidth="1"/>
    <col min="9474" max="9474" width="13.25" style="1225" customWidth="1"/>
    <col min="9475" max="9475" width="15.625" style="1225" customWidth="1"/>
    <col min="9476" max="9476" width="9.375" style="1225" bestFit="1" customWidth="1"/>
    <col min="9477" max="9477" width="13.5" style="1225" customWidth="1"/>
    <col min="9478" max="9478" width="9" style="1225"/>
    <col min="9479" max="9479" width="9.375" style="1225" bestFit="1" customWidth="1"/>
    <col min="9480" max="9481" width="9" style="1225"/>
    <col min="9482" max="9482" width="9.375" style="1225" bestFit="1" customWidth="1"/>
    <col min="9483" max="9483" width="4" style="1225" customWidth="1"/>
    <col min="9484" max="9484" width="5.125" style="1225" customWidth="1"/>
    <col min="9485" max="9485" width="13.75" style="1225" customWidth="1"/>
    <col min="9486" max="9728" width="9" style="1225"/>
    <col min="9729" max="9729" width="4.875" style="1225" customWidth="1"/>
    <col min="9730" max="9730" width="13.25" style="1225" customWidth="1"/>
    <col min="9731" max="9731" width="15.625" style="1225" customWidth="1"/>
    <col min="9732" max="9732" width="9.375" style="1225" bestFit="1" customWidth="1"/>
    <col min="9733" max="9733" width="13.5" style="1225" customWidth="1"/>
    <col min="9734" max="9734" width="9" style="1225"/>
    <col min="9735" max="9735" width="9.375" style="1225" bestFit="1" customWidth="1"/>
    <col min="9736" max="9737" width="9" style="1225"/>
    <col min="9738" max="9738" width="9.375" style="1225" bestFit="1" customWidth="1"/>
    <col min="9739" max="9739" width="4" style="1225" customWidth="1"/>
    <col min="9740" max="9740" width="5.125" style="1225" customWidth="1"/>
    <col min="9741" max="9741" width="13.75" style="1225" customWidth="1"/>
    <col min="9742" max="9984" width="9" style="1225"/>
    <col min="9985" max="9985" width="4.875" style="1225" customWidth="1"/>
    <col min="9986" max="9986" width="13.25" style="1225" customWidth="1"/>
    <col min="9987" max="9987" width="15.625" style="1225" customWidth="1"/>
    <col min="9988" max="9988" width="9.375" style="1225" bestFit="1" customWidth="1"/>
    <col min="9989" max="9989" width="13.5" style="1225" customWidth="1"/>
    <col min="9990" max="9990" width="9" style="1225"/>
    <col min="9991" max="9991" width="9.375" style="1225" bestFit="1" customWidth="1"/>
    <col min="9992" max="9993" width="9" style="1225"/>
    <col min="9994" max="9994" width="9.375" style="1225" bestFit="1" customWidth="1"/>
    <col min="9995" max="9995" width="4" style="1225" customWidth="1"/>
    <col min="9996" max="9996" width="5.125" style="1225" customWidth="1"/>
    <col min="9997" max="9997" width="13.75" style="1225" customWidth="1"/>
    <col min="9998" max="10240" width="9" style="1225"/>
    <col min="10241" max="10241" width="4.875" style="1225" customWidth="1"/>
    <col min="10242" max="10242" width="13.25" style="1225" customWidth="1"/>
    <col min="10243" max="10243" width="15.625" style="1225" customWidth="1"/>
    <col min="10244" max="10244" width="9.375" style="1225" bestFit="1" customWidth="1"/>
    <col min="10245" max="10245" width="13.5" style="1225" customWidth="1"/>
    <col min="10246" max="10246" width="9" style="1225"/>
    <col min="10247" max="10247" width="9.375" style="1225" bestFit="1" customWidth="1"/>
    <col min="10248" max="10249" width="9" style="1225"/>
    <col min="10250" max="10250" width="9.375" style="1225" bestFit="1" customWidth="1"/>
    <col min="10251" max="10251" width="4" style="1225" customWidth="1"/>
    <col min="10252" max="10252" width="5.125" style="1225" customWidth="1"/>
    <col min="10253" max="10253" width="13.75" style="1225" customWidth="1"/>
    <col min="10254" max="10496" width="9" style="1225"/>
    <col min="10497" max="10497" width="4.875" style="1225" customWidth="1"/>
    <col min="10498" max="10498" width="13.25" style="1225" customWidth="1"/>
    <col min="10499" max="10499" width="15.625" style="1225" customWidth="1"/>
    <col min="10500" max="10500" width="9.375" style="1225" bestFit="1" customWidth="1"/>
    <col min="10501" max="10501" width="13.5" style="1225" customWidth="1"/>
    <col min="10502" max="10502" width="9" style="1225"/>
    <col min="10503" max="10503" width="9.375" style="1225" bestFit="1" customWidth="1"/>
    <col min="10504" max="10505" width="9" style="1225"/>
    <col min="10506" max="10506" width="9.375" style="1225" bestFit="1" customWidth="1"/>
    <col min="10507" max="10507" width="4" style="1225" customWidth="1"/>
    <col min="10508" max="10508" width="5.125" style="1225" customWidth="1"/>
    <col min="10509" max="10509" width="13.75" style="1225" customWidth="1"/>
    <col min="10510" max="10752" width="9" style="1225"/>
    <col min="10753" max="10753" width="4.875" style="1225" customWidth="1"/>
    <col min="10754" max="10754" width="13.25" style="1225" customWidth="1"/>
    <col min="10755" max="10755" width="15.625" style="1225" customWidth="1"/>
    <col min="10756" max="10756" width="9.375" style="1225" bestFit="1" customWidth="1"/>
    <col min="10757" max="10757" width="13.5" style="1225" customWidth="1"/>
    <col min="10758" max="10758" width="9" style="1225"/>
    <col min="10759" max="10759" width="9.375" style="1225" bestFit="1" customWidth="1"/>
    <col min="10760" max="10761" width="9" style="1225"/>
    <col min="10762" max="10762" width="9.375" style="1225" bestFit="1" customWidth="1"/>
    <col min="10763" max="10763" width="4" style="1225" customWidth="1"/>
    <col min="10764" max="10764" width="5.125" style="1225" customWidth="1"/>
    <col min="10765" max="10765" width="13.75" style="1225" customWidth="1"/>
    <col min="10766" max="11008" width="9" style="1225"/>
    <col min="11009" max="11009" width="4.875" style="1225" customWidth="1"/>
    <col min="11010" max="11010" width="13.25" style="1225" customWidth="1"/>
    <col min="11011" max="11011" width="15.625" style="1225" customWidth="1"/>
    <col min="11012" max="11012" width="9.375" style="1225" bestFit="1" customWidth="1"/>
    <col min="11013" max="11013" width="13.5" style="1225" customWidth="1"/>
    <col min="11014" max="11014" width="9" style="1225"/>
    <col min="11015" max="11015" width="9.375" style="1225" bestFit="1" customWidth="1"/>
    <col min="11016" max="11017" width="9" style="1225"/>
    <col min="11018" max="11018" width="9.375" style="1225" bestFit="1" customWidth="1"/>
    <col min="11019" max="11019" width="4" style="1225" customWidth="1"/>
    <col min="11020" max="11020" width="5.125" style="1225" customWidth="1"/>
    <col min="11021" max="11021" width="13.75" style="1225" customWidth="1"/>
    <col min="11022" max="11264" width="9" style="1225"/>
    <col min="11265" max="11265" width="4.875" style="1225" customWidth="1"/>
    <col min="11266" max="11266" width="13.25" style="1225" customWidth="1"/>
    <col min="11267" max="11267" width="15.625" style="1225" customWidth="1"/>
    <col min="11268" max="11268" width="9.375" style="1225" bestFit="1" customWidth="1"/>
    <col min="11269" max="11269" width="13.5" style="1225" customWidth="1"/>
    <col min="11270" max="11270" width="9" style="1225"/>
    <col min="11271" max="11271" width="9.375" style="1225" bestFit="1" customWidth="1"/>
    <col min="11272" max="11273" width="9" style="1225"/>
    <col min="11274" max="11274" width="9.375" style="1225" bestFit="1" customWidth="1"/>
    <col min="11275" max="11275" width="4" style="1225" customWidth="1"/>
    <col min="11276" max="11276" width="5.125" style="1225" customWidth="1"/>
    <col min="11277" max="11277" width="13.75" style="1225" customWidth="1"/>
    <col min="11278" max="11520" width="9" style="1225"/>
    <col min="11521" max="11521" width="4.875" style="1225" customWidth="1"/>
    <col min="11522" max="11522" width="13.25" style="1225" customWidth="1"/>
    <col min="11523" max="11523" width="15.625" style="1225" customWidth="1"/>
    <col min="11524" max="11524" width="9.375" style="1225" bestFit="1" customWidth="1"/>
    <col min="11525" max="11525" width="13.5" style="1225" customWidth="1"/>
    <col min="11526" max="11526" width="9" style="1225"/>
    <col min="11527" max="11527" width="9.375" style="1225" bestFit="1" customWidth="1"/>
    <col min="11528" max="11529" width="9" style="1225"/>
    <col min="11530" max="11530" width="9.375" style="1225" bestFit="1" customWidth="1"/>
    <col min="11531" max="11531" width="4" style="1225" customWidth="1"/>
    <col min="11532" max="11532" width="5.125" style="1225" customWidth="1"/>
    <col min="11533" max="11533" width="13.75" style="1225" customWidth="1"/>
    <col min="11534" max="11776" width="9" style="1225"/>
    <col min="11777" max="11777" width="4.875" style="1225" customWidth="1"/>
    <col min="11778" max="11778" width="13.25" style="1225" customWidth="1"/>
    <col min="11779" max="11779" width="15.625" style="1225" customWidth="1"/>
    <col min="11780" max="11780" width="9.375" style="1225" bestFit="1" customWidth="1"/>
    <col min="11781" max="11781" width="13.5" style="1225" customWidth="1"/>
    <col min="11782" max="11782" width="9" style="1225"/>
    <col min="11783" max="11783" width="9.375" style="1225" bestFit="1" customWidth="1"/>
    <col min="11784" max="11785" width="9" style="1225"/>
    <col min="11786" max="11786" width="9.375" style="1225" bestFit="1" customWidth="1"/>
    <col min="11787" max="11787" width="4" style="1225" customWidth="1"/>
    <col min="11788" max="11788" width="5.125" style="1225" customWidth="1"/>
    <col min="11789" max="11789" width="13.75" style="1225" customWidth="1"/>
    <col min="11790" max="12032" width="9" style="1225"/>
    <col min="12033" max="12033" width="4.875" style="1225" customWidth="1"/>
    <col min="12034" max="12034" width="13.25" style="1225" customWidth="1"/>
    <col min="12035" max="12035" width="15.625" style="1225" customWidth="1"/>
    <col min="12036" max="12036" width="9.375" style="1225" bestFit="1" customWidth="1"/>
    <col min="12037" max="12037" width="13.5" style="1225" customWidth="1"/>
    <col min="12038" max="12038" width="9" style="1225"/>
    <col min="12039" max="12039" width="9.375" style="1225" bestFit="1" customWidth="1"/>
    <col min="12040" max="12041" width="9" style="1225"/>
    <col min="12042" max="12042" width="9.375" style="1225" bestFit="1" customWidth="1"/>
    <col min="12043" max="12043" width="4" style="1225" customWidth="1"/>
    <col min="12044" max="12044" width="5.125" style="1225" customWidth="1"/>
    <col min="12045" max="12045" width="13.75" style="1225" customWidth="1"/>
    <col min="12046" max="12288" width="9" style="1225"/>
    <col min="12289" max="12289" width="4.875" style="1225" customWidth="1"/>
    <col min="12290" max="12290" width="13.25" style="1225" customWidth="1"/>
    <col min="12291" max="12291" width="15.625" style="1225" customWidth="1"/>
    <col min="12292" max="12292" width="9.375" style="1225" bestFit="1" customWidth="1"/>
    <col min="12293" max="12293" width="13.5" style="1225" customWidth="1"/>
    <col min="12294" max="12294" width="9" style="1225"/>
    <col min="12295" max="12295" width="9.375" style="1225" bestFit="1" customWidth="1"/>
    <col min="12296" max="12297" width="9" style="1225"/>
    <col min="12298" max="12298" width="9.375" style="1225" bestFit="1" customWidth="1"/>
    <col min="12299" max="12299" width="4" style="1225" customWidth="1"/>
    <col min="12300" max="12300" width="5.125" style="1225" customWidth="1"/>
    <col min="12301" max="12301" width="13.75" style="1225" customWidth="1"/>
    <col min="12302" max="12544" width="9" style="1225"/>
    <col min="12545" max="12545" width="4.875" style="1225" customWidth="1"/>
    <col min="12546" max="12546" width="13.25" style="1225" customWidth="1"/>
    <col min="12547" max="12547" width="15.625" style="1225" customWidth="1"/>
    <col min="12548" max="12548" width="9.375" style="1225" bestFit="1" customWidth="1"/>
    <col min="12549" max="12549" width="13.5" style="1225" customWidth="1"/>
    <col min="12550" max="12550" width="9" style="1225"/>
    <col min="12551" max="12551" width="9.375" style="1225" bestFit="1" customWidth="1"/>
    <col min="12552" max="12553" width="9" style="1225"/>
    <col min="12554" max="12554" width="9.375" style="1225" bestFit="1" customWidth="1"/>
    <col min="12555" max="12555" width="4" style="1225" customWidth="1"/>
    <col min="12556" max="12556" width="5.125" style="1225" customWidth="1"/>
    <col min="12557" max="12557" width="13.75" style="1225" customWidth="1"/>
    <col min="12558" max="12800" width="9" style="1225"/>
    <col min="12801" max="12801" width="4.875" style="1225" customWidth="1"/>
    <col min="12802" max="12802" width="13.25" style="1225" customWidth="1"/>
    <col min="12803" max="12803" width="15.625" style="1225" customWidth="1"/>
    <col min="12804" max="12804" width="9.375" style="1225" bestFit="1" customWidth="1"/>
    <col min="12805" max="12805" width="13.5" style="1225" customWidth="1"/>
    <col min="12806" max="12806" width="9" style="1225"/>
    <col min="12807" max="12807" width="9.375" style="1225" bestFit="1" customWidth="1"/>
    <col min="12808" max="12809" width="9" style="1225"/>
    <col min="12810" max="12810" width="9.375" style="1225" bestFit="1" customWidth="1"/>
    <col min="12811" max="12811" width="4" style="1225" customWidth="1"/>
    <col min="12812" max="12812" width="5.125" style="1225" customWidth="1"/>
    <col min="12813" max="12813" width="13.75" style="1225" customWidth="1"/>
    <col min="12814" max="13056" width="9" style="1225"/>
    <col min="13057" max="13057" width="4.875" style="1225" customWidth="1"/>
    <col min="13058" max="13058" width="13.25" style="1225" customWidth="1"/>
    <col min="13059" max="13059" width="15.625" style="1225" customWidth="1"/>
    <col min="13060" max="13060" width="9.375" style="1225" bestFit="1" customWidth="1"/>
    <col min="13061" max="13061" width="13.5" style="1225" customWidth="1"/>
    <col min="13062" max="13062" width="9" style="1225"/>
    <col min="13063" max="13063" width="9.375" style="1225" bestFit="1" customWidth="1"/>
    <col min="13064" max="13065" width="9" style="1225"/>
    <col min="13066" max="13066" width="9.375" style="1225" bestFit="1" customWidth="1"/>
    <col min="13067" max="13067" width="4" style="1225" customWidth="1"/>
    <col min="13068" max="13068" width="5.125" style="1225" customWidth="1"/>
    <col min="13069" max="13069" width="13.75" style="1225" customWidth="1"/>
    <col min="13070" max="13312" width="9" style="1225"/>
    <col min="13313" max="13313" width="4.875" style="1225" customWidth="1"/>
    <col min="13314" max="13314" width="13.25" style="1225" customWidth="1"/>
    <col min="13315" max="13315" width="15.625" style="1225" customWidth="1"/>
    <col min="13316" max="13316" width="9.375" style="1225" bestFit="1" customWidth="1"/>
    <col min="13317" max="13317" width="13.5" style="1225" customWidth="1"/>
    <col min="13318" max="13318" width="9" style="1225"/>
    <col min="13319" max="13319" width="9.375" style="1225" bestFit="1" customWidth="1"/>
    <col min="13320" max="13321" width="9" style="1225"/>
    <col min="13322" max="13322" width="9.375" style="1225" bestFit="1" customWidth="1"/>
    <col min="13323" max="13323" width="4" style="1225" customWidth="1"/>
    <col min="13324" max="13324" width="5.125" style="1225" customWidth="1"/>
    <col min="13325" max="13325" width="13.75" style="1225" customWidth="1"/>
    <col min="13326" max="13568" width="9" style="1225"/>
    <col min="13569" max="13569" width="4.875" style="1225" customWidth="1"/>
    <col min="13570" max="13570" width="13.25" style="1225" customWidth="1"/>
    <col min="13571" max="13571" width="15.625" style="1225" customWidth="1"/>
    <col min="13572" max="13572" width="9.375" style="1225" bestFit="1" customWidth="1"/>
    <col min="13573" max="13573" width="13.5" style="1225" customWidth="1"/>
    <col min="13574" max="13574" width="9" style="1225"/>
    <col min="13575" max="13575" width="9.375" style="1225" bestFit="1" customWidth="1"/>
    <col min="13576" max="13577" width="9" style="1225"/>
    <col min="13578" max="13578" width="9.375" style="1225" bestFit="1" customWidth="1"/>
    <col min="13579" max="13579" width="4" style="1225" customWidth="1"/>
    <col min="13580" max="13580" width="5.125" style="1225" customWidth="1"/>
    <col min="13581" max="13581" width="13.75" style="1225" customWidth="1"/>
    <col min="13582" max="13824" width="9" style="1225"/>
    <col min="13825" max="13825" width="4.875" style="1225" customWidth="1"/>
    <col min="13826" max="13826" width="13.25" style="1225" customWidth="1"/>
    <col min="13827" max="13827" width="15.625" style="1225" customWidth="1"/>
    <col min="13828" max="13828" width="9.375" style="1225" bestFit="1" customWidth="1"/>
    <col min="13829" max="13829" width="13.5" style="1225" customWidth="1"/>
    <col min="13830" max="13830" width="9" style="1225"/>
    <col min="13831" max="13831" width="9.375" style="1225" bestFit="1" customWidth="1"/>
    <col min="13832" max="13833" width="9" style="1225"/>
    <col min="13834" max="13834" width="9.375" style="1225" bestFit="1" customWidth="1"/>
    <col min="13835" max="13835" width="4" style="1225" customWidth="1"/>
    <col min="13836" max="13836" width="5.125" style="1225" customWidth="1"/>
    <col min="13837" max="13837" width="13.75" style="1225" customWidth="1"/>
    <col min="13838" max="14080" width="9" style="1225"/>
    <col min="14081" max="14081" width="4.875" style="1225" customWidth="1"/>
    <col min="14082" max="14082" width="13.25" style="1225" customWidth="1"/>
    <col min="14083" max="14083" width="15.625" style="1225" customWidth="1"/>
    <col min="14084" max="14084" width="9.375" style="1225" bestFit="1" customWidth="1"/>
    <col min="14085" max="14085" width="13.5" style="1225" customWidth="1"/>
    <col min="14086" max="14086" width="9" style="1225"/>
    <col min="14087" max="14087" width="9.375" style="1225" bestFit="1" customWidth="1"/>
    <col min="14088" max="14089" width="9" style="1225"/>
    <col min="14090" max="14090" width="9.375" style="1225" bestFit="1" customWidth="1"/>
    <col min="14091" max="14091" width="4" style="1225" customWidth="1"/>
    <col min="14092" max="14092" width="5.125" style="1225" customWidth="1"/>
    <col min="14093" max="14093" width="13.75" style="1225" customWidth="1"/>
    <col min="14094" max="14336" width="9" style="1225"/>
    <col min="14337" max="14337" width="4.875" style="1225" customWidth="1"/>
    <col min="14338" max="14338" width="13.25" style="1225" customWidth="1"/>
    <col min="14339" max="14339" width="15.625" style="1225" customWidth="1"/>
    <col min="14340" max="14340" width="9.375" style="1225" bestFit="1" customWidth="1"/>
    <col min="14341" max="14341" width="13.5" style="1225" customWidth="1"/>
    <col min="14342" max="14342" width="9" style="1225"/>
    <col min="14343" max="14343" width="9.375" style="1225" bestFit="1" customWidth="1"/>
    <col min="14344" max="14345" width="9" style="1225"/>
    <col min="14346" max="14346" width="9.375" style="1225" bestFit="1" customWidth="1"/>
    <col min="14347" max="14347" width="4" style="1225" customWidth="1"/>
    <col min="14348" max="14348" width="5.125" style="1225" customWidth="1"/>
    <col min="14349" max="14349" width="13.75" style="1225" customWidth="1"/>
    <col min="14350" max="14592" width="9" style="1225"/>
    <col min="14593" max="14593" width="4.875" style="1225" customWidth="1"/>
    <col min="14594" max="14594" width="13.25" style="1225" customWidth="1"/>
    <col min="14595" max="14595" width="15.625" style="1225" customWidth="1"/>
    <col min="14596" max="14596" width="9.375" style="1225" bestFit="1" customWidth="1"/>
    <col min="14597" max="14597" width="13.5" style="1225" customWidth="1"/>
    <col min="14598" max="14598" width="9" style="1225"/>
    <col min="14599" max="14599" width="9.375" style="1225" bestFit="1" customWidth="1"/>
    <col min="14600" max="14601" width="9" style="1225"/>
    <col min="14602" max="14602" width="9.375" style="1225" bestFit="1" customWidth="1"/>
    <col min="14603" max="14603" width="4" style="1225" customWidth="1"/>
    <col min="14604" max="14604" width="5.125" style="1225" customWidth="1"/>
    <col min="14605" max="14605" width="13.75" style="1225" customWidth="1"/>
    <col min="14606" max="14848" width="9" style="1225"/>
    <col min="14849" max="14849" width="4.875" style="1225" customWidth="1"/>
    <col min="14850" max="14850" width="13.25" style="1225" customWidth="1"/>
    <col min="14851" max="14851" width="15.625" style="1225" customWidth="1"/>
    <col min="14852" max="14852" width="9.375" style="1225" bestFit="1" customWidth="1"/>
    <col min="14853" max="14853" width="13.5" style="1225" customWidth="1"/>
    <col min="14854" max="14854" width="9" style="1225"/>
    <col min="14855" max="14855" width="9.375" style="1225" bestFit="1" customWidth="1"/>
    <col min="14856" max="14857" width="9" style="1225"/>
    <col min="14858" max="14858" width="9.375" style="1225" bestFit="1" customWidth="1"/>
    <col min="14859" max="14859" width="4" style="1225" customWidth="1"/>
    <col min="14860" max="14860" width="5.125" style="1225" customWidth="1"/>
    <col min="14861" max="14861" width="13.75" style="1225" customWidth="1"/>
    <col min="14862" max="15104" width="9" style="1225"/>
    <col min="15105" max="15105" width="4.875" style="1225" customWidth="1"/>
    <col min="15106" max="15106" width="13.25" style="1225" customWidth="1"/>
    <col min="15107" max="15107" width="15.625" style="1225" customWidth="1"/>
    <col min="15108" max="15108" width="9.375" style="1225" bestFit="1" customWidth="1"/>
    <col min="15109" max="15109" width="13.5" style="1225" customWidth="1"/>
    <col min="15110" max="15110" width="9" style="1225"/>
    <col min="15111" max="15111" width="9.375" style="1225" bestFit="1" customWidth="1"/>
    <col min="15112" max="15113" width="9" style="1225"/>
    <col min="15114" max="15114" width="9.375" style="1225" bestFit="1" customWidth="1"/>
    <col min="15115" max="15115" width="4" style="1225" customWidth="1"/>
    <col min="15116" max="15116" width="5.125" style="1225" customWidth="1"/>
    <col min="15117" max="15117" width="13.75" style="1225" customWidth="1"/>
    <col min="15118" max="15360" width="9" style="1225"/>
    <col min="15361" max="15361" width="4.875" style="1225" customWidth="1"/>
    <col min="15362" max="15362" width="13.25" style="1225" customWidth="1"/>
    <col min="15363" max="15363" width="15.625" style="1225" customWidth="1"/>
    <col min="15364" max="15364" width="9.375" style="1225" bestFit="1" customWidth="1"/>
    <col min="15365" max="15365" width="13.5" style="1225" customWidth="1"/>
    <col min="15366" max="15366" width="9" style="1225"/>
    <col min="15367" max="15367" width="9.375" style="1225" bestFit="1" customWidth="1"/>
    <col min="15368" max="15369" width="9" style="1225"/>
    <col min="15370" max="15370" width="9.375" style="1225" bestFit="1" customWidth="1"/>
    <col min="15371" max="15371" width="4" style="1225" customWidth="1"/>
    <col min="15372" max="15372" width="5.125" style="1225" customWidth="1"/>
    <col min="15373" max="15373" width="13.75" style="1225" customWidth="1"/>
    <col min="15374" max="15616" width="9" style="1225"/>
    <col min="15617" max="15617" width="4.875" style="1225" customWidth="1"/>
    <col min="15618" max="15618" width="13.25" style="1225" customWidth="1"/>
    <col min="15619" max="15619" width="15.625" style="1225" customWidth="1"/>
    <col min="15620" max="15620" width="9.375" style="1225" bestFit="1" customWidth="1"/>
    <col min="15621" max="15621" width="13.5" style="1225" customWidth="1"/>
    <col min="15622" max="15622" width="9" style="1225"/>
    <col min="15623" max="15623" width="9.375" style="1225" bestFit="1" customWidth="1"/>
    <col min="15624" max="15625" width="9" style="1225"/>
    <col min="15626" max="15626" width="9.375" style="1225" bestFit="1" customWidth="1"/>
    <col min="15627" max="15627" width="4" style="1225" customWidth="1"/>
    <col min="15628" max="15628" width="5.125" style="1225" customWidth="1"/>
    <col min="15629" max="15629" width="13.75" style="1225" customWidth="1"/>
    <col min="15630" max="15872" width="9" style="1225"/>
    <col min="15873" max="15873" width="4.875" style="1225" customWidth="1"/>
    <col min="15874" max="15874" width="13.25" style="1225" customWidth="1"/>
    <col min="15875" max="15875" width="15.625" style="1225" customWidth="1"/>
    <col min="15876" max="15876" width="9.375" style="1225" bestFit="1" customWidth="1"/>
    <col min="15877" max="15877" width="13.5" style="1225" customWidth="1"/>
    <col min="15878" max="15878" width="9" style="1225"/>
    <col min="15879" max="15879" width="9.375" style="1225" bestFit="1" customWidth="1"/>
    <col min="15880" max="15881" width="9" style="1225"/>
    <col min="15882" max="15882" width="9.375" style="1225" bestFit="1" customWidth="1"/>
    <col min="15883" max="15883" width="4" style="1225" customWidth="1"/>
    <col min="15884" max="15884" width="5.125" style="1225" customWidth="1"/>
    <col min="15885" max="15885" width="13.75" style="1225" customWidth="1"/>
    <col min="15886" max="16128" width="9" style="1225"/>
    <col min="16129" max="16129" width="4.875" style="1225" customWidth="1"/>
    <col min="16130" max="16130" width="13.25" style="1225" customWidth="1"/>
    <col min="16131" max="16131" width="15.625" style="1225" customWidth="1"/>
    <col min="16132" max="16132" width="9.375" style="1225" bestFit="1" customWidth="1"/>
    <col min="16133" max="16133" width="13.5" style="1225" customWidth="1"/>
    <col min="16134" max="16134" width="9" style="1225"/>
    <col min="16135" max="16135" width="9.375" style="1225" bestFit="1" customWidth="1"/>
    <col min="16136" max="16137" width="9" style="1225"/>
    <col min="16138" max="16138" width="9.375" style="1225" bestFit="1" customWidth="1"/>
    <col min="16139" max="16139" width="4" style="1225" customWidth="1"/>
    <col min="16140" max="16140" width="5.125" style="1225" customWidth="1"/>
    <col min="16141" max="16141" width="13.75" style="1225" customWidth="1"/>
    <col min="16142" max="16384" width="9" style="1225"/>
  </cols>
  <sheetData>
    <row r="1" spans="1:257" s="1287" customFormat="1" ht="14.25" thickBot="1">
      <c r="A1" s="1281"/>
      <c r="B1" s="1288" t="s">
        <v>602</v>
      </c>
      <c r="C1" s="1282">
        <f>项目基本情况!D3</f>
        <v>45194</v>
      </c>
      <c r="D1" s="1288" t="s">
        <v>603</v>
      </c>
      <c r="E1" s="1283">
        <f>'数据-取费表'!B22</f>
        <v>2</v>
      </c>
      <c r="F1" s="1288" t="s">
        <v>604</v>
      </c>
      <c r="G1" s="1284">
        <f ca="1">INDIRECT("d"&amp;$K$1)/100</f>
        <v>3.4500000000000003E-2</v>
      </c>
      <c r="H1" s="1288" t="s">
        <v>634</v>
      </c>
      <c r="I1" s="1284">
        <f ca="1">F4/100</f>
        <v>1.4999999999999999E-2</v>
      </c>
      <c r="J1" s="1289">
        <f>IF(C1&gt;C13,0,MATCH(C1,C$13:C$111,-1))+IF(SUMIF(C13:C111,C1,D13:D111)=0,13,12)</f>
        <v>13</v>
      </c>
      <c r="K1" s="1289">
        <f>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4.2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25">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5">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14.25">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4.25">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4.25">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4.25">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4.25">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5">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4.25">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4.25">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4.25">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4.25">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4.25">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4.25">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527" t="str">
        <f>IF(项目基本情况!B9="房地产市场价值","估价结果一览表","结果表-2")</f>
        <v>估价结果一览表</v>
      </c>
      <c r="B1" s="3527"/>
      <c r="C1" s="3527"/>
      <c r="D1" s="3527"/>
      <c r="E1" s="3527"/>
      <c r="F1" s="3527"/>
      <c r="G1" s="3527"/>
      <c r="H1" s="3527"/>
      <c r="I1" s="3527"/>
    </row>
    <row r="2" spans="1:9" ht="30" customHeight="1" thickTop="1">
      <c r="A2" s="3528" t="s">
        <v>928</v>
      </c>
      <c r="B2" s="3528" t="s">
        <v>929</v>
      </c>
      <c r="C2" s="3528" t="s">
        <v>930</v>
      </c>
      <c r="D2" s="3528" t="str">
        <f>结果表!D116</f>
        <v>出让国有建设用地使用权价值</v>
      </c>
      <c r="E2" s="3528"/>
      <c r="F2" s="3528" t="str">
        <f>结果表!F116</f>
        <v>在建建筑物价值</v>
      </c>
      <c r="G2" s="3528"/>
      <c r="H2" s="3528" t="str">
        <f>IF(项目基本情况!B9="房地产市场价值","房地产市场价值","房地产价值")</f>
        <v>房地产市场价值</v>
      </c>
      <c r="I2" s="3528"/>
    </row>
    <row r="3" spans="1:9" ht="15">
      <c r="A3" s="3523"/>
      <c r="B3" s="3523"/>
      <c r="C3" s="3523"/>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8275.91</v>
      </c>
      <c r="C4" s="841">
        <f>项目基本情况!C18</f>
        <v>47032</v>
      </c>
      <c r="D4" s="841">
        <f ca="1">结果表!D118</f>
        <v>764</v>
      </c>
      <c r="E4" s="841">
        <f ca="1">结果表!E118</f>
        <v>923</v>
      </c>
      <c r="F4" s="841">
        <f ca="1">结果表!F118</f>
        <v>2110</v>
      </c>
      <c r="G4" s="841">
        <f ca="1">结果表!G118</f>
        <v>2550</v>
      </c>
      <c r="H4" s="841">
        <f ca="1">结果表!H118</f>
        <v>2874</v>
      </c>
      <c r="I4" s="841">
        <f ca="1">结果表!I118</f>
        <v>3473</v>
      </c>
    </row>
    <row r="5" spans="1:9" ht="30" customHeight="1">
      <c r="A5" s="3523" t="s">
        <v>927</v>
      </c>
      <c r="B5" s="3523"/>
      <c r="C5" s="3523"/>
      <c r="D5" s="3523" t="str">
        <f ca="1">结果表!D119</f>
        <v>柒佰陆拾肆万元整</v>
      </c>
      <c r="E5" s="3523"/>
      <c r="F5" s="3523" t="str">
        <f ca="1">结果表!F119</f>
        <v>贰仟壹佰壹拾万元整</v>
      </c>
      <c r="G5" s="3523"/>
      <c r="H5" s="3523" t="str">
        <f ca="1">结果表!H119</f>
        <v>贰仟捌佰柒拾肆万元整</v>
      </c>
      <c r="I5" s="3523"/>
    </row>
    <row r="6" spans="1:9" ht="15.75">
      <c r="A6" s="3522" t="str">
        <f>结果表!A120</f>
        <v/>
      </c>
      <c r="B6" s="3522"/>
      <c r="C6" s="3522"/>
      <c r="D6" s="3522">
        <f>结果表!D120</f>
        <v>0</v>
      </c>
      <c r="E6" s="3522"/>
      <c r="F6" s="3522"/>
      <c r="G6" s="3522"/>
      <c r="H6" s="3522"/>
      <c r="I6" s="3522"/>
    </row>
    <row r="7" spans="1:9" ht="15">
      <c r="A7" s="3523" t="s">
        <v>927</v>
      </c>
      <c r="B7" s="3523"/>
      <c r="C7" s="3523"/>
      <c r="D7" s="3524" t="str">
        <f>结果表!D121</f>
        <v>零元整</v>
      </c>
      <c r="E7" s="3525"/>
      <c r="F7" s="3525"/>
      <c r="G7" s="3525"/>
      <c r="H7" s="3525"/>
      <c r="I7" s="3526"/>
    </row>
    <row r="8" spans="1:9" ht="15.75">
      <c r="A8" s="3522" t="str">
        <f>结果表!A122</f>
        <v/>
      </c>
      <c r="B8" s="3522"/>
      <c r="C8" s="3522"/>
      <c r="D8" s="3522">
        <f ca="1">结果表!D122</f>
        <v>2874</v>
      </c>
      <c r="E8" s="3522"/>
      <c r="F8" s="3522"/>
      <c r="G8" s="3522"/>
      <c r="H8" s="3522"/>
      <c r="I8" s="3522"/>
    </row>
    <row r="9" spans="1:9" ht="15">
      <c r="A9" s="3523" t="s">
        <v>927</v>
      </c>
      <c r="B9" s="3523"/>
      <c r="C9" s="3523"/>
      <c r="D9" s="3523" t="str">
        <f ca="1">结果表!D123</f>
        <v>贰仟捌佰柒拾肆万元整</v>
      </c>
      <c r="E9" s="3523"/>
      <c r="F9" s="3523"/>
      <c r="G9" s="3523"/>
      <c r="H9" s="3523"/>
      <c r="I9" s="3523"/>
    </row>
    <row r="10" spans="1:9" ht="15.75">
      <c r="A10" s="3522" t="str">
        <f>结果表!A124</f>
        <v/>
      </c>
      <c r="B10" s="3522"/>
      <c r="C10" s="3522"/>
      <c r="D10" s="3522" t="str">
        <f>结果表!D124</f>
        <v>——</v>
      </c>
      <c r="E10" s="3522"/>
      <c r="F10" s="3522"/>
      <c r="G10" s="3522"/>
      <c r="H10" s="3522"/>
      <c r="I10" s="3522"/>
    </row>
    <row r="11" spans="1:9" ht="15">
      <c r="A11" s="3523" t="s">
        <v>927</v>
      </c>
      <c r="B11" s="3523"/>
      <c r="C11" s="3523"/>
      <c r="D11" s="3523" t="e">
        <f>结果表!D125</f>
        <v>#VALUE!</v>
      </c>
      <c r="E11" s="3523"/>
      <c r="F11" s="3523"/>
      <c r="G11" s="3523"/>
      <c r="H11" s="3523"/>
      <c r="I11" s="3523"/>
    </row>
    <row r="12" spans="1:9" ht="15.75">
      <c r="A12" s="3522" t="str">
        <f>结果表!A126</f>
        <v/>
      </c>
      <c r="B12" s="3522"/>
      <c r="C12" s="3522"/>
      <c r="D12" s="3522" t="str">
        <f>结果表!D126</f>
        <v>——</v>
      </c>
      <c r="E12" s="3522"/>
      <c r="F12" s="3522"/>
      <c r="G12" s="3522"/>
      <c r="H12" s="3522"/>
      <c r="I12" s="3522"/>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535" t="s">
        <v>949</v>
      </c>
      <c r="B1" s="3535"/>
      <c r="C1" s="3535"/>
      <c r="D1" s="3535"/>
    </row>
    <row r="2" spans="1:4" ht="18">
      <c r="A2" s="3536" t="s">
        <v>933</v>
      </c>
      <c r="B2" s="3536"/>
      <c r="C2" s="3536"/>
      <c r="D2" s="3536"/>
    </row>
    <row r="3" spans="1:4" ht="18.75">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8">
      <c r="A6" s="3536" t="s">
        <v>939</v>
      </c>
      <c r="B6" s="3536"/>
      <c r="C6" s="3536"/>
      <c r="D6" s="3536"/>
    </row>
    <row r="7" spans="1:4" ht="18.75">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8.75">
      <c r="A10" s="1502" t="s">
        <v>941</v>
      </c>
      <c r="B10" s="662"/>
      <c r="C10" s="662"/>
      <c r="D10" s="662"/>
    </row>
    <row r="11" spans="1:4" ht="30" customHeight="1">
      <c r="A11" s="3537" t="s">
        <v>942</v>
      </c>
      <c r="B11" s="3529"/>
      <c r="C11" s="3529"/>
      <c r="D11" s="3529"/>
    </row>
    <row r="12" spans="1:4" ht="15.75">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4"/>
      <c r="C12" s="3534"/>
      <c r="D12" s="3534"/>
    </row>
    <row r="13" spans="1:4" ht="30" customHeight="1">
      <c r="A13" s="3529" t="str">
        <f>IF(项目基本情况!B8="抵押","3.抵押双方在办理抵押登记手续时，应使用本公司出具的正式《房地产评估报告》，特提醒报告使用者注意。","——")</f>
        <v>——</v>
      </c>
      <c r="B13" s="3534"/>
      <c r="C13" s="3534"/>
      <c r="D13" s="3534"/>
    </row>
    <row r="14" spans="1:4" ht="15.75" customHeight="1">
      <c r="A14" s="3529" t="str">
        <f>IF(项目基本情况!B8="抵押","4.本次评估估价师所知悉的法定优先受偿款情况说明如下：","——")</f>
        <v>——</v>
      </c>
      <c r="B14" s="3534"/>
      <c r="C14" s="3534"/>
      <c r="D14" s="3534"/>
    </row>
    <row r="15" spans="1:4" ht="42" customHeight="1">
      <c r="A15" s="3529" t="str">
        <f>IF(项目基本情况!B8="抵押","（1）"&amp;CONCATENATE(项目基本情况!L20,项目基本情况!L21,项目基本情况!L22),"——")</f>
        <v>——</v>
      </c>
      <c r="B15" s="3529"/>
      <c r="C15" s="3529"/>
      <c r="D15" s="3529"/>
    </row>
    <row r="16" spans="1:4" ht="30" customHeight="1">
      <c r="A16" s="3531" t="s">
        <v>943</v>
      </c>
      <c r="B16" s="3531"/>
      <c r="C16" s="3531"/>
      <c r="D16" s="3531"/>
    </row>
    <row r="17" spans="1:4" ht="144" customHeight="1">
      <c r="A17" s="3531" t="s">
        <v>944</v>
      </c>
      <c r="B17" s="3531"/>
      <c r="C17" s="3531"/>
      <c r="D17" s="3531"/>
    </row>
    <row r="18" spans="1:4" ht="15.75" customHeight="1">
      <c r="A18" s="3529" t="str">
        <f>IF(项目基本情况!B8="抵押",结果表!K120,"——")</f>
        <v>——</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9"/>
      <c r="C20" s="3529"/>
      <c r="D20" s="3529"/>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2"/>
      <c r="C21" s="3532"/>
      <c r="D21" s="3532"/>
    </row>
    <row r="22" spans="1:4" ht="18.75" customHeight="1">
      <c r="A22" s="3533" t="s">
        <v>945</v>
      </c>
      <c r="B22" s="3533"/>
      <c r="C22" s="3533"/>
      <c r="D22" s="3533"/>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530">
        <v>42551</v>
      </c>
      <c r="D31" s="35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43" t="s">
        <v>956</v>
      </c>
      <c r="B15" s="3538" t="s">
        <v>109</v>
      </c>
      <c r="C15" s="3539"/>
    </row>
    <row r="16" spans="1:7" ht="13.5">
      <c r="A16" s="3544"/>
      <c r="B16" s="3538" t="s">
        <v>42</v>
      </c>
      <c r="C16" s="3539"/>
    </row>
    <row r="17" spans="1:3" ht="13.5">
      <c r="A17" s="3544"/>
      <c r="B17" s="3541" t="s">
        <v>957</v>
      </c>
      <c r="C17" s="1518" t="s">
        <v>956</v>
      </c>
    </row>
    <row r="18" spans="1:3" ht="13.5">
      <c r="A18" s="3544"/>
      <c r="B18" s="3541"/>
      <c r="C18" s="1518" t="s">
        <v>958</v>
      </c>
    </row>
    <row r="19" spans="1:3" ht="13.5">
      <c r="A19" s="3544"/>
      <c r="B19" s="3541"/>
      <c r="C19" s="1518" t="s">
        <v>959</v>
      </c>
    </row>
    <row r="20" spans="1:3" ht="13.5">
      <c r="A20" s="3545"/>
      <c r="B20" s="3540" t="s">
        <v>960</v>
      </c>
      <c r="C20" s="3539"/>
    </row>
    <row r="21" spans="1:3" ht="13.5">
      <c r="A21" s="1519" t="s">
        <v>961</v>
      </c>
      <c r="B21" s="1520"/>
      <c r="C21" s="1521"/>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18" t="s">
        <v>967</v>
      </c>
    </row>
    <row r="26" spans="1:3" ht="13.5">
      <c r="A26" s="3542"/>
      <c r="B26" s="3541"/>
      <c r="C26" s="1518" t="s">
        <v>968</v>
      </c>
    </row>
    <row r="27" spans="1:3" ht="13.5">
      <c r="A27" s="3542"/>
      <c r="B27" s="3541"/>
      <c r="C27" s="1518" t="s">
        <v>969</v>
      </c>
    </row>
    <row r="28" spans="1:3" ht="13.5">
      <c r="A28" s="3542"/>
      <c r="B28" s="3541"/>
      <c r="C28" s="1518" t="s">
        <v>970</v>
      </c>
    </row>
    <row r="29" spans="1:3" ht="13.5">
      <c r="A29" s="3542"/>
      <c r="B29" s="3541"/>
      <c r="C29" s="1518" t="s">
        <v>971</v>
      </c>
    </row>
    <row r="30" spans="1:3" ht="13.5">
      <c r="A30" s="3542"/>
      <c r="B30" s="3541"/>
      <c r="C30" s="1518" t="s">
        <v>972</v>
      </c>
    </row>
    <row r="31" spans="1:3" ht="13.5">
      <c r="A31" s="3542"/>
      <c r="B31" s="3541"/>
      <c r="C31" s="1518" t="s">
        <v>973</v>
      </c>
    </row>
    <row r="32" spans="1:3" ht="13.5">
      <c r="A32" s="3542"/>
      <c r="B32" s="3541"/>
      <c r="C32" s="1518" t="s">
        <v>974</v>
      </c>
    </row>
    <row r="33" spans="1:3" ht="13.5">
      <c r="A33" s="3542"/>
      <c r="B33" s="3541"/>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3" customWidth="1"/>
    <col min="2" max="2" width="38.625" style="2323" customWidth="1"/>
    <col min="3" max="3" width="26" style="2323" customWidth="1"/>
    <col min="4" max="4" width="35" style="2323" hidden="1" customWidth="1"/>
    <col min="5" max="5" width="30.125" style="2323" customWidth="1"/>
    <col min="6" max="6" width="35.5" style="2323" customWidth="1"/>
    <col min="7" max="7" width="31" style="2323" customWidth="1"/>
    <col min="8" max="8" width="37.5" style="2323" hidden="1" customWidth="1"/>
    <col min="9" max="16384" width="22.625" style="2323"/>
  </cols>
  <sheetData>
    <row r="1" spans="1:8" ht="24" customHeight="1">
      <c r="A1" s="2322"/>
      <c r="B1" s="2322"/>
      <c r="C1" s="2322"/>
      <c r="D1" s="2322"/>
      <c r="E1" s="2322"/>
      <c r="F1" s="2322"/>
      <c r="G1" s="2322"/>
      <c r="H1" s="2322"/>
    </row>
    <row r="2" spans="1:8" ht="24" customHeight="1">
      <c r="A2" s="2324" t="s">
        <v>2139</v>
      </c>
      <c r="B2" s="2325">
        <f ca="1">TODAY()</f>
        <v>45206</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6" t="s">
        <v>2160</v>
      </c>
      <c r="B17" s="3546"/>
      <c r="C17" s="3546"/>
      <c r="D17" s="3546"/>
      <c r="E17" s="3546"/>
      <c r="F17" s="3546"/>
      <c r="G17" s="3546"/>
      <c r="H17" s="3546"/>
    </row>
    <row r="18" spans="1:8" ht="24" customHeight="1">
      <c r="A18" s="3547" t="s">
        <v>2161</v>
      </c>
      <c r="B18" s="3547"/>
      <c r="C18" s="3547"/>
      <c r="D18" s="2329"/>
      <c r="E18" s="3548" t="s">
        <v>2162</v>
      </c>
      <c r="F18" s="3547"/>
      <c r="G18" s="3547"/>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2023-10-07T02:15:47Z</dcterms:modified>
</cp:coreProperties>
</file>