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3170"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1" sheetId="68" r:id="rId19"/>
    <sheet name="比较法-住宅、综合 (商业)" sheetId="73" r:id="rId20"/>
    <sheet name="Sheet5"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69" r:id="rId44"/>
    <sheet name="Sheet3" sheetId="70" r:id="rId45"/>
    <sheet name="Sheet4" sheetId="71"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 (商业)'!$A$1:$L$50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(商业)'!$B$108:$M$108</definedName>
    <definedName name="套综道路等级">'比较法-住宅、综合'!$B$108:$M$108</definedName>
    <definedName name="套综工程地质条件" localSheetId="19">'比较法-住宅、综合 (商业)'!$B$127:$M$127</definedName>
    <definedName name="套综工程地质条件">'比较法-住宅、综合'!$B$127:$M$127</definedName>
    <definedName name="套综交易情况" localSheetId="19">'比较法-住宅、综合 (商业)'!$A$75:$M$75</definedName>
    <definedName name="套综交易情况">'比较法-住宅、综合'!$A$75:$M$75</definedName>
    <definedName name="套综临街宽度及深度" localSheetId="19">'比较法-住宅、综合 (商业)'!$B$123:$M$123</definedName>
    <definedName name="套综临街宽度及深度">'比较法-住宅、综合'!$B$123:$M$123</definedName>
    <definedName name="套综土地级别" localSheetId="19">'比较法-住宅、综合 (商业)'!$B$110:$M$110</definedName>
    <definedName name="套综土地级别">'比较法-住宅、综合'!$B$110:$M$110</definedName>
    <definedName name="套综用途" localSheetId="19">'比较法-住宅、综合 (商业)'!$B$77:$M$77</definedName>
    <definedName name="套综用途">'比较法-住宅、综合'!$B$77:$M$77</definedName>
    <definedName name="套综宗地内开发程度" localSheetId="19">'比较法-住宅、综合 (商业)'!$B$125:$M$125</definedName>
    <definedName name="套综宗地内开发程度">'比较法-住宅、综合'!$B$125:$M$125</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66" l="1"/>
  <c r="B15" i="66"/>
  <c r="M12" i="9" l="1"/>
  <c r="M10" i="9"/>
  <c r="C33" i="21" l="1"/>
  <c r="C40" i="39"/>
  <c r="G44" i="70" l="1"/>
  <c r="G45" i="70" s="1"/>
  <c r="E44" i="70"/>
  <c r="E45" i="70" s="1"/>
  <c r="D44" i="70"/>
  <c r="D45" i="70" s="1"/>
  <c r="F45" i="70"/>
  <c r="C45" i="70"/>
  <c r="G43" i="70"/>
  <c r="E43" i="70"/>
  <c r="D43" i="70"/>
  <c r="G37" i="70"/>
  <c r="G38" i="70"/>
  <c r="G39" i="70"/>
  <c r="G40" i="70"/>
  <c r="G41" i="70"/>
  <c r="G42" i="70"/>
  <c r="G36" i="70"/>
  <c r="E37" i="70"/>
  <c r="E38" i="70"/>
  <c r="E39" i="70"/>
  <c r="E40" i="70"/>
  <c r="E41" i="70"/>
  <c r="E42" i="70"/>
  <c r="E36" i="70"/>
  <c r="D37" i="70"/>
  <c r="D38" i="70"/>
  <c r="D39" i="70"/>
  <c r="D40" i="70"/>
  <c r="D41" i="70"/>
  <c r="D42" i="70"/>
  <c r="D36" i="70"/>
  <c r="E40" i="73" l="1"/>
  <c r="E9" i="73"/>
  <c r="E7" i="73"/>
  <c r="M22" i="9" l="1"/>
  <c r="L22" i="9"/>
  <c r="I48" i="73"/>
  <c r="G55" i="73" s="1"/>
  <c r="H55" i="73" s="1"/>
  <c r="G48" i="73"/>
  <c r="I40" i="73"/>
  <c r="G40" i="73"/>
  <c r="I9" i="73"/>
  <c r="G9" i="73"/>
  <c r="I7" i="73"/>
  <c r="G7" i="73"/>
  <c r="B133" i="73"/>
  <c r="J47" i="73" s="1"/>
  <c r="AC47" i="73" s="1"/>
  <c r="B131" i="73"/>
  <c r="H46" i="73" s="1"/>
  <c r="AB46" i="73" s="1"/>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E103" i="73"/>
  <c r="F103" i="73" s="1"/>
  <c r="G103" i="73" s="1"/>
  <c r="D103" i="73"/>
  <c r="E101" i="73"/>
  <c r="F101" i="73" s="1"/>
  <c r="G101" i="73" s="1"/>
  <c r="D101" i="73"/>
  <c r="D99" i="73"/>
  <c r="E99" i="73" s="1"/>
  <c r="F99" i="73" s="1"/>
  <c r="G99" i="73" s="1"/>
  <c r="E97" i="73"/>
  <c r="F97" i="73" s="1"/>
  <c r="G97" i="73" s="1"/>
  <c r="D97" i="73"/>
  <c r="D95" i="73"/>
  <c r="E95" i="73" s="1"/>
  <c r="F95" i="73" s="1"/>
  <c r="G95" i="73" s="1"/>
  <c r="D93" i="73"/>
  <c r="E93" i="73" s="1"/>
  <c r="D91" i="73"/>
  <c r="E91" i="73" s="1"/>
  <c r="B88" i="73"/>
  <c r="J16" i="73" s="1"/>
  <c r="AC16" i="73" s="1"/>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H60" i="73"/>
  <c r="I60" i="73" s="1"/>
  <c r="C60" i="73" s="1"/>
  <c r="I59" i="73"/>
  <c r="C59" i="73" s="1"/>
  <c r="H59" i="73"/>
  <c r="E58" i="73"/>
  <c r="E68" i="73" s="1"/>
  <c r="J57" i="73"/>
  <c r="I55" i="73"/>
  <c r="J55" i="73" s="1"/>
  <c r="P50" i="73"/>
  <c r="P49" i="73"/>
  <c r="V48" i="73"/>
  <c r="T48" i="73"/>
  <c r="R48" i="73"/>
  <c r="P48" i="73"/>
  <c r="Q47" i="73"/>
  <c r="Z47" i="73" s="1"/>
  <c r="H47" i="73"/>
  <c r="AB47" i="73" s="1"/>
  <c r="Q46" i="73"/>
  <c r="Z46" i="73" s="1"/>
  <c r="J46" i="73"/>
  <c r="AC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J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Q34" i="73"/>
  <c r="Z34" i="73" s="1"/>
  <c r="J34" i="73"/>
  <c r="AC34" i="73" s="1"/>
  <c r="H34" i="73"/>
  <c r="AB34" i="73" s="1"/>
  <c r="F34" i="73"/>
  <c r="AA34" i="73" s="1"/>
  <c r="Q33" i="73"/>
  <c r="Z33" i="73" s="1"/>
  <c r="J33" i="73"/>
  <c r="AC33" i="73" s="1"/>
  <c r="H33" i="73"/>
  <c r="AB33" i="73" s="1"/>
  <c r="F33" i="73"/>
  <c r="AA33" i="73" s="1"/>
  <c r="Q31" i="73"/>
  <c r="Z31" i="73" s="1"/>
  <c r="C31" i="73"/>
  <c r="Q29" i="73"/>
  <c r="Z29" i="73" s="1"/>
  <c r="J29" i="73"/>
  <c r="AC29" i="73" s="1"/>
  <c r="H29" i="73"/>
  <c r="AB29" i="73" s="1"/>
  <c r="F29" i="73"/>
  <c r="AA29" i="73" s="1"/>
  <c r="C29" i="73"/>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C19" i="73"/>
  <c r="Q17" i="73"/>
  <c r="Z17" i="73" s="1"/>
  <c r="C17" i="73"/>
  <c r="Q16" i="73"/>
  <c r="Z16" i="73" s="1"/>
  <c r="H16" i="73"/>
  <c r="AB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U10" i="73"/>
  <c r="J10" i="73"/>
  <c r="W10" i="73" s="1"/>
  <c r="H10" i="73"/>
  <c r="AB10" i="73" s="1"/>
  <c r="F10" i="73"/>
  <c r="S10" i="73" s="1"/>
  <c r="C9" i="73"/>
  <c r="C70" i="73" s="1"/>
  <c r="O3" i="72"/>
  <c r="O4" i="72"/>
  <c r="O5" i="72"/>
  <c r="O6" i="72"/>
  <c r="O7" i="72"/>
  <c r="O8" i="72"/>
  <c r="O9" i="72"/>
  <c r="O10" i="72"/>
  <c r="O11" i="72"/>
  <c r="O12" i="72"/>
  <c r="O13" i="72"/>
  <c r="O14" i="72"/>
  <c r="O15" i="72"/>
  <c r="O16" i="72"/>
  <c r="O17" i="72"/>
  <c r="O18" i="72"/>
  <c r="O2" i="72"/>
  <c r="K14" i="3"/>
  <c r="I13" i="3"/>
  <c r="F105" i="73" l="1"/>
  <c r="G105" i="73" s="1"/>
  <c r="H31" i="73"/>
  <c r="AB31" i="73" s="1"/>
  <c r="F31" i="73"/>
  <c r="AA31" i="73" s="1"/>
  <c r="J31" i="73"/>
  <c r="AC31" i="73" s="1"/>
  <c r="F45" i="73"/>
  <c r="AA45" i="73" s="1"/>
  <c r="F47" i="73"/>
  <c r="AA47" i="73" s="1"/>
  <c r="F16" i="73"/>
  <c r="AA16" i="73" s="1"/>
  <c r="F93" i="73"/>
  <c r="G93" i="73" s="1"/>
  <c r="F19" i="73"/>
  <c r="AA19" i="73" s="1"/>
  <c r="J19" i="73"/>
  <c r="AC19" i="73" s="1"/>
  <c r="H19" i="73"/>
  <c r="AB19" i="73" s="1"/>
  <c r="F91" i="73"/>
  <c r="H17" i="73"/>
  <c r="AB17" i="73" s="1"/>
  <c r="J17" i="73"/>
  <c r="AC17" i="73" s="1"/>
  <c r="E55" i="73"/>
  <c r="F55" i="73" s="1"/>
  <c r="AA10" i="73"/>
  <c r="AC10" i="73"/>
  <c r="U15" i="73"/>
  <c r="S16" i="73"/>
  <c r="W16" i="73"/>
  <c r="S21" i="73"/>
  <c r="W21" i="73"/>
  <c r="S23" i="73"/>
  <c r="W23" i="73"/>
  <c r="S25" i="73"/>
  <c r="W25" i="73"/>
  <c r="S33" i="73"/>
  <c r="U34" i="73"/>
  <c r="U11" i="73"/>
  <c r="S12" i="73"/>
  <c r="W12" i="73"/>
  <c r="U13" i="73"/>
  <c r="S14" i="73"/>
  <c r="W14" i="73"/>
  <c r="S19" i="73"/>
  <c r="D70" i="73"/>
  <c r="C72" i="73"/>
  <c r="S11" i="73"/>
  <c r="W11" i="73"/>
  <c r="U12" i="73"/>
  <c r="S13" i="73"/>
  <c r="W13" i="73"/>
  <c r="U14" i="73"/>
  <c r="S15" i="73"/>
  <c r="W15" i="73"/>
  <c r="U16" i="73"/>
  <c r="U21" i="73"/>
  <c r="U23" i="73"/>
  <c r="U25" i="73"/>
  <c r="U27" i="73"/>
  <c r="U29" i="73"/>
  <c r="W33" i="73"/>
  <c r="AA36" i="73"/>
  <c r="S36" i="73"/>
  <c r="AC40" i="73"/>
  <c r="W40" i="73"/>
  <c r="S27" i="73"/>
  <c r="W27" i="73"/>
  <c r="S29" i="73"/>
  <c r="W29" i="73"/>
  <c r="U33" i="73"/>
  <c r="S34" i="73"/>
  <c r="W34" i="73"/>
  <c r="U36" i="73"/>
  <c r="S37" i="73"/>
  <c r="W37" i="73"/>
  <c r="U38" i="73"/>
  <c r="S39" i="73"/>
  <c r="W39" i="73"/>
  <c r="S41" i="73"/>
  <c r="W41" i="73"/>
  <c r="U42" i="73"/>
  <c r="S43" i="73"/>
  <c r="W43" i="73"/>
  <c r="U44" i="73"/>
  <c r="S45" i="73"/>
  <c r="W45" i="73"/>
  <c r="U46" i="73"/>
  <c r="S47" i="73"/>
  <c r="W47" i="73"/>
  <c r="W36" i="73"/>
  <c r="U37" i="73"/>
  <c r="S38" i="73"/>
  <c r="W38" i="73"/>
  <c r="U39" i="73"/>
  <c r="F40" i="73"/>
  <c r="H40" i="73"/>
  <c r="U41" i="73"/>
  <c r="S42" i="73"/>
  <c r="W42" i="73"/>
  <c r="U43" i="73"/>
  <c r="S44" i="73"/>
  <c r="W44" i="73"/>
  <c r="U45" i="73"/>
  <c r="S46" i="73"/>
  <c r="W46" i="73"/>
  <c r="U47" i="73"/>
  <c r="U31" i="73" l="1"/>
  <c r="W31" i="73"/>
  <c r="S31" i="73"/>
  <c r="U17" i="73"/>
  <c r="U19" i="73"/>
  <c r="W19" i="73"/>
  <c r="W17" i="73"/>
  <c r="G91" i="73"/>
  <c r="F17" i="73"/>
  <c r="AB40" i="73"/>
  <c r="U40" i="73"/>
  <c r="D72" i="73"/>
  <c r="E70" i="73"/>
  <c r="AA40" i="73"/>
  <c r="S40" i="73"/>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s="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s="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s="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15" i="21"/>
  <c r="AB15" i="21"/>
  <c r="H17" i="21"/>
  <c r="AB17" i="21"/>
  <c r="H19" i="21"/>
  <c r="AB19" i="21"/>
  <c r="H21" i="21"/>
  <c r="AB21" i="21" s="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s="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15" i="21"/>
  <c r="AC15" i="21"/>
  <c r="J17" i="21"/>
  <c r="AC17" i="21"/>
  <c r="J19" i="21"/>
  <c r="AC19" i="21"/>
  <c r="J21" i="21"/>
  <c r="AC21" i="21" s="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s="1"/>
  <c r="J40" i="21"/>
  <c r="AC40" i="21"/>
  <c r="J41" i="21"/>
  <c r="AC41" i="21"/>
  <c r="J42" i="21"/>
  <c r="AC42" i="21"/>
  <c r="J43" i="21"/>
  <c r="AC43" i="21"/>
  <c r="J44" i="21"/>
  <c r="AC44" i="21"/>
  <c r="J45" i="21"/>
  <c r="AC45" i="21"/>
  <c r="J46" i="21"/>
  <c r="AC46" i="21"/>
  <c r="F19" i="6"/>
  <c r="E19" i="6" s="1"/>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I9" i="39"/>
  <c r="G9" i="39"/>
  <c r="E9" i="39"/>
  <c r="I7" i="39"/>
  <c r="G7" i="39"/>
  <c r="E7" i="39"/>
  <c r="A6" i="1"/>
  <c r="A7" i="1"/>
  <c r="G1" i="15"/>
  <c r="F20" i="6"/>
  <c r="E20" i="6"/>
  <c r="K7" i="1" s="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s="1"/>
  <c r="D3" i="6" s="1"/>
  <c r="BQ5" i="3"/>
  <c r="BS5" i="3"/>
  <c r="F28" i="6"/>
  <c r="BR5" i="3"/>
  <c r="BT5" i="3"/>
  <c r="G28" i="6"/>
  <c r="E28" i="6"/>
  <c r="E21" i="6"/>
  <c r="E22" i="6"/>
  <c r="E23" i="6"/>
  <c r="E24" i="6"/>
  <c r="E25" i="6"/>
  <c r="E26" i="6"/>
  <c r="BA5" i="3"/>
  <c r="E27" i="6" s="1"/>
  <c r="K20" i="6" s="1"/>
  <c r="M20" i="6" s="1"/>
  <c r="L20" i="6"/>
  <c r="I20" i="6"/>
  <c r="B52" i="1"/>
  <c r="F34" i="15"/>
  <c r="T4" i="1"/>
  <c r="K14" i="1"/>
  <c r="M14" i="1" s="1"/>
  <c r="S7" i="1"/>
  <c r="A8" i="1"/>
  <c r="S8" i="1"/>
  <c r="A9" i="1"/>
  <c r="S9" i="1"/>
  <c r="A10" i="1"/>
  <c r="S10" i="1"/>
  <c r="A11" i="1"/>
  <c r="S11" i="1"/>
  <c r="A12" i="1"/>
  <c r="S12" i="1"/>
  <c r="A13" i="1"/>
  <c r="S13" i="1"/>
  <c r="F15" i="15"/>
  <c r="F17" i="15"/>
  <c r="F18" i="15"/>
  <c r="F20" i="15"/>
  <c r="H1" i="65"/>
  <c r="B22" i="1"/>
  <c r="C2" i="65" s="1"/>
  <c r="F23" i="15"/>
  <c r="F21" i="15"/>
  <c r="F28" i="15"/>
  <c r="C28" i="15"/>
  <c r="E19" i="4"/>
  <c r="F7" i="1"/>
  <c r="J50" i="15"/>
  <c r="J51" i="15"/>
  <c r="M47" i="15"/>
  <c r="L46" i="15"/>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A11" i="55" s="1"/>
  <c r="B62" i="63" s="1"/>
  <c r="L24" i="4"/>
  <c r="L25" i="4"/>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G83"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K8" i="1"/>
  <c r="M8" i="1"/>
  <c r="O8" i="1" s="1"/>
  <c r="D38" i="4"/>
  <c r="C39" i="4" s="1"/>
  <c r="C35" i="4"/>
  <c r="E16" i="12"/>
  <c r="F14" i="12"/>
  <c r="F15" i="12"/>
  <c r="F17" i="12"/>
  <c r="E19" i="12"/>
  <c r="E21" i="12"/>
  <c r="E22" i="12"/>
  <c r="F23" i="12"/>
  <c r="F24" i="12"/>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29" i="39"/>
  <c r="AA29"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J23" i="39" s="1"/>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J37" i="34"/>
  <c r="AC37" i="34"/>
  <c r="J36" i="33"/>
  <c r="W36" i="33"/>
  <c r="S41" i="40"/>
  <c r="AB23" i="40"/>
  <c r="U27" i="39"/>
  <c r="H23" i="39"/>
  <c r="AB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AC21" i="39"/>
  <c r="AB15" i="39"/>
  <c r="U11" i="39"/>
  <c r="U41" i="39"/>
  <c r="AB38" i="39"/>
  <c r="S38" i="39"/>
  <c r="S22" i="31"/>
  <c r="D18" i="9"/>
  <c r="M44" i="9"/>
  <c r="M43" i="9"/>
  <c r="B22" i="63"/>
  <c r="M20" i="15"/>
  <c r="D96" i="9"/>
  <c r="M18" i="15"/>
  <c r="A18" i="64"/>
  <c r="B74" i="63"/>
  <c r="C53" i="10"/>
  <c r="A25" i="64"/>
  <c r="A18" i="51"/>
  <c r="B14" i="63"/>
  <c r="F3" i="35"/>
  <c r="K1" i="43"/>
  <c r="K1" i="12"/>
  <c r="G1" i="44"/>
  <c r="I4" i="6"/>
  <c r="G3" i="46"/>
  <c r="BK5" i="3"/>
  <c r="BO5" i="3"/>
  <c r="BP5" i="3"/>
  <c r="BN5" i="3"/>
  <c r="BC5" i="3"/>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R11" i="1"/>
  <c r="R13" i="1"/>
  <c r="B6" i="1"/>
  <c r="E6" i="1"/>
  <c r="B10" i="1"/>
  <c r="E10" i="1"/>
  <c r="B8" i="1"/>
  <c r="E8" i="1"/>
  <c r="B12" i="1"/>
  <c r="E12" i="1"/>
  <c r="K6" i="1"/>
  <c r="M6" i="1" s="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W29" i="21"/>
  <c r="G96" i="40"/>
  <c r="J27" i="40"/>
  <c r="W37" i="40"/>
  <c r="S17" i="40"/>
  <c r="W30" i="40"/>
  <c r="S34" i="40"/>
  <c r="U17" i="40"/>
  <c r="U38" i="40"/>
  <c r="S40" i="40"/>
  <c r="S42" i="40"/>
  <c r="J31" i="39"/>
  <c r="AC31" i="39" s="1"/>
  <c r="S45" i="39"/>
  <c r="W41" i="39"/>
  <c r="AB33" i="39"/>
  <c r="AC46" i="39"/>
  <c r="S34" i="39"/>
  <c r="W42" i="39"/>
  <c r="W36"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9" i="64"/>
  <c r="A9" i="51"/>
  <c r="B9" i="63"/>
  <c r="A3" i="55"/>
  <c r="B56" i="63"/>
  <c r="E4" i="4"/>
  <c r="C4" i="4"/>
  <c r="G66" i="36"/>
  <c r="J18" i="36"/>
  <c r="AE8" i="1"/>
  <c r="AE6" i="1"/>
  <c r="W18" i="36"/>
  <c r="AC18" i="36"/>
  <c r="AG6" i="1"/>
  <c r="L19" i="6"/>
  <c r="L27" i="6" s="1"/>
  <c r="B21" i="55"/>
  <c r="B72" i="63" s="1"/>
  <c r="B20" i="55"/>
  <c r="B70" i="63" s="1"/>
  <c r="C45" i="9"/>
  <c r="H14" i="66"/>
  <c r="B7" i="66" s="1"/>
  <c r="R9"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73" s="1"/>
  <c r="B73" i="39"/>
  <c r="G6" i="1"/>
  <c r="G13" i="1"/>
  <c r="E11" i="6"/>
  <c r="E63" i="39" s="1"/>
  <c r="E12" i="6"/>
  <c r="E64" i="39" s="1"/>
  <c r="E13" i="6"/>
  <c r="E65" i="39" s="1"/>
  <c r="E14" i="6"/>
  <c r="E66" i="39" s="1"/>
  <c r="E15" i="6"/>
  <c r="E67" i="39" s="1"/>
  <c r="O9" i="1"/>
  <c r="P9" i="1" s="1"/>
  <c r="O11" i="1"/>
  <c r="O12" i="1"/>
  <c r="P12" i="1" s="1"/>
  <c r="O13" i="1"/>
  <c r="P13" i="1" s="1"/>
  <c r="O14" i="1"/>
  <c r="P14" i="1" s="1"/>
  <c r="C25" i="12"/>
  <c r="O40" i="9"/>
  <c r="R7" i="54" s="1"/>
  <c r="B52" i="63" s="1"/>
  <c r="K31" i="9"/>
  <c r="K32" i="9"/>
  <c r="N76" i="9"/>
  <c r="A25" i="51"/>
  <c r="B18" i="63"/>
  <c r="D58" i="33"/>
  <c r="C67"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H51" i="46"/>
  <c r="X7" i="46"/>
  <c r="E17" i="46"/>
  <c r="N17" i="46"/>
  <c r="O17" i="46"/>
  <c r="M17" i="46"/>
  <c r="L17" i="46"/>
  <c r="H22" i="46"/>
  <c r="Y11" i="46"/>
  <c r="Y13" i="46"/>
  <c r="H101" i="46"/>
  <c r="H102" i="46"/>
  <c r="G22" i="46"/>
  <c r="J22" i="46"/>
  <c r="F101" i="46"/>
  <c r="F106" i="46"/>
  <c r="D101" i="46"/>
  <c r="D106" i="46"/>
  <c r="E10" i="6"/>
  <c r="AP7" i="1"/>
  <c r="E52" i="37"/>
  <c r="F52" i="37" s="1"/>
  <c r="G52" i="37" s="1"/>
  <c r="H52" i="37" s="1"/>
  <c r="I52" i="37" s="1"/>
  <c r="D46" i="36"/>
  <c r="E48" i="35"/>
  <c r="F48" i="35" s="1"/>
  <c r="D59" i="34"/>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8" i="59"/>
  <c r="C7" i="59"/>
  <c r="T7" i="59"/>
  <c r="P21" i="46"/>
  <c r="B8" i="59"/>
  <c r="B7" i="59"/>
  <c r="S7" i="59"/>
  <c r="D8" i="59"/>
  <c r="P22" i="46"/>
  <c r="P23" i="46"/>
  <c r="P24" i="46"/>
  <c r="B68" i="40"/>
  <c r="E65" i="40"/>
  <c r="E67" i="40" s="1"/>
  <c r="F6" i="59"/>
  <c r="F5" i="59"/>
  <c r="V7" i="59"/>
  <c r="B6" i="59"/>
  <c r="B5" i="59"/>
  <c r="D7" i="59"/>
  <c r="C6" i="59"/>
  <c r="D107" i="46"/>
  <c r="M106" i="46"/>
  <c r="M104" i="46"/>
  <c r="M102" i="46"/>
  <c r="H107" i="46"/>
  <c r="M105" i="46"/>
  <c r="H105" i="46"/>
  <c r="H109" i="46"/>
  <c r="D103" i="46"/>
  <c r="D102" i="46"/>
  <c r="H104" i="46"/>
  <c r="H106"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1" i="40"/>
  <c r="E58" i="40"/>
  <c r="E59" i="40"/>
  <c r="E62" i="40"/>
  <c r="S20" i="6"/>
  <c r="K26" i="6"/>
  <c r="M26" i="6" s="1"/>
  <c r="I26" i="6" s="1"/>
  <c r="K24" i="6"/>
  <c r="M24" i="6" s="1"/>
  <c r="I24" i="6" s="1"/>
  <c r="K22" i="6"/>
  <c r="M22" i="6" s="1"/>
  <c r="I22" i="6" s="1"/>
  <c r="S22" i="6" s="1"/>
  <c r="E30" i="6"/>
  <c r="E31" i="6"/>
  <c r="K23" i="6"/>
  <c r="M23" i="6" s="1"/>
  <c r="I23" i="6" s="1"/>
  <c r="K25" i="6"/>
  <c r="M25" i="6" s="1"/>
  <c r="I25" i="6" s="1"/>
  <c r="S25" i="6" s="1"/>
  <c r="K21" i="6"/>
  <c r="M21" i="6" s="1"/>
  <c r="I21" i="6" s="1"/>
  <c r="E46" i="36"/>
  <c r="E59" i="34"/>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D6" i="59"/>
  <c r="C5" i="59"/>
  <c r="D5" i="59"/>
  <c r="G20" i="46"/>
  <c r="E41" i="46"/>
  <c r="C41" i="46" s="1"/>
  <c r="S5" i="46"/>
  <c r="S2" i="46"/>
  <c r="S3" i="46"/>
  <c r="S7" i="46"/>
  <c r="S6" i="46"/>
  <c r="S4" i="46"/>
  <c r="E63" i="40"/>
  <c r="C22" i="4"/>
  <c r="N5" i="54" s="1"/>
  <c r="B43" i="63" s="1"/>
  <c r="E45" i="9"/>
  <c r="F45" i="9"/>
  <c r="K38" i="9"/>
  <c r="C14" i="66" s="1"/>
  <c r="B2" i="66" s="1"/>
  <c r="G48" i="35"/>
  <c r="H48" i="35" s="1"/>
  <c r="C115" i="46"/>
  <c r="C20" i="46"/>
  <c r="M20" i="46"/>
  <c r="C19" i="46"/>
  <c r="J52" i="37"/>
  <c r="K52" i="37"/>
  <c r="L52" i="37" s="1"/>
  <c r="F38" i="15"/>
  <c r="M24" i="15"/>
  <c r="L49" i="44"/>
  <c r="J6" i="65"/>
  <c r="I7" i="65"/>
  <c r="F6" i="15"/>
  <c r="M10" i="44"/>
  <c r="F39" i="44"/>
  <c r="J17" i="44"/>
  <c r="F8" i="67"/>
  <c r="B11" i="67"/>
  <c r="F8" i="44"/>
  <c r="E12" i="67"/>
  <c r="F10" i="44"/>
  <c r="F40" i="44"/>
  <c r="B9" i="67"/>
  <c r="F9" i="44"/>
  <c r="M23" i="44"/>
  <c r="B10" i="67"/>
  <c r="F10" i="67"/>
  <c r="M6" i="15"/>
  <c r="F12" i="67"/>
  <c r="M29" i="15"/>
  <c r="F18" i="44"/>
  <c r="B14" i="67"/>
  <c r="I6" i="65"/>
  <c r="L47" i="15"/>
  <c r="L48" i="15"/>
  <c r="F37" i="44"/>
  <c r="J15" i="15"/>
  <c r="M29" i="44"/>
  <c r="M28" i="15"/>
  <c r="F38" i="44"/>
  <c r="E8" i="67"/>
  <c r="F42" i="15"/>
  <c r="C19" i="44"/>
  <c r="F16" i="15"/>
  <c r="F43" i="15"/>
  <c r="F11" i="67"/>
  <c r="F28" i="44"/>
  <c r="F9" i="67"/>
  <c r="E11" i="67"/>
  <c r="F37" i="15"/>
  <c r="E13" i="67"/>
  <c r="E14" i="67"/>
  <c r="N4" i="65"/>
  <c r="F43" i="44"/>
  <c r="F13" i="15"/>
  <c r="E9" i="67"/>
  <c r="J4" i="65"/>
  <c r="N3" i="65"/>
  <c r="F14" i="67"/>
  <c r="L48" i="44"/>
  <c r="F9" i="15"/>
  <c r="M24" i="44"/>
  <c r="F11" i="44"/>
  <c r="M23" i="15"/>
  <c r="F46" i="44"/>
  <c r="M8" i="44"/>
  <c r="M22" i="15"/>
  <c r="M31" i="44"/>
  <c r="M11" i="44"/>
  <c r="F40" i="15"/>
  <c r="I5" i="65"/>
  <c r="F45" i="44"/>
  <c r="M30" i="44"/>
  <c r="F26" i="15"/>
  <c r="F15" i="44"/>
  <c r="J3" i="65"/>
  <c r="E10" i="67"/>
  <c r="F36" i="15"/>
  <c r="J5" i="65"/>
  <c r="I3" i="65"/>
  <c r="M9" i="15"/>
  <c r="M27" i="15"/>
  <c r="M26" i="44"/>
  <c r="I4" i="65"/>
  <c r="J36" i="15"/>
  <c r="F13" i="67"/>
  <c r="N7" i="65"/>
  <c r="N6" i="65"/>
  <c r="J7" i="65"/>
  <c r="B8" i="67"/>
  <c r="M25" i="44"/>
  <c r="M8" i="15"/>
  <c r="F7" i="15"/>
  <c r="F8" i="15"/>
  <c r="M26" i="15"/>
  <c r="B12" i="67"/>
  <c r="M28" i="44"/>
  <c r="N5" i="65"/>
  <c r="B13" i="67"/>
  <c r="S39" i="21" l="1"/>
  <c r="W39" i="21"/>
  <c r="U39" i="21"/>
  <c r="AB43" i="39"/>
  <c r="S29" i="39"/>
  <c r="B7" i="52"/>
  <c r="W31" i="39"/>
  <c r="S25" i="39"/>
  <c r="AB21" i="39"/>
  <c r="W23" i="39"/>
  <c r="AC23" i="39"/>
  <c r="F91" i="39"/>
  <c r="G91" i="39" s="1"/>
  <c r="J17" i="39"/>
  <c r="H17" i="39"/>
  <c r="AA21" i="39"/>
  <c r="F17" i="39"/>
  <c r="B13" i="52"/>
  <c r="U23" i="39"/>
  <c r="E13" i="52"/>
  <c r="B22" i="52"/>
  <c r="S31" i="39"/>
  <c r="M52" i="37"/>
  <c r="N52" i="37" s="1"/>
  <c r="O52" i="37" s="1"/>
  <c r="F7" i="37"/>
  <c r="H7" i="37"/>
  <c r="F7" i="35"/>
  <c r="I48" i="35"/>
  <c r="J48" i="35" s="1"/>
  <c r="K48" i="35" s="1"/>
  <c r="L48" i="35" s="1"/>
  <c r="M48" i="35" s="1"/>
  <c r="N48" i="35" s="1"/>
  <c r="O48" i="35" s="1"/>
  <c r="J7" i="37"/>
  <c r="H7" i="35"/>
  <c r="J7" i="35"/>
  <c r="F65" i="40"/>
  <c r="E58" i="33"/>
  <c r="D58" i="21"/>
  <c r="E58" i="21" s="1"/>
  <c r="F58" i="21" s="1"/>
  <c r="G58" i="21" s="1"/>
  <c r="H58" i="21" s="1"/>
  <c r="I58" i="21" s="1"/>
  <c r="J58" i="21" s="1"/>
  <c r="K58" i="21" s="1"/>
  <c r="L58" i="21" s="1"/>
  <c r="M58" i="21" s="1"/>
  <c r="N58" i="21" s="1"/>
  <c r="O58" i="21" s="1"/>
  <c r="H7" i="21"/>
  <c r="F59" i="34"/>
  <c r="F46" i="36"/>
  <c r="F9" i="39"/>
  <c r="H9" i="39"/>
  <c r="J9" i="39"/>
  <c r="C92" i="9"/>
  <c r="H31" i="39"/>
  <c r="AB29" i="39"/>
  <c r="F83" i="39"/>
  <c r="G83" i="39" s="1"/>
  <c r="H83" i="39" s="1"/>
  <c r="I83" i="39" s="1"/>
  <c r="J83" i="39" s="1"/>
  <c r="K83" i="39" s="1"/>
  <c r="L83" i="39" s="1"/>
  <c r="M83" i="39" s="1"/>
  <c r="H13" i="39"/>
  <c r="J13" i="39"/>
  <c r="F13" i="39"/>
  <c r="W16" i="39"/>
  <c r="S14" i="39"/>
  <c r="S16" i="39"/>
  <c r="W15" i="39"/>
  <c r="W14" i="39"/>
  <c r="AB44" i="39"/>
  <c r="B5" i="52"/>
  <c r="E9" i="52"/>
  <c r="B6" i="52"/>
  <c r="E14" i="52"/>
  <c r="F19" i="39"/>
  <c r="H19" i="39"/>
  <c r="F93" i="39"/>
  <c r="G93" i="39" s="1"/>
  <c r="J19" i="39"/>
  <c r="AA17" i="73"/>
  <c r="S17" i="73"/>
  <c r="E21" i="52"/>
  <c r="B16" i="52"/>
  <c r="E8" i="52"/>
  <c r="E11" i="52"/>
  <c r="B11" i="52"/>
  <c r="E6" i="52"/>
  <c r="E10" i="52"/>
  <c r="B8" i="52"/>
  <c r="B9" i="52"/>
  <c r="E16" i="52"/>
  <c r="B14" i="52"/>
  <c r="E15" i="52"/>
  <c r="E17" i="52"/>
  <c r="B4" i="52"/>
  <c r="B10" i="52"/>
  <c r="E22" i="52"/>
  <c r="E5" i="52"/>
  <c r="E4" i="52"/>
  <c r="E7" i="52"/>
  <c r="D7" i="66"/>
  <c r="C5" i="46"/>
  <c r="C29" i="46" s="1"/>
  <c r="D5" i="46"/>
  <c r="F70" i="73"/>
  <c r="E72" i="73"/>
  <c r="M7" i="1"/>
  <c r="Q16" i="1"/>
  <c r="AP16" i="1"/>
  <c r="F22" i="11" s="1"/>
  <c r="K16" i="1"/>
  <c r="H16" i="1"/>
  <c r="H6" i="3"/>
  <c r="E6" i="3" s="1"/>
  <c r="P11" i="1"/>
  <c r="E8" i="6"/>
  <c r="P8" i="1"/>
  <c r="D113" i="46"/>
  <c r="S26" i="6"/>
  <c r="S21" i="6"/>
  <c r="S23" i="6"/>
  <c r="S24" i="6"/>
  <c r="G16" i="1"/>
  <c r="D12" i="11"/>
  <c r="C12" i="11" s="1"/>
  <c r="P6" i="1"/>
  <c r="P10" i="1"/>
  <c r="D3" i="21"/>
  <c r="K19" i="6"/>
  <c r="C9" i="12"/>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58" i="39"/>
  <c r="E68" i="39" s="1"/>
  <c r="F27" i="6"/>
  <c r="F31" i="6" s="1"/>
  <c r="E3" i="6"/>
  <c r="H20" i="6" s="1"/>
  <c r="E20" i="46"/>
  <c r="J1" i="65"/>
  <c r="C8" i="44"/>
  <c r="J22" i="44"/>
  <c r="C36" i="44"/>
  <c r="Q73" i="44"/>
  <c r="Q72" i="15"/>
  <c r="M9" i="44"/>
  <c r="J8" i="44" s="1"/>
  <c r="J54" i="44"/>
  <c r="J58" i="44"/>
  <c r="J56" i="44" s="1"/>
  <c r="J59" i="44" s="1"/>
  <c r="Q52" i="44" s="1"/>
  <c r="L57" i="44"/>
  <c r="J60" i="44"/>
  <c r="I55" i="44"/>
  <c r="J61" i="44"/>
  <c r="Q50" i="44" s="1"/>
  <c r="L59" i="15"/>
  <c r="L58" i="15"/>
  <c r="L60" i="44"/>
  <c r="L59" i="44"/>
  <c r="F67" i="15"/>
  <c r="I1" i="65"/>
  <c r="F70" i="15"/>
  <c r="M7" i="15"/>
  <c r="F49" i="15"/>
  <c r="F50" i="15"/>
  <c r="C29" i="44"/>
  <c r="J53" i="15"/>
  <c r="J57" i="15"/>
  <c r="J55" i="15" s="1"/>
  <c r="J58" i="15" s="1"/>
  <c r="Q51" i="15" s="1"/>
  <c r="L56" i="15"/>
  <c r="I54" i="15"/>
  <c r="L57" i="15"/>
  <c r="L60" i="15"/>
  <c r="F65" i="15"/>
  <c r="F64" i="15"/>
  <c r="F63" i="15"/>
  <c r="C27" i="15"/>
  <c r="C4" i="65"/>
  <c r="B39" i="1" s="1"/>
  <c r="C6" i="15"/>
  <c r="F58" i="15"/>
  <c r="F31" i="15"/>
  <c r="M19" i="44"/>
  <c r="F33" i="44"/>
  <c r="C18" i="44"/>
  <c r="C17" i="15"/>
  <c r="C16" i="15"/>
  <c r="E2" i="65"/>
  <c r="E3" i="65"/>
  <c r="M17" i="15"/>
  <c r="S17" i="39" l="1"/>
  <c r="AA17" i="39"/>
  <c r="AC17" i="39"/>
  <c r="W17" i="39"/>
  <c r="U17" i="39"/>
  <c r="AB17" i="39"/>
  <c r="AC9" i="39"/>
  <c r="W9" i="39"/>
  <c r="AA9" i="39"/>
  <c r="S9" i="39"/>
  <c r="G46" i="36"/>
  <c r="J7" i="21"/>
  <c r="F7" i="21"/>
  <c r="F67" i="40"/>
  <c r="G65" i="40"/>
  <c r="U7" i="35"/>
  <c r="AB7" i="35"/>
  <c r="T38" i="35" s="1"/>
  <c r="G38" i="35" s="1"/>
  <c r="AB7" i="37"/>
  <c r="T42" i="37" s="1"/>
  <c r="G42" i="37" s="1"/>
  <c r="U7" i="37"/>
  <c r="AB9" i="39"/>
  <c r="U9" i="39"/>
  <c r="G59" i="34"/>
  <c r="AB7" i="21"/>
  <c r="U7" i="21"/>
  <c r="F58" i="33"/>
  <c r="G58" i="33" s="1"/>
  <c r="H58" i="33" s="1"/>
  <c r="I58" i="33" s="1"/>
  <c r="J58" i="33" s="1"/>
  <c r="K58" i="33" s="1"/>
  <c r="L58" i="33" s="1"/>
  <c r="M58" i="33" s="1"/>
  <c r="N58" i="33" s="1"/>
  <c r="O58" i="33" s="1"/>
  <c r="J7" i="33"/>
  <c r="H7" i="33"/>
  <c r="W7" i="35"/>
  <c r="AC7" i="35"/>
  <c r="V38" i="35" s="1"/>
  <c r="I38" i="35" s="1"/>
  <c r="W7" i="37"/>
  <c r="AC7" i="37"/>
  <c r="V42" i="37" s="1"/>
  <c r="I42" i="37" s="1"/>
  <c r="AA7" i="35"/>
  <c r="R38" i="35" s="1"/>
  <c r="S7" i="35"/>
  <c r="AA7" i="37"/>
  <c r="R42" i="37" s="1"/>
  <c r="S7" i="37"/>
  <c r="AB31" i="39"/>
  <c r="U31" i="39"/>
  <c r="S13" i="39"/>
  <c r="AA13" i="39"/>
  <c r="AB13" i="39"/>
  <c r="U13" i="39"/>
  <c r="W13" i="39"/>
  <c r="AC13" i="39"/>
  <c r="W19" i="39"/>
  <c r="AC19" i="39"/>
  <c r="U19" i="39"/>
  <c r="AB19" i="39"/>
  <c r="S19" i="39"/>
  <c r="AA19" i="39"/>
  <c r="C30" i="46"/>
  <c r="E30" i="46" s="1"/>
  <c r="E29" i="46"/>
  <c r="T5" i="46"/>
  <c r="V5" i="46" s="1"/>
  <c r="T3" i="46"/>
  <c r="V3" i="46" s="1"/>
  <c r="F72" i="73"/>
  <c r="G70" i="73"/>
  <c r="C34" i="46"/>
  <c r="C38" i="46"/>
  <c r="C36" i="46"/>
  <c r="C37" i="46"/>
  <c r="C33" i="46"/>
  <c r="C35" i="46"/>
  <c r="C39" i="46"/>
  <c r="T6" i="46"/>
  <c r="V6" i="46" s="1"/>
  <c r="T7" i="46"/>
  <c r="V7" i="46" s="1"/>
  <c r="T10" i="46"/>
  <c r="V10" i="46" s="1"/>
  <c r="T13" i="46"/>
  <c r="V13" i="46" s="1"/>
  <c r="T14" i="46"/>
  <c r="V14" i="46" s="1"/>
  <c r="T11" i="46"/>
  <c r="V11" i="46" s="1"/>
  <c r="T8" i="46"/>
  <c r="V8" i="46" s="1"/>
  <c r="T15" i="46"/>
  <c r="V15" i="46" s="1"/>
  <c r="T9" i="46"/>
  <c r="V9" i="46" s="1"/>
  <c r="T2" i="46"/>
  <c r="V2" i="46" s="1"/>
  <c r="T12" i="46"/>
  <c r="V12" i="46" s="1"/>
  <c r="T16" i="46"/>
  <c r="V16" i="46" s="1"/>
  <c r="T4" i="46"/>
  <c r="V4" i="46" s="1"/>
  <c r="E53" i="40"/>
  <c r="E16" i="6"/>
  <c r="F33" i="12"/>
  <c r="C34" i="12" s="1"/>
  <c r="D33" i="12" s="1"/>
  <c r="F18" i="11"/>
  <c r="C18" i="11" s="1"/>
  <c r="F24" i="43"/>
  <c r="C26" i="43" s="1"/>
  <c r="D24" i="43" s="1"/>
  <c r="O7" i="1"/>
  <c r="M16" i="1"/>
  <c r="N16" i="1" s="1"/>
  <c r="C29" i="43" s="1"/>
  <c r="D16" i="12"/>
  <c r="D45" i="9"/>
  <c r="C21" i="4"/>
  <c r="D21" i="6"/>
  <c r="D10" i="6"/>
  <c r="D14" i="6"/>
  <c r="D8" i="6"/>
  <c r="D16" i="43"/>
  <c r="C16" i="43" s="1"/>
  <c r="E6" i="6"/>
  <c r="L38" i="9"/>
  <c r="B14" i="66" s="1"/>
  <c r="B1" i="66" s="1"/>
  <c r="C7" i="66" s="1"/>
  <c r="D19" i="6"/>
  <c r="D10" i="11"/>
  <c r="D25" i="6"/>
  <c r="D13" i="6"/>
  <c r="D23" i="6"/>
  <c r="D28" i="6"/>
  <c r="D24" i="6"/>
  <c r="D22" i="6"/>
  <c r="D12" i="6"/>
  <c r="D9" i="6"/>
  <c r="D29" i="6"/>
  <c r="D15" i="6"/>
  <c r="D26" i="6"/>
  <c r="D11" i="6"/>
  <c r="D5" i="6"/>
  <c r="D20" i="6"/>
  <c r="R20" i="6" s="1"/>
  <c r="R7" i="1" s="1"/>
  <c r="F33" i="21"/>
  <c r="H33" i="21"/>
  <c r="J33" i="21"/>
  <c r="S6" i="1"/>
  <c r="M19" i="6"/>
  <c r="K27" i="6"/>
  <c r="H24" i="6"/>
  <c r="H23" i="6"/>
  <c r="H25" i="6"/>
  <c r="H26" i="6"/>
  <c r="C15" i="12"/>
  <c r="F12" i="39"/>
  <c r="J12" i="39"/>
  <c r="H12" i="40"/>
  <c r="H12" i="39"/>
  <c r="J12" i="40"/>
  <c r="F12" i="40"/>
  <c r="H21" i="6"/>
  <c r="H22" i="6"/>
  <c r="L47" i="44"/>
  <c r="B40" i="1"/>
  <c r="F17" i="11"/>
  <c r="C17" i="11" s="1"/>
  <c r="C19" i="11" s="1"/>
  <c r="C32" i="15"/>
  <c r="C33" i="15"/>
  <c r="J20" i="44"/>
  <c r="C48" i="15"/>
  <c r="J6" i="15"/>
  <c r="Q62" i="44"/>
  <c r="Q75" i="44"/>
  <c r="Q61" i="15"/>
  <c r="Q74" i="15"/>
  <c r="C34" i="44"/>
  <c r="M11" i="15"/>
  <c r="J10" i="15" s="1"/>
  <c r="F11" i="15"/>
  <c r="C52" i="15" s="1"/>
  <c r="F13" i="44"/>
  <c r="C12" i="44" s="1"/>
  <c r="C7" i="44" s="1"/>
  <c r="M13" i="44"/>
  <c r="J12" i="44" s="1"/>
  <c r="J7" i="44" s="1"/>
  <c r="Q58" i="15"/>
  <c r="Q67" i="15"/>
  <c r="F1" i="15"/>
  <c r="Q53" i="15"/>
  <c r="Q76" i="44"/>
  <c r="Q63" i="44"/>
  <c r="Q62" i="15"/>
  <c r="Q75" i="15"/>
  <c r="Q54" i="44"/>
  <c r="F1" i="44"/>
  <c r="M28" i="46"/>
  <c r="N28" i="46"/>
  <c r="P28" i="46"/>
  <c r="O28" i="46"/>
  <c r="AE7" i="1"/>
  <c r="F35" i="15"/>
  <c r="M21" i="15"/>
  <c r="J7" i="34" l="1"/>
  <c r="I46" i="37"/>
  <c r="J46" i="37" s="1"/>
  <c r="I42" i="35"/>
  <c r="J42" i="35" s="1"/>
  <c r="AB7" i="33"/>
  <c r="T48" i="33" s="1"/>
  <c r="G48" i="33" s="1"/>
  <c r="U7" i="33"/>
  <c r="H7" i="34"/>
  <c r="G42" i="35"/>
  <c r="H42" i="35" s="1"/>
  <c r="G43" i="35"/>
  <c r="H43" i="35" s="1"/>
  <c r="H65" i="40"/>
  <c r="G67" i="40"/>
  <c r="AA7" i="21"/>
  <c r="S7" i="21"/>
  <c r="H46" i="36"/>
  <c r="E42" i="37"/>
  <c r="R43" i="37"/>
  <c r="E38" i="35"/>
  <c r="R39" i="35"/>
  <c r="AC7" i="33"/>
  <c r="V48" i="33" s="1"/>
  <c r="I48" i="33" s="1"/>
  <c r="W7" i="33"/>
  <c r="H59" i="34"/>
  <c r="I59" i="34" s="1"/>
  <c r="J59" i="34" s="1"/>
  <c r="K59" i="34" s="1"/>
  <c r="L59" i="34" s="1"/>
  <c r="M59" i="34" s="1"/>
  <c r="N59" i="34" s="1"/>
  <c r="O59" i="34" s="1"/>
  <c r="F7" i="34"/>
  <c r="G46" i="37"/>
  <c r="H46" i="37" s="1"/>
  <c r="G47" i="37"/>
  <c r="H47" i="37" s="1"/>
  <c r="AC7" i="21"/>
  <c r="W7" i="21"/>
  <c r="F7" i="33"/>
  <c r="E35" i="46"/>
  <c r="G35" i="46"/>
  <c r="I35" i="46" s="1"/>
  <c r="G37" i="46"/>
  <c r="I37" i="46" s="1"/>
  <c r="E37" i="46"/>
  <c r="E38" i="46"/>
  <c r="G38" i="46"/>
  <c r="I38" i="46" s="1"/>
  <c r="H70" i="73"/>
  <c r="G72" i="73"/>
  <c r="G39" i="46"/>
  <c r="I39" i="46" s="1"/>
  <c r="E39" i="46"/>
  <c r="G33" i="46"/>
  <c r="I33" i="46" s="1"/>
  <c r="E33" i="46"/>
  <c r="C26" i="46" s="1"/>
  <c r="G36" i="46"/>
  <c r="I36" i="46" s="1"/>
  <c r="E36" i="46"/>
  <c r="E34" i="46"/>
  <c r="G34" i="46"/>
  <c r="I34" i="46" s="1"/>
  <c r="C27" i="46"/>
  <c r="C13" i="43"/>
  <c r="L16" i="1"/>
  <c r="R24" i="6"/>
  <c r="R25" i="6"/>
  <c r="P7" i="1"/>
  <c r="P16" i="1" s="1"/>
  <c r="C13" i="12" s="1"/>
  <c r="C17" i="12" s="1"/>
  <c r="O16" i="1"/>
  <c r="F62" i="15"/>
  <c r="C61" i="15" s="1"/>
  <c r="C34" i="15"/>
  <c r="C31" i="15" s="1"/>
  <c r="J20" i="15"/>
  <c r="AC12" i="40"/>
  <c r="W12" i="40"/>
  <c r="U12" i="40"/>
  <c r="AB12" i="40"/>
  <c r="AA12" i="39"/>
  <c r="R49" i="39" s="1"/>
  <c r="S12" i="39"/>
  <c r="AA12" i="40"/>
  <c r="S12" i="40"/>
  <c r="AB12" i="39"/>
  <c r="T49" i="39" s="1"/>
  <c r="G49" i="39" s="1"/>
  <c r="U12" i="39"/>
  <c r="AC12" i="39"/>
  <c r="V49" i="39" s="1"/>
  <c r="I49" i="39" s="1"/>
  <c r="W12" i="39"/>
  <c r="I19" i="6"/>
  <c r="M27" i="6"/>
  <c r="AC33" i="21"/>
  <c r="W33" i="21"/>
  <c r="AA33" i="21"/>
  <c r="R48" i="21" s="1"/>
  <c r="S33" i="21"/>
  <c r="R26" i="6"/>
  <c r="R22" i="6"/>
  <c r="D30" i="6"/>
  <c r="R21" i="6"/>
  <c r="S16" i="1"/>
  <c r="T6" i="1"/>
  <c r="AB33" i="21"/>
  <c r="T48" i="21" s="1"/>
  <c r="G48" i="21" s="1"/>
  <c r="U33" i="21"/>
  <c r="R23" i="6"/>
  <c r="D27" i="6"/>
  <c r="D31" i="6" s="1"/>
  <c r="D22" i="12"/>
  <c r="C22" i="12" s="1"/>
  <c r="C20" i="12" s="1"/>
  <c r="D13" i="11"/>
  <c r="C13" i="11" s="1"/>
  <c r="D6" i="6"/>
  <c r="D16" i="6"/>
  <c r="O5" i="54"/>
  <c r="B45" i="63" s="1"/>
  <c r="A20" i="64"/>
  <c r="A6" i="51"/>
  <c r="B7" i="63" s="1"/>
  <c r="A20" i="51"/>
  <c r="B15" i="63" s="1"/>
  <c r="A6" i="64"/>
  <c r="D19" i="12"/>
  <c r="C19" i="12" s="1"/>
  <c r="C16" i="12"/>
  <c r="J26" i="44"/>
  <c r="J28" i="44"/>
  <c r="J31" i="44" s="1"/>
  <c r="C47" i="15"/>
  <c r="C10" i="15"/>
  <c r="C5" i="15" s="1"/>
  <c r="C20" i="11"/>
  <c r="C21" i="11" s="1"/>
  <c r="C22" i="11" s="1"/>
  <c r="C23" i="11" s="1"/>
  <c r="B2" i="11" s="1"/>
  <c r="C40" i="44"/>
  <c r="J5" i="15"/>
  <c r="J18" i="15"/>
  <c r="F24" i="15"/>
  <c r="C24" i="15" s="1"/>
  <c r="F26" i="12"/>
  <c r="C27" i="12" s="1"/>
  <c r="D26" i="12" s="1"/>
  <c r="C32" i="12" s="1"/>
  <c r="D30" i="12" s="1"/>
  <c r="F21" i="43"/>
  <c r="F26" i="44"/>
  <c r="C26" i="44" s="1"/>
  <c r="E7" i="67"/>
  <c r="F7" i="67"/>
  <c r="F41" i="15"/>
  <c r="L52" i="44"/>
  <c r="V48" i="21" l="1"/>
  <c r="I48" i="21" s="1"/>
  <c r="G53" i="21" s="1"/>
  <c r="H53" i="21" s="1"/>
  <c r="I52" i="33"/>
  <c r="J52" i="33" s="1"/>
  <c r="E43" i="35"/>
  <c r="F43" i="35" s="1"/>
  <c r="E42" i="35"/>
  <c r="F42" i="35" s="1"/>
  <c r="E47" i="37"/>
  <c r="F47" i="37" s="1"/>
  <c r="E46" i="37"/>
  <c r="F46" i="37" s="1"/>
  <c r="I46" i="36"/>
  <c r="H67" i="40"/>
  <c r="I65" i="40"/>
  <c r="I43" i="35"/>
  <c r="J43" i="35" s="1"/>
  <c r="I47" i="37"/>
  <c r="J47" i="37" s="1"/>
  <c r="AA7" i="33"/>
  <c r="R48" i="33" s="1"/>
  <c r="S7" i="33"/>
  <c r="S7" i="34"/>
  <c r="AA7" i="34"/>
  <c r="R49" i="34" s="1"/>
  <c r="C38" i="35"/>
  <c r="C39" i="35"/>
  <c r="B3" i="35" s="1"/>
  <c r="B2" i="35" s="1"/>
  <c r="C43" i="37"/>
  <c r="B3" i="37" s="1"/>
  <c r="B2" i="37" s="1"/>
  <c r="C42" i="37"/>
  <c r="AB7" i="34"/>
  <c r="T49" i="34" s="1"/>
  <c r="G49" i="34" s="1"/>
  <c r="U7" i="34"/>
  <c r="G52" i="33"/>
  <c r="H52" i="33" s="1"/>
  <c r="G53" i="33"/>
  <c r="H53" i="33" s="1"/>
  <c r="W7" i="34"/>
  <c r="AC7" i="34"/>
  <c r="V49" i="34" s="1"/>
  <c r="I49" i="34" s="1"/>
  <c r="F68" i="15"/>
  <c r="C14" i="12"/>
  <c r="C18" i="12" s="1"/>
  <c r="C23" i="12" s="1"/>
  <c r="E3" i="67"/>
  <c r="E4" i="67"/>
  <c r="B2" i="46"/>
  <c r="H72" i="73"/>
  <c r="I70" i="73"/>
  <c r="C14" i="43"/>
  <c r="C17" i="43"/>
  <c r="I5" i="6"/>
  <c r="I6" i="6"/>
  <c r="G52" i="21"/>
  <c r="H52" i="21" s="1"/>
  <c r="T11" i="1"/>
  <c r="T13" i="1"/>
  <c r="T9" i="1"/>
  <c r="T8" i="1"/>
  <c r="T12" i="1"/>
  <c r="T10" i="1"/>
  <c r="T7" i="1"/>
  <c r="E48" i="21"/>
  <c r="H19" i="6"/>
  <c r="I27" i="6"/>
  <c r="S19" i="6"/>
  <c r="S27" i="6" s="1"/>
  <c r="I53" i="39"/>
  <c r="J53" i="39" s="1"/>
  <c r="G54" i="39"/>
  <c r="H54" i="39" s="1"/>
  <c r="G53" i="39"/>
  <c r="H53" i="39" s="1"/>
  <c r="R50" i="39"/>
  <c r="E49" i="39"/>
  <c r="I54" i="39" s="1"/>
  <c r="J54" i="39" s="1"/>
  <c r="Q69" i="44"/>
  <c r="L58" i="44"/>
  <c r="L61" i="44" s="1"/>
  <c r="C23" i="43"/>
  <c r="D21" i="43" s="1"/>
  <c r="B3" i="11"/>
  <c r="B5" i="11"/>
  <c r="B4" i="11"/>
  <c r="C38" i="15"/>
  <c r="C65" i="15"/>
  <c r="C59" i="15"/>
  <c r="C60" i="15"/>
  <c r="J26" i="15"/>
  <c r="J29" i="15" s="1"/>
  <c r="J24" i="15"/>
  <c r="Q58" i="44"/>
  <c r="Q49" i="44"/>
  <c r="Q55" i="44" s="1"/>
  <c r="Q67" i="44"/>
  <c r="C16" i="44"/>
  <c r="B7" i="67"/>
  <c r="C14" i="15"/>
  <c r="I53" i="21" l="1"/>
  <c r="J53" i="21" s="1"/>
  <c r="I52" i="21"/>
  <c r="J52" i="21" s="1"/>
  <c r="R49" i="21"/>
  <c r="C48" i="21" s="1"/>
  <c r="I53" i="34"/>
  <c r="J53" i="34" s="1"/>
  <c r="E49" i="34"/>
  <c r="R50" i="34"/>
  <c r="I67" i="40"/>
  <c r="J65" i="40"/>
  <c r="J46" i="36"/>
  <c r="G54" i="34"/>
  <c r="H54" i="34" s="1"/>
  <c r="G53" i="34"/>
  <c r="H53" i="34" s="1"/>
  <c r="E48" i="33"/>
  <c r="R49" i="33"/>
  <c r="B2" i="67"/>
  <c r="J70" i="73"/>
  <c r="I72" i="73"/>
  <c r="D4" i="46"/>
  <c r="B4" i="46"/>
  <c r="B3" i="46"/>
  <c r="C18" i="43"/>
  <c r="C17" i="44"/>
  <c r="C20" i="44"/>
  <c r="C15" i="15"/>
  <c r="C18" i="15"/>
  <c r="H27" i="6"/>
  <c r="R19" i="6"/>
  <c r="T16" i="1"/>
  <c r="C58" i="15"/>
  <c r="C50" i="39"/>
  <c r="C49" i="39"/>
  <c r="E53" i="21"/>
  <c r="F53" i="21" s="1"/>
  <c r="E52" i="21"/>
  <c r="F52" i="21" s="1"/>
  <c r="E53" i="39"/>
  <c r="F53" i="39" s="1"/>
  <c r="E54" i="39"/>
  <c r="F54" i="39" s="1"/>
  <c r="Q68" i="44"/>
  <c r="Q77" i="44" s="1"/>
  <c r="Q59" i="44"/>
  <c r="Q64" i="44" s="1"/>
  <c r="C49" i="21" l="1"/>
  <c r="B3" i="21" s="1"/>
  <c r="B2" i="21" s="1"/>
  <c r="C10" i="12" s="1"/>
  <c r="E52" i="33"/>
  <c r="F52" i="33" s="1"/>
  <c r="E53" i="33"/>
  <c r="F53" i="33" s="1"/>
  <c r="I53" i="33"/>
  <c r="J53" i="33" s="1"/>
  <c r="K46" i="36"/>
  <c r="E54" i="34"/>
  <c r="F54" i="34" s="1"/>
  <c r="E53" i="34"/>
  <c r="F53" i="34" s="1"/>
  <c r="I54" i="34"/>
  <c r="J54" i="34" s="1"/>
  <c r="C49" i="33"/>
  <c r="B3" i="33" s="1"/>
  <c r="B2" i="33" s="1"/>
  <c r="C48" i="33"/>
  <c r="J67" i="40"/>
  <c r="K65" i="40"/>
  <c r="C50" i="34"/>
  <c r="B3" i="34" s="1"/>
  <c r="B2" i="34" s="1"/>
  <c r="C49" i="34"/>
  <c r="B3" i="67"/>
  <c r="B4" i="67"/>
  <c r="J72" i="73"/>
  <c r="K70" i="73"/>
  <c r="C21" i="44"/>
  <c r="C22" i="44" s="1"/>
  <c r="C28" i="44" s="1"/>
  <c r="C19" i="43"/>
  <c r="C22" i="43" s="1"/>
  <c r="C21" i="43" s="1"/>
  <c r="C19" i="15"/>
  <c r="C20" i="15" s="1"/>
  <c r="C26" i="15" s="1"/>
  <c r="B58" i="39"/>
  <c r="F58" i="39" s="1"/>
  <c r="B59" i="39"/>
  <c r="F59" i="39" s="1"/>
  <c r="B60" i="39"/>
  <c r="F60" i="39" s="1"/>
  <c r="B61" i="39"/>
  <c r="F61" i="39" s="1"/>
  <c r="B62" i="39"/>
  <c r="F62" i="39" s="1"/>
  <c r="B63" i="39"/>
  <c r="F63" i="39" s="1"/>
  <c r="B64" i="39"/>
  <c r="F64" i="39" s="1"/>
  <c r="B65" i="39"/>
  <c r="F65" i="39" s="1"/>
  <c r="B66" i="39"/>
  <c r="F66" i="39" s="1"/>
  <c r="B67" i="39"/>
  <c r="F67" i="39" s="1"/>
  <c r="R6" i="1"/>
  <c r="R16" i="1" s="1"/>
  <c r="R27" i="6"/>
  <c r="C8" i="12" l="1"/>
  <c r="L65" i="40"/>
  <c r="K67" i="40"/>
  <c r="L46" i="36"/>
  <c r="L70" i="73"/>
  <c r="K72" i="73"/>
  <c r="C25" i="44"/>
  <c r="C31" i="44" s="1"/>
  <c r="J21" i="44" s="1"/>
  <c r="J19" i="44" s="1"/>
  <c r="C25" i="43"/>
  <c r="C24" i="43" s="1"/>
  <c r="C28" i="43" s="1"/>
  <c r="C30" i="43" s="1"/>
  <c r="C32" i="43" s="1"/>
  <c r="B2" i="43" s="1"/>
  <c r="F68" i="39"/>
  <c r="B2" i="39" s="1"/>
  <c r="C23" i="15"/>
  <c r="C29" i="15" s="1"/>
  <c r="C19" i="9"/>
  <c r="M46" i="36" l="1"/>
  <c r="N46" i="36" s="1"/>
  <c r="O46" i="36" s="1"/>
  <c r="J7" i="36" s="1"/>
  <c r="L67" i="40"/>
  <c r="M65" i="40"/>
  <c r="H7" i="36"/>
  <c r="L72" i="73"/>
  <c r="M70" i="73"/>
  <c r="J16" i="44"/>
  <c r="J15" i="44" s="1"/>
  <c r="J25" i="44" s="1"/>
  <c r="C38" i="44"/>
  <c r="Q51" i="44"/>
  <c r="B4" i="43"/>
  <c r="B5" i="43"/>
  <c r="B3" i="43"/>
  <c r="C15" i="44"/>
  <c r="C43" i="44" s="1"/>
  <c r="C35" i="44"/>
  <c r="C33" i="44" s="1"/>
  <c r="L43" i="9"/>
  <c r="B4" i="39"/>
  <c r="B3" i="39"/>
  <c r="L19" i="9" s="1"/>
  <c r="L21" i="9" s="1"/>
  <c r="B5" i="39"/>
  <c r="C36" i="15"/>
  <c r="C56" i="15"/>
  <c r="C63" i="15" s="1"/>
  <c r="Q50" i="15"/>
  <c r="J59" i="15"/>
  <c r="J60" i="15" s="1"/>
  <c r="Q49" i="15" s="1"/>
  <c r="C13" i="15"/>
  <c r="J19" i="15"/>
  <c r="J17" i="15" s="1"/>
  <c r="J14" i="15"/>
  <c r="C20" i="9"/>
  <c r="C21" i="9"/>
  <c r="U7" i="36" l="1"/>
  <c r="AB7" i="36"/>
  <c r="T36" i="36" s="1"/>
  <c r="G36" i="36" s="1"/>
  <c r="W7" i="36"/>
  <c r="AC7" i="36"/>
  <c r="V36" i="36" s="1"/>
  <c r="I36" i="36" s="1"/>
  <c r="N65" i="40"/>
  <c r="N67" i="40" s="1"/>
  <c r="F9" i="40" s="1"/>
  <c r="M67" i="40"/>
  <c r="F7" i="36"/>
  <c r="C39" i="44"/>
  <c r="C32" i="44" s="1"/>
  <c r="C42" i="44" s="1"/>
  <c r="C44" i="44" s="1"/>
  <c r="C45" i="44" s="1"/>
  <c r="B2" i="44" s="1"/>
  <c r="N70" i="73"/>
  <c r="N72" i="73" s="1"/>
  <c r="M72" i="73"/>
  <c r="J24" i="44"/>
  <c r="J18" i="44" s="1"/>
  <c r="J27" i="44" s="1"/>
  <c r="Q72" i="44"/>
  <c r="J13" i="15"/>
  <c r="J23" i="15" s="1"/>
  <c r="J22" i="15"/>
  <c r="C37" i="15"/>
  <c r="C30" i="15" s="1"/>
  <c r="C39" i="15" s="1"/>
  <c r="J35" i="15"/>
  <c r="C55" i="15"/>
  <c r="C64" i="15" s="1"/>
  <c r="C57" i="15" s="1"/>
  <c r="C66" i="15" s="1"/>
  <c r="C67" i="15" s="1"/>
  <c r="C70" i="15" s="1"/>
  <c r="Q71" i="15"/>
  <c r="L51" i="15"/>
  <c r="AA7" i="36" l="1"/>
  <c r="R36" i="36" s="1"/>
  <c r="S7" i="36"/>
  <c r="AA9" i="40"/>
  <c r="R44" i="40" s="1"/>
  <c r="S9" i="40"/>
  <c r="J9" i="40"/>
  <c r="I40" i="36"/>
  <c r="J40" i="36" s="1"/>
  <c r="H9" i="40"/>
  <c r="G41" i="36"/>
  <c r="H41" i="36" s="1"/>
  <c r="G40" i="36"/>
  <c r="H40" i="36" s="1"/>
  <c r="Q71" i="44"/>
  <c r="Q70" i="44" s="1"/>
  <c r="F9" i="73"/>
  <c r="H9" i="73"/>
  <c r="J9" i="73"/>
  <c r="J39" i="15"/>
  <c r="J40" i="15" s="1"/>
  <c r="J16" i="15"/>
  <c r="J25" i="15" s="1"/>
  <c r="Q68" i="15"/>
  <c r="Q70" i="15"/>
  <c r="Q69" i="15" s="1"/>
  <c r="C40" i="15"/>
  <c r="B5" i="44"/>
  <c r="B4" i="44"/>
  <c r="B3" i="44"/>
  <c r="AC9" i="40" l="1"/>
  <c r="V44" i="40" s="1"/>
  <c r="I44" i="40" s="1"/>
  <c r="W9" i="40"/>
  <c r="R45" i="40"/>
  <c r="E44" i="40"/>
  <c r="E36" i="36"/>
  <c r="R37" i="36"/>
  <c r="AB9" i="40"/>
  <c r="T44" i="40" s="1"/>
  <c r="G44" i="40" s="1"/>
  <c r="U9" i="40"/>
  <c r="AC9" i="73"/>
  <c r="V49" i="73" s="1"/>
  <c r="I49" i="73" s="1"/>
  <c r="W9" i="73"/>
  <c r="U9" i="73"/>
  <c r="AB9" i="73"/>
  <c r="T49" i="73" s="1"/>
  <c r="G49" i="73" s="1"/>
  <c r="AA9" i="73"/>
  <c r="R49" i="73" s="1"/>
  <c r="S9" i="73"/>
  <c r="C46" i="15"/>
  <c r="Q48" i="15"/>
  <c r="Q54" i="15" s="1"/>
  <c r="C43" i="15"/>
  <c r="J42" i="15"/>
  <c r="J43" i="15" s="1"/>
  <c r="B2" i="15"/>
  <c r="Q57" i="15"/>
  <c r="Q63" i="15" s="1"/>
  <c r="Q66" i="15"/>
  <c r="Q76" i="15" s="1"/>
  <c r="G48" i="40" l="1"/>
  <c r="H48" i="40" s="1"/>
  <c r="G49" i="40"/>
  <c r="H49" i="40" s="1"/>
  <c r="E40" i="36"/>
  <c r="F40" i="36" s="1"/>
  <c r="E41" i="36"/>
  <c r="F41" i="36" s="1"/>
  <c r="I41" i="36"/>
  <c r="J41" i="36" s="1"/>
  <c r="C45" i="40"/>
  <c r="C44" i="40"/>
  <c r="I48" i="40"/>
  <c r="J48" i="40" s="1"/>
  <c r="I49" i="40"/>
  <c r="J49" i="40" s="1"/>
  <c r="C37" i="36"/>
  <c r="B3" i="36" s="1"/>
  <c r="B2" i="36" s="1"/>
  <c r="C36" i="36"/>
  <c r="E48" i="40"/>
  <c r="F48" i="40" s="1"/>
  <c r="E49" i="40"/>
  <c r="F49" i="40" s="1"/>
  <c r="G54" i="73"/>
  <c r="H54" i="73" s="1"/>
  <c r="G53" i="73"/>
  <c r="H53" i="73" s="1"/>
  <c r="R50" i="73"/>
  <c r="E49" i="73"/>
  <c r="I54" i="73" s="1"/>
  <c r="J54" i="73" s="1"/>
  <c r="I53" i="73"/>
  <c r="J53" i="73" s="1"/>
  <c r="B3" i="15"/>
  <c r="D8" i="12" s="1"/>
  <c r="D10" i="12"/>
  <c r="C6" i="12" s="1"/>
  <c r="B55" i="40" l="1"/>
  <c r="F55" i="40" s="1"/>
  <c r="B61" i="40"/>
  <c r="F61" i="40" s="1"/>
  <c r="B62" i="40"/>
  <c r="F62" i="40" s="1"/>
  <c r="B60" i="40"/>
  <c r="F60" i="40" s="1"/>
  <c r="B54" i="40"/>
  <c r="F54" i="40" s="1"/>
  <c r="B56" i="40"/>
  <c r="F56" i="40" s="1"/>
  <c r="F63" i="40"/>
  <c r="B2" i="40" s="1"/>
  <c r="B59" i="40"/>
  <c r="F59" i="40" s="1"/>
  <c r="B53" i="40"/>
  <c r="F53" i="40" s="1"/>
  <c r="B58" i="40"/>
  <c r="F58" i="40" s="1"/>
  <c r="B57" i="40"/>
  <c r="F57" i="40" s="1"/>
  <c r="C50" i="73"/>
  <c r="C49" i="73"/>
  <c r="E54" i="73"/>
  <c r="F54" i="73" s="1"/>
  <c r="E53" i="73"/>
  <c r="F53" i="73" s="1"/>
  <c r="C29" i="12"/>
  <c r="C24" i="12"/>
  <c r="B4" i="40" l="1"/>
  <c r="B5" i="40"/>
  <c r="B3" i="40"/>
  <c r="B62" i="73"/>
  <c r="F62" i="73" s="1"/>
  <c r="B60" i="73"/>
  <c r="F60" i="73" s="1"/>
  <c r="B58" i="73"/>
  <c r="F58" i="73" s="1"/>
  <c r="B66" i="73"/>
  <c r="F66" i="73" s="1"/>
  <c r="B64" i="73"/>
  <c r="F64" i="73" s="1"/>
  <c r="B67" i="73"/>
  <c r="F67" i="73" s="1"/>
  <c r="B65" i="73"/>
  <c r="F65" i="73" s="1"/>
  <c r="B63" i="73"/>
  <c r="F63" i="73" s="1"/>
  <c r="B61" i="73"/>
  <c r="F61" i="73" s="1"/>
  <c r="B59" i="73"/>
  <c r="F59" i="73" s="1"/>
  <c r="C35" i="12"/>
  <c r="C33" i="12" s="1"/>
  <c r="C28" i="12"/>
  <c r="C26" i="12" s="1"/>
  <c r="C31" i="12" s="1"/>
  <c r="C30" i="12" s="1"/>
  <c r="F68" i="73" l="1"/>
  <c r="B2" i="73" s="1"/>
  <c r="C36" i="12"/>
  <c r="B2" i="12" s="1"/>
  <c r="B3" i="12" s="1"/>
  <c r="D20" i="9"/>
  <c r="D19" i="9"/>
  <c r="M5" i="9" l="1"/>
  <c r="B5" i="73"/>
  <c r="B3" i="73"/>
  <c r="M19" i="9" s="1"/>
  <c r="M21" i="9" s="1"/>
  <c r="M23" i="9" s="1"/>
  <c r="L5" i="9" s="1"/>
  <c r="B4" i="73"/>
  <c r="B4" i="12"/>
  <c r="G19" i="9"/>
  <c r="C32" i="9" s="1"/>
  <c r="L44" i="9"/>
  <c r="D22" i="9"/>
  <c r="B5" i="12"/>
  <c r="G20" i="9"/>
  <c r="D21" i="9"/>
  <c r="M7" i="9" l="1"/>
  <c r="N43" i="9"/>
  <c r="G22" i="9"/>
  <c r="G21" i="9"/>
  <c r="C35" i="9"/>
  <c r="F42" i="9" s="1"/>
  <c r="C33" i="9"/>
  <c r="C34" i="9"/>
  <c r="C42" i="9"/>
  <c r="O38" i="9"/>
  <c r="O43" i="9"/>
  <c r="K25" i="9" l="1"/>
  <c r="K26" i="9"/>
  <c r="M38" i="9"/>
  <c r="K27" i="9" s="1"/>
  <c r="E42" i="9"/>
  <c r="P5" i="54" s="1"/>
  <c r="B46" i="63" s="1"/>
  <c r="D63" i="9"/>
  <c r="D14" i="66"/>
  <c r="C44" i="9"/>
  <c r="N68" i="9"/>
  <c r="R5" i="54"/>
  <c r="B48" i="63" s="1"/>
  <c r="N38" i="9"/>
  <c r="K28" i="9" s="1"/>
  <c r="D42" i="9"/>
  <c r="Q5" i="54" s="1"/>
  <c r="B47" i="63" s="1"/>
  <c r="F14" i="66" l="1"/>
  <c r="E14" i="66"/>
  <c r="D44" i="9"/>
  <c r="N69" i="9"/>
  <c r="F44" i="9"/>
  <c r="O39" i="9"/>
  <c r="G14" i="66"/>
  <c r="E44" i="9"/>
  <c r="D71" i="9"/>
  <c r="D66" i="9" s="1"/>
  <c r="N72" i="9" s="1"/>
  <c r="D77" i="9"/>
  <c r="N75" i="9" s="1"/>
  <c r="D70" i="9"/>
  <c r="C96" i="9"/>
  <c r="C91" i="9" s="1"/>
  <c r="C111" i="9"/>
  <c r="C104" i="9" s="1"/>
  <c r="C103" i="9"/>
  <c r="C82" i="9"/>
  <c r="C81" i="9" s="1"/>
  <c r="C85" i="9" s="1"/>
  <c r="C86" i="9" s="1"/>
  <c r="D72" i="9" s="1"/>
  <c r="C90" i="9"/>
  <c r="C97" i="9" l="1"/>
  <c r="C98" i="9" s="1"/>
  <c r="E98" i="9" s="1"/>
  <c r="E99" i="9" s="1"/>
  <c r="C113" i="9"/>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Q77" i="9" l="1"/>
  <c r="O78" i="9"/>
  <c r="O79" i="9"/>
  <c r="O80" i="9" l="1"/>
  <c r="C46" i="9"/>
  <c r="O81" i="9"/>
  <c r="K33" i="9" l="1"/>
  <c r="I14" i="66"/>
  <c r="B8" i="66" s="1"/>
  <c r="F46" i="9"/>
  <c r="O41" i="9"/>
  <c r="R8" i="54" s="1"/>
  <c r="B54" i="63" s="1"/>
  <c r="D46" i="9"/>
  <c r="E46" i="9"/>
  <c r="K34" i="9" l="1"/>
  <c r="D8" i="66"/>
  <c r="C8" i="66"/>
  <c r="D15" i="66" l="1"/>
  <c r="F15" i="66" l="1"/>
  <c r="G15" i="66"/>
  <c r="B6" i="66" s="1"/>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<sst xmlns="http://schemas.openxmlformats.org/spreadsheetml/2006/main" count="7562" uniqueCount="3183">
  <si>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</si>
  <si>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</si>
  <si>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</si>
  <si>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</si>
  <si>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</si>
  <si>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</si>
  <si>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</si>
  <si>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</si>
  <si>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</si>
  <si>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</si>
  <si>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</si>
  <si>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</si>
  <si>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</si>
  <si>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</si>
  <si>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</si>
  <si>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</si>
  <si>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</si>
  <si>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</si>
  <si>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</si>
  <si>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</si>
  <si>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</si>
  <si>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</si>
  <si>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</si>
  <si>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</si>
  <si>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</si>
  <si>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</si>
  <si>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</si>
  <si>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</si>
  <si>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</si>
  <si>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</si>
  <si>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</si>
  <si>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</si>
  <si>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</si>
  <si>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</si>
  <si>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</si>
  <si>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</si>
  <si>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</si>
  <si>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</si>
  <si>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</si>
  <si>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</si>
  <si>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</si>
  <si>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</si>
  <si>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</si>
  <si>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</si>
  <si>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</si>
  <si>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</si>
  <si>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</si>
  <si>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</si>
  <si>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</si>
  <si>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</si>
  <si>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</si>
  <si>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</si>
  <si>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</si>
  <si>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</si>
  <si>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</si>
  <si>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</si>
  <si>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</si>
  <si>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</si>
  <si>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</si>
  <si>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</si>
  <si>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</si>
  <si>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</si>
  <si>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</si>
  <si>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</si>
  <si>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</si>
  <si>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</si>
  <si>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</si>
  <si>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</si>
  <si>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</si>
  <si>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</si>
  <si>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</si>
  <si>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</si>
  <si>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</si>
  <si>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</si>
  <si>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</si>
  <si>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</si>
  <si>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</si>
  <si>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</si>
  <si>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</si>
  <si>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</si>
  <si>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</si>
  <si>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</si>
  <si>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</si>
  <si>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</si>
  <si>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</si>
  <si>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</si>
  <si>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</si>
  <si>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</si>
  <si>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</si>
  <si>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</si>
  <si>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</si>
  <si>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</si>
  <si>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</si>
  <si>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</si>
  <si>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</si>
  <si>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</si>
  <si>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</si>
  <si>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</si>
  <si>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</si>
  <si>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</si>
  <si>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</si>
  <si>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</si>
  <si>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</si>
  <si>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</si>
  <si>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</si>
  <si>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</si>
  <si>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</si>
  <si>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</si>
  <si>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</si>
  <si>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</si>
  <si>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</si>
  <si>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</si>
  <si>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</si>
  <si>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</si>
  <si>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</si>
  <si>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</si>
  <si>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</si>
  <si>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</si>
  <si>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</si>
  <si>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</si>
  <si>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</si>
  <si>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</si>
  <si>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</si>
  <si>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</si>
  <si>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</si>
  <si>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</si>
  <si>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</si>
  <si>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</si>
  <si>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</si>
  <si>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</si>
  <si>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</si>
  <si>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</si>
  <si>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</si>
  <si>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</si>
  <si>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</si>
  <si>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</si>
  <si>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</si>
  <si>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</si>
  <si>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</si>
  <si>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</si>
  <si>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</si>
  <si>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</si>
  <si>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</si>
  <si>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</si>
  <si>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</si>
  <si>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</si>
  <si>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</si>
  <si>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</si>
  <si>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</si>
  <si>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</si>
  <si>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</si>
  <si>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</si>
  <si>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</si>
  <si>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</si>
  <si>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</si>
  <si>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</si>
  <si>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</si>
  <si>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</si>
  <si>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</si>
  <si>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</si>
  <si>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</si>
  <si>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</si>
  <si>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</si>
  <si>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</si>
  <si>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</si>
  <si>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</si>
  <si>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</si>
  <si>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</si>
  <si>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</si>
  <si>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</si>
  <si>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</si>
  <si>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</si>
  <si>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</si>
  <si>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</si>
  <si>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</si>
  <si>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</si>
  <si>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</si>
  <si>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</si>
  <si>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</si>
  <si>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</si>
  <si>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</si>
  <si>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</si>
  <si>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</si>
  <si>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</si>
  <si>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</si>
  <si>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</si>
  <si>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</si>
  <si>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</si>
  <si>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</si>
  <si>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</si>
  <si>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</si>
  <si>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</si>
  <si>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</si>
  <si>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</si>
  <si>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</si>
  <si>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</si>
  <si>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</si>
  <si>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</si>
  <si>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</si>
  <si>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</si>
  <si>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</si>
  <si>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</si>
  <si>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</si>
  <si>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</si>
  <si>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</si>
  <si>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</si>
  <si>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</si>
  <si>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</si>
  <si>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</si>
  <si>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</si>
  <si>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</si>
  <si>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</si>
  <si>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</si>
  <si>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</si>
  <si>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</si>
  <si>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</si>
  <si>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</si>
  <si>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</si>
  <si>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</si>
  <si>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</si>
  <si>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</si>
  <si>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</si>
  <si>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</si>
  <si>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</si>
  <si>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</si>
  <si>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</si>
  <si>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</si>
  <si>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</si>
  <si>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</si>
  <si>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</si>
  <si>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</si>
  <si>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</si>
  <si>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</si>
  <si>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</si>
  <si>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</si>
  <si>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</si>
  <si>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</si>
  <si>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</si>
  <si>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</si>
  <si>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</si>
  <si>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</si>
  <si>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</si>
  <si>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</si>
  <si>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</si>
  <si>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</si>
  <si>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</si>
  <si>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</si>
  <si>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</si>
  <si>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</si>
  <si>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</si>
  <si>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</si>
  <si>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</si>
  <si>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</si>
  <si>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</si>
  <si>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</si>
  <si>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</si>
  <si>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</si>
  <si>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</si>
  <si>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</si>
  <si>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</si>
  <si>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</si>
  <si>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</si>
  <si>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</si>
  <si>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</si>
  <si>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</si>
  <si>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</si>
  <si>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</si>
  <si>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</si>
  <si>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</si>
  <si>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</si>
  <si>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</si>
  <si>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</si>
  <si>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</si>
  <si>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</si>
  <si>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</si>
  <si>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</si>
  <si>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</si>
  <si>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</si>
  <si>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</si>
  <si>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</si>
  <si>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</si>
  <si>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</si>
  <si>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</si>
  <si>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</si>
  <si>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</si>
  <si>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</si>
  <si>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</si>
  <si>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</si>
  <si>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</si>
  <si>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</si>
  <si>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</si>
  <si>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</si>
  <si>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</si>
  <si>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</si>
  <si>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</si>
  <si>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</si>
  <si>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</si>
  <si>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</si>
  <si>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</si>
  <si>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</si>
  <si>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</si>
  <si>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</si>
  <si>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</si>
  <si>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</si>
  <si>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</si>
  <si>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</si>
  <si>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</si>
  <si>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</si>
  <si>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</si>
  <si>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</si>
  <si>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</si>
  <si>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</si>
  <si>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</si>
  <si>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</si>
  <si>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</si>
  <si>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</si>
  <si>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</si>
  <si>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</si>
  <si>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</si>
  <si>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</si>
  <si>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</si>
  <si>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</si>
  <si>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</si>
  <si>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</si>
  <si>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</si>
  <si>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</si>
  <si>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</si>
  <si>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</si>
  <si>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</si>
  <si>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</si>
  <si>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</si>
  <si>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</si>
  <si>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</si>
  <si>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</si>
  <si>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</si>
  <si>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</si>
  <si>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</si>
  <si>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</si>
  <si>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</si>
  <si>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</si>
  <si>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</si>
  <si>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</si>
  <si>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</si>
  <si>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</si>
  <si>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</si>
  <si>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</si>
  <si>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</si>
  <si>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</si>
  <si>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</si>
  <si>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</si>
  <si>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</si>
  <si>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</si>
  <si>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</si>
  <si>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</si>
  <si>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</si>
  <si>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</si>
  <si>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</si>
  <si>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</si>
  <si>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</si>
  <si>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</si>
  <si>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</si>
  <si>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</si>
  <si>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</si>
  <si>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</si>
  <si>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</si>
  <si>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</si>
  <si>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</si>
  <si>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</si>
  <si>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</si>
  <si>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</si>
  <si>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</si>
  <si>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</si>
  <si>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</si>
  <si>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</si>
  <si>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</si>
  <si>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</si>
  <si>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</si>
  <si>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</si>
  <si>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</si>
  <si>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</si>
  <si>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</si>
  <si>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</si>
  <si>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</si>
  <si>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</si>
  <si>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</si>
  <si>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</si>
  <si>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</si>
  <si>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</si>
  <si>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</si>
  <si>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</si>
  <si>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</si>
  <si>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</si>
  <si>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</si>
  <si>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</si>
  <si>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</si>
  <si>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</si>
  <si>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</si>
  <si>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</si>
  <si>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</si>
  <si>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</si>
  <si>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</si>
  <si>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</si>
  <si>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</si>
  <si>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</si>
  <si>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</si>
  <si>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</si>
  <si>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</si>
  <si>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</si>
  <si>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</si>
  <si>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</si>
  <si>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</si>
  <si>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</si>
  <si>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</si>
  <si>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</si>
  <si>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</si>
  <si>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</si>
  <si>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</si>
  <si>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</si>
  <si>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</si>
  <si>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</si>
  <si>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</si>
  <si>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</si>
  <si>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</si>
  <si>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</si>
  <si>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</si>
  <si>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</si>
  <si>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</si>
  <si>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</si>
  <si>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</si>
  <si>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</si>
  <si>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</si>
  <si>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</si>
  <si>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</si>
  <si>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</si>
  <si>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</si>
  <si>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</si>
  <si>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</si>
  <si>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</si>
  <si>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</si>
  <si>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</si>
  <si>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</si>
  <si>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</si>
  <si>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</si>
  <si>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</si>
  <si>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</si>
  <si>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</si>
  <si>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</si>
  <si>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</si>
  <si>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</si>
  <si>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</si>
  <si>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</si>
  <si>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</si>
  <si>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</si>
  <si>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</si>
  <si>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</si>
  <si>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</si>
  <si>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</si>
  <si>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</si>
  <si>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</si>
  <si>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</si>
  <si>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</si>
  <si>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</si>
  <si>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</si>
  <si>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</si>
  <si>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</si>
  <si>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</si>
  <si>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</si>
  <si>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</si>
  <si>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</si>
  <si>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</si>
  <si>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</si>
  <si>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</si>
  <si>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</si>
  <si>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</si>
  <si>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</si>
  <si>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</si>
  <si>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</si>
  <si>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</si>
  <si>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</si>
  <si>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</si>
  <si>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</si>
  <si>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</si>
  <si>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</si>
  <si>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</si>
  <si>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</si>
  <si>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</si>
  <si>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</si>
  <si>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</si>
  <si>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</si>
  <si>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</si>
  <si>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</si>
  <si>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</si>
  <si>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</si>
  <si>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</si>
  <si>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</si>
  <si>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</si>
  <si>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</si>
  <si>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</si>
  <si>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</si>
  <si>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</si>
  <si>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</si>
  <si>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</si>
  <si>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</si>
  <si>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</si>
  <si>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</si>
  <si>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</si>
  <si>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</si>
  <si>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</si>
  <si>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</si>
  <si>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</si>
  <si>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</si>
  <si>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</si>
  <si>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</si>
  <si>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</si>
  <si>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</si>
  <si>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</si>
  <si>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</si>
  <si>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</si>
  <si>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</si>
  <si>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</si>
  <si>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</si>
  <si>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</si>
  <si>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</si>
  <si>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</si>
  <si>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</si>
  <si>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</si>
  <si>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</si>
  <si>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</si>
  <si>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</si>
  <si>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</si>
  <si>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</si>
  <si>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</si>
  <si>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</si>
  <si>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</si>
  <si>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</si>
  <si>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</si>
  <si>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</si>
  <si>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</si>
  <si>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</si>
  <si>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</si>
  <si>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</si>
  <si>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</si>
  <si>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</si>
  <si>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</si>
  <si>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</si>
  <si>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</si>
  <si>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</si>
  <si>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</si>
  <si>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</si>
  <si>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</si>
  <si>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</si>
  <si>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</si>
  <si>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</si>
  <si>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</si>
  <si>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</si>
  <si>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</si>
  <si>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</si>
  <si>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</si>
  <si>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</si>
  <si>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</si>
  <si>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</si>
  <si>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</si>
  <si>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</si>
  <si>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</si>
  <si>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</si>
  <si>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</si>
  <si>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</si>
  <si>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</si>
  <si>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</si>
  <si>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</si>
  <si>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</si>
  <si>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</si>
  <si>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</si>
  <si>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</si>
  <si>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</si>
  <si>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</si>
  <si>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</si>
  <si>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</si>
  <si>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</si>
  <si>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</si>
  <si>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</si>
  <si>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</si>
  <si>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</si>
  <si>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</si>
  <si>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</si>
  <si>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</si>
  <si>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</si>
  <si>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</si>
  <si>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</si>
  <si>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</si>
  <si>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</si>
  <si>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</si>
  <si>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</si>
  <si>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</si>
  <si>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</si>
  <si>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</si>
  <si>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</si>
  <si>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</si>
  <si>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</si>
  <si>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</si>
  <si>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</si>
  <si>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</si>
  <si>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</si>
  <si>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</si>
  <si>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</si>
  <si>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</si>
  <si>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</si>
  <si>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</si>
  <si>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</si>
  <si>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</si>
  <si>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</si>
  <si>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</si>
  <si>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</si>
  <si>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</si>
  <si>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</si>
  <si>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</si>
  <si>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</si>
  <si>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</si>
  <si>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</si>
  <si>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</si>
  <si>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</si>
  <si>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</si>
  <si>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</si>
  <si>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</si>
  <si>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</si>
  <si>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</si>
  <si>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</si>
  <si>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</si>
  <si>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</si>
  <si>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</si>
  <si>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</si>
  <si>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</si>
  <si>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</si>
  <si>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</si>
  <si>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</si>
  <si>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</si>
  <si>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</si>
  <si>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</si>
  <si>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</si>
  <si>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</si>
  <si>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</si>
  <si>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</si>
  <si>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</si>
  <si>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</si>
  <si>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</si>
  <si>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</si>
  <si>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</si>
  <si>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</si>
  <si>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</si>
  <si>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</si>
  <si>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</si>
  <si>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</si>
  <si>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</si>
  <si>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</si>
  <si>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</si>
  <si>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</si>
  <si>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</si>
  <si>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</si>
  <si>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</si>
  <si>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</si>
  <si>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</si>
  <si>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</si>
  <si>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</si>
  <si>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</si>
  <si>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</si>
  <si>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</si>
  <si>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</si>
  <si>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</si>
  <si>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</si>
  <si>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</si>
  <si>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</si>
  <si>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</si>
  <si>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</si>
  <si>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</si>
  <si>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</si>
  <si>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</si>
  <si>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</si>
  <si>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</si>
  <si>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</si>
  <si>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</si>
  <si>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</si>
  <si>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</si>
  <si>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</si>
  <si>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</si>
  <si>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</si>
  <si>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</si>
  <si>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</si>
  <si>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</si>
  <si>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</si>
  <si>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</si>
  <si>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</si>
  <si>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</si>
  <si>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</si>
  <si>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</si>
  <si>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</si>
  <si>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</si>
  <si>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</si>
  <si>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</si>
  <si>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</si>
  <si>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</si>
  <si>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</si>
  <si>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</si>
  <si>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</si>
  <si>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</si>
  <si>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</si>
  <si>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</si>
  <si>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</si>
  <si>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</si>
  <si>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</si>
  <si>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</si>
  <si>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</si>
  <si>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</si>
  <si>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</si>
  <si>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</si>
  <si>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</si>
  <si>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</si>
  <si>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</si>
  <si>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</si>
  <si>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</si>
  <si>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</si>
  <si>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</si>
  <si>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</si>
  <si>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</si>
  <si>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</si>
  <si>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</si>
  <si>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</si>
  <si>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</si>
  <si>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</si>
  <si>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</si>
  <si>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</si>
  <si>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</si>
  <si>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</si>
  <si>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</si>
  <si>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</si>
  <si>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</si>
  <si>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</si>
  <si>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</si>
  <si>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</si>
  <si>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</si>
  <si>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</si>
  <si>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</si>
  <si>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</si>
  <si>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</si>
  <si>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</si>
  <si>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</si>
  <si>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</si>
  <si>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</si>
  <si>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</si>
  <si>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</si>
  <si>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</si>
  <si>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</si>
  <si>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</si>
  <si>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</si>
  <si>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</si>
  <si>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</si>
  <si>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</si>
  <si>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</si>
  <si>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</si>
  <si>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</si>
  <si>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</si>
  <si>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</si>
  <si>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</si>
  <si>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</si>
  <si>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</si>
  <si>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</si>
  <si>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</si>
  <si>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</si>
  <si>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</si>
  <si>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</si>
  <si>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</si>
  <si>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</si>
  <si>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</si>
  <si>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</si>
  <si>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</si>
  <si>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</si>
  <si>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</si>
  <si>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</si>
  <si>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</si>
  <si>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</si>
  <si>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</si>
  <si>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</si>
  <si>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</si>
  <si>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</si>
  <si>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</si>
  <si>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</si>
  <si>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</si>
  <si>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</si>
  <si>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</si>
  <si>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</si>
  <si>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</si>
  <si>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</si>
  <si>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</si>
  <si>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</si>
  <si>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</si>
  <si>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</si>
  <si>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</si>
  <si>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</si>
  <si>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</si>
  <si>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</si>
  <si>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</si>
  <si>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</si>
  <si>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</si>
  <si>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</si>
  <si>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</si>
  <si>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</si>
  <si>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</si>
  <si>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</si>
  <si>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</si>
  <si>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</si>
  <si>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</si>
  <si>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</si>
  <si>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</si>
  <si>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</si>
  <si>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</si>
  <si>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</si>
  <si>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</si>
  <si>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</si>
  <si>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</si>
  <si>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</si>
  <si>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</si>
  <si>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</si>
  <si>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</si>
  <si>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</si>
  <si>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</si>
  <si>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</si>
  <si>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</si>
  <si>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</si>
  <si>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</si>
  <si>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</si>
  <si>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</si>
  <si>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</si>
  <si>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</si>
  <si>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</si>
  <si>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</si>
  <si>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</si>
  <si>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</si>
  <si>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</si>
  <si>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</si>
  <si>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</si>
  <si>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</si>
  <si>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</si>
  <si>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</si>
  <si>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</si>
  <si>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</si>
  <si>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</si>
  <si>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</si>
  <si>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</si>
  <si>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</si>
  <si>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</si>
  <si>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</si>
  <si>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</si>
  <si>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</si>
  <si>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</si>
  <si>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</si>
  <si>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</si>
  <si>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</si>
  <si>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</si>
  <si>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</si>
  <si>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</si>
  <si>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</si>
  <si>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</si>
  <si>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</si>
  <si>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</si>
  <si>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</si>
  <si>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</si>
  <si>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</si>
  <si>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</si>
  <si>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</si>
  <si>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</si>
  <si>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</si>
  <si>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</si>
  <si>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</si>
  <si>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</si>
  <si>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</si>
  <si>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</si>
  <si>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</si>
  <si>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</si>
  <si>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</si>
  <si>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</si>
  <si>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</si>
  <si>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</si>
  <si>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</si>
  <si>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</si>
  <si>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</si>
  <si>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</si>
  <si>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</si>
  <si>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</si>
  <si>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</si>
  <si>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</si>
  <si>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</si>
  <si>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</si>
  <si>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</si>
  <si>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</si>
  <si>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</si>
  <si>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</si>
  <si>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</si>
  <si>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</si>
  <si>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</si>
  <si>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</si>
  <si>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</si>
  <si>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</si>
  <si>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</si>
  <si>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</si>
  <si>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</si>
  <si>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</si>
  <si>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</si>
  <si>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</si>
  <si>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</si>
  <si>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</si>
  <si>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</si>
  <si>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</si>
  <si>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</si>
  <si>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</si>
  <si>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</si>
  <si>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</si>
  <si>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</si>
  <si>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</si>
  <si>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</si>
  <si>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</si>
  <si>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</si>
  <si>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</si>
  <si>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</si>
  <si>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</si>
  <si>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</si>
  <si>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</si>
  <si>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</si>
  <si>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</si>
  <si>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</si>
  <si>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</si>
  <si>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</si>
  <si>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</si>
  <si>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</si>
  <si>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</si>
  <si>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</si>
  <si>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</si>
  <si>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</si>
  <si>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</si>
  <si>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</si>
  <si>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</si>
  <si>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</si>
  <si>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</si>
  <si>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</si>
  <si>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</si>
  <si>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</si>
  <si>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</si>
  <si>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</si>
  <si>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</si>
  <si>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</si>
  <si>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</si>
  <si>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</si>
  <si>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</si>
  <si>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</si>
  <si>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</si>
  <si>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</si>
  <si>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</si>
  <si>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</si>
  <si>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</si>
  <si>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</si>
  <si>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</si>
  <si>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</si>
  <si>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</si>
  <si>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</si>
  <si>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</si>
  <si>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</si>
  <si>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</si>
  <si>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</si>
  <si>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</si>
  <si>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</si>
  <si>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</si>
  <si>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</si>
  <si>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</si>
  <si>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</si>
  <si>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</si>
  <si>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</si>
  <si>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</si>
  <si>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</si>
  <si>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</si>
  <si>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</si>
  <si>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</si>
  <si>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</si>
  <si>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</si>
  <si>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</si>
  <si>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</si>
  <si>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</si>
  <si>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</si>
  <si>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</si>
  <si>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</si>
  <si>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</si>
  <si>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</si>
  <si>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</si>
  <si>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</si>
  <si>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</si>
  <si>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</si>
  <si>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</si>
  <si>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</si>
  <si>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</si>
  <si>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</si>
  <si>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</si>
  <si>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</si>
  <si>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</si>
  <si>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</si>
  <si>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</si>
  <si>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</si>
  <si>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</si>
  <si>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</si>
  <si>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</si>
  <si>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</si>
  <si>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</si>
  <si>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</si>
  <si>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</si>
  <si>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</si>
  <si>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</si>
  <si>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</si>
  <si>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</si>
  <si>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</si>
  <si>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</si>
  <si>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</si>
  <si>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</si>
  <si>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</si>
  <si>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</si>
  <si>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</si>
  <si>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</si>
  <si>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</si>
  <si>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</si>
  <si>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</si>
  <si>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</si>
  <si>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</si>
  <si>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</si>
  <si>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</si>
  <si>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</si>
  <si>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</si>
  <si>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</si>
  <si>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</si>
  <si>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</si>
  <si>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</si>
  <si>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</si>
  <si>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</si>
  <si>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</si>
  <si>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</si>
  <si>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</si>
  <si>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</si>
  <si>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</si>
  <si>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</si>
  <si>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</si>
  <si>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</si>
  <si>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</si>
  <si>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</si>
  <si>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</si>
  <si>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</si>
  <si>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</si>
  <si>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</si>
  <si>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</si>
  <si>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</si>
  <si>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</si>
  <si>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</si>
  <si>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</si>
  <si>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</si>
  <si>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</si>
  <si>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</si>
  <si>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</si>
  <si>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</si>
  <si>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</si>
  <si>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</si>
  <si>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</si>
  <si>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</si>
  <si>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</si>
  <si>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</si>
  <si>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</si>
  <si>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</si>
  <si>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</si>
  <si>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</si>
  <si>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</si>
  <si>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</si>
  <si>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</si>
  <si>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</si>
  <si>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</si>
  <si>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</si>
  <si>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</si>
  <si>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</si>
  <si>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</si>
  <si>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</si>
  <si>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</si>
  <si>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</si>
  <si>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</si>
  <si>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</si>
  <si>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</si>
  <si>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</si>
  <si>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</si>
  <si>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</si>
  <si>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</si>
  <si>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</si>
  <si>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</si>
  <si>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</si>
  <si>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</si>
  <si>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</si>
  <si>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</si>
  <si>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</si>
  <si>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</si>
  <si>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</si>
  <si>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</si>
  <si>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</si>
  <si>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</si>
  <si>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</si>
  <si>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</si>
  <si>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</si>
  <si>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</si>
  <si>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</si>
  <si>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</si>
  <si>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</si>
  <si>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</si>
  <si>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</si>
  <si>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</si>
  <si>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</si>
  <si>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</si>
  <si>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</si>
  <si>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</si>
  <si>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</si>
  <si>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</si>
  <si>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</si>
  <si>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</si>
  <si>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</si>
  <si>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</si>
  <si>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</si>
  <si>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</si>
  <si>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</si>
  <si>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</si>
  <si>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</si>
  <si>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</si>
  <si>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</si>
  <si>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</si>
  <si>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</si>
  <si>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</si>
  <si>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</si>
  <si>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</si>
  <si>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</si>
  <si>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</si>
  <si>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</si>
  <si>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</si>
  <si>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</si>
  <si>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</si>
  <si>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</si>
  <si>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</si>
  <si>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</si>
  <si>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</si>
  <si>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</si>
  <si>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</si>
  <si>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</si>
  <si>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</si>
  <si>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</si>
  <si>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</si>
  <si>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</si>
  <si>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</si>
  <si>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</si>
  <si>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</si>
  <si>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</si>
  <si>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</si>
  <si>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</si>
  <si>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</si>
  <si>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</si>
  <si>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</si>
  <si>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</si>
  <si>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</si>
  <si>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</si>
  <si>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</si>
  <si>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</si>
  <si>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</si>
  <si>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</si>
  <si>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</si>
  <si>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</si>
  <si>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</si>
  <si>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</si>
  <si>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</si>
  <si>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</si>
  <si>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</si>
  <si>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</si>
  <si>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</si>
  <si>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</si>
  <si>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</si>
  <si>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</si>
  <si>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</si>
  <si>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</si>
  <si>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</si>
  <si>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</si>
  <si>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</si>
  <si>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</si>
  <si>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</si>
  <si>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</si>
  <si>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</si>
  <si>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</si>
  <si>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</si>
  <si>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</si>
  <si>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</si>
  <si>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</si>
  <si>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</si>
  <si>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</si>
  <si>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</si>
  <si>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</si>
  <si>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</si>
  <si>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</si>
  <si>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</si>
  <si>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</si>
  <si>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</si>
  <si>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</si>
  <si>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</si>
  <si>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</si>
  <si>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</si>
  <si>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</si>
  <si>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</si>
  <si>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</si>
  <si>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</si>
  <si>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</si>
  <si>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</si>
  <si>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</si>
  <si>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</si>
  <si>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</si>
  <si>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</si>
  <si>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</si>
  <si>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</si>
  <si>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</si>
  <si>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</si>
  <si>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</si>
  <si>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</si>
  <si>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</si>
  <si>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</si>
  <si>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</si>
  <si>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</si>
  <si>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</si>
  <si>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</si>
  <si>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</si>
  <si>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</si>
  <si>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</si>
  <si>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</si>
  <si>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</si>
  <si>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</si>
  <si>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</si>
  <si>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</si>
  <si>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</si>
  <si>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</si>
  <si>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</si>
  <si>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</si>
  <si>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</si>
  <si>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</si>
  <si>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</si>
  <si>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</si>
  <si>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</si>
  <si>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</si>
  <si>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</si>
  <si>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</si>
  <si>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</si>
  <si>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</si>
  <si>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</si>
  <si>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</si>
  <si>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</si>
  <si>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</si>
  <si>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</si>
  <si>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</si>
  <si>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</si>
  <si>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</si>
  <si>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</si>
  <si>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</si>
  <si>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</si>
  <si>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</si>
  <si>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</si>
  <si>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</si>
  <si>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</si>
  <si>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</si>
  <si>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</si>
  <si>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</si>
  <si>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</si>
  <si>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</si>
  <si>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</si>
  <si>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</si>
  <si>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</si>
  <si>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</si>
  <si>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</si>
  <si>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</si>
  <si>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</si>
  <si>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</si>
  <si>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</si>
  <si>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</si>
  <si>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</si>
  <si>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</si>
  <si>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</si>
  <si>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</si>
  <si>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</si>
  <si>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</si>
  <si>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</si>
  <si>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</si>
  <si>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</si>
  <si>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</si>
  <si>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</si>
  <si>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</si>
  <si>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</si>
  <si>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</si>
  <si>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</si>
  <si>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</si>
  <si>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</si>
  <si>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</si>
  <si>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</si>
  <si>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</si>
  <si>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</si>
  <si>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</si>
  <si>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</si>
  <si>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</si>
  <si>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</si>
  <si>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</si>
  <si>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</si>
  <si>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</si>
  <si>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</si>
  <si>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</si>
  <si>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</si>
  <si>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</si>
  <si>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</si>
  <si>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</si>
  <si>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</si>
  <si>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</si>
  <si>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</si>
  <si>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</si>
  <si>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</si>
  <si>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</si>
  <si>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</si>
  <si>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</si>
  <si>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</si>
  <si>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</si>
  <si>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</si>
  <si>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</si>
  <si>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</si>
  <si>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</si>
  <si>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</si>
  <si>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</si>
  <si>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</si>
  <si>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</si>
  <si>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</si>
  <si>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</si>
  <si>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</si>
  <si>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</si>
  <si>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</si>
  <si>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</si>
  <si>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</si>
  <si>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</si>
  <si>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</si>
  <si>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</si>
  <si>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</si>
  <si>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</si>
  <si>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</si>
  <si>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</si>
  <si>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</si>
  <si>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</si>
  <si>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</si>
  <si>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</si>
  <si>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</si>
  <si>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</si>
  <si>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</si>
  <si>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</si>
  <si>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</si>
  <si>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</si>
  <si>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</si>
  <si>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</si>
  <si>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</si>
  <si>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</si>
  <si>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</si>
  <si>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</si>
  <si>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</si>
  <si>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</si>
  <si>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</si>
  <si>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</si>
  <si>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</si>
  <si>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</si>
  <si>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</si>
  <si>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</si>
  <si>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</si>
  <si>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</si>
  <si>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</si>
  <si>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</si>
  <si>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</si>
  <si>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</si>
  <si>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</si>
  <si>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</si>
  <si>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</si>
  <si>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</si>
  <si>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</si>
  <si>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</si>
  <si>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</si>
  <si>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</si>
  <si>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</si>
  <si>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</si>
  <si>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</si>
  <si>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</si>
  <si>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</si>
  <si>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</si>
  <si>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</si>
  <si>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</si>
  <si>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</si>
  <si>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</si>
  <si>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</si>
  <si>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</si>
  <si>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</si>
  <si>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</si>
  <si>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</si>
  <si>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</si>
  <si>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</si>
  <si>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</si>
  <si>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</si>
  <si>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</si>
  <si>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</si>
  <si>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</si>
  <si>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</si>
  <si>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</si>
  <si>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</si>
  <si>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</si>
  <si>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</si>
  <si>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</si>
  <si>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</si>
  <si>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</si>
  <si>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</si>
  <si>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</si>
  <si>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</si>
  <si>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</si>
  <si>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</si>
  <si>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</si>
  <si>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</si>
  <si>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</si>
  <si>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</si>
  <si>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</si>
  <si>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</si>
  <si>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</si>
  <si>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</si>
  <si>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</si>
  <si>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</si>
  <si>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</si>
  <si>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</si>
  <si>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</si>
  <si>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</si>
  <si>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</si>
  <si>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</si>
  <si>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</si>
  <si>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</si>
  <si>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</si>
  <si>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</si>
  <si>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</si>
  <si>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</si>
  <si>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</si>
  <si>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</si>
  <si>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</si>
  <si>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</si>
  <si>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</si>
  <si>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</si>
  <si>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</si>
  <si>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</si>
  <si>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</si>
  <si>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</si>
  <si>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</si>
  <si>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</si>
  <si>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</si>
  <si>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</si>
  <si>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</si>
  <si>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</si>
  <si>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</si>
  <si>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</si>
  <si>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</si>
  <si>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</si>
  <si>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</si>
  <si>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</si>
  <si>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</si>
  <si>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</si>
  <si>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</si>
  <si>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</si>
  <si>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</si>
  <si>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</si>
  <si>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</si>
  <si>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</si>
  <si>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</si>
  <si>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</si>
  <si>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</si>
  <si>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</si>
  <si>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</si>
  <si>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</si>
  <si>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</si>
  <si>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</si>
  <si>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</si>
  <si>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</si>
  <si>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</si>
  <si>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</si>
  <si>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</si>
  <si>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</si>
  <si>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</si>
  <si>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</si>
  <si>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</si>
  <si>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</si>
  <si>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</si>
  <si>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</si>
  <si>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</si>
  <si>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</si>
  <si>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</si>
  <si>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</si>
  <si>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</si>
  <si>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</si>
  <si>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</si>
  <si>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</si>
  <si>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</si>
  <si>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</si>
  <si>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</si>
  <si>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</si>
  <si>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</si>
  <si>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</si>
  <si>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</si>
  <si>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</si>
  <si>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</si>
  <si>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</si>
  <si>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</si>
  <si>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</si>
  <si>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</si>
  <si>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</si>
  <si>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</si>
  <si>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</si>
  <si>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</si>
  <si>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</si>
  <si>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</si>
  <si>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</si>
  <si>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</si>
  <si>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</si>
  <si>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</si>
  <si>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</si>
  <si>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</si>
  <si>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</si>
  <si>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</si>
  <si>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</si>
  <si>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</si>
  <si>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</si>
  <si>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</si>
  <si>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</si>
  <si>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</si>
  <si>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</si>
  <si>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</si>
  <si>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</si>
  <si>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</si>
  <si>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</si>
  <si>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</si>
  <si>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</si>
  <si>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</si>
  <si>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</si>
  <si>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</si>
  <si>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</si>
  <si>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</si>
  <si>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</si>
  <si>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</si>
  <si>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</si>
  <si>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</si>
  <si>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</si>
  <si>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</si>
  <si>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</si>
  <si>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</si>
  <si>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</si>
  <si>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</si>
  <si>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</si>
  <si>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</si>
  <si>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</si>
  <si>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</si>
  <si>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</si>
  <si>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</si>
  <si>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</si>
  <si>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</si>
  <si>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</si>
  <si>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</si>
  <si>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</si>
  <si>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</si>
  <si>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</si>
  <si>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</si>
  <si>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</si>
  <si>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</si>
  <si>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</si>
  <si>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</si>
  <si>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</si>
  <si>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</si>
  <si>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</si>
  <si>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</si>
  <si>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</si>
  <si>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</si>
  <si>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</si>
  <si>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</si>
  <si>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</si>
  <si>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</si>
  <si>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</si>
  <si>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</si>
  <si>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</si>
  <si>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</si>
  <si>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</si>
  <si>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</si>
  <si>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</si>
  <si>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</si>
  <si>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</si>
  <si>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</si>
  <si>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</si>
  <si>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</si>
  <si>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</si>
  <si>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</si>
  <si>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</si>
  <si>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</si>
  <si>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</si>
  <si>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</si>
  <si>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</si>
  <si>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</si>
  <si>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</si>
  <si>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</si>
  <si>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</si>
  <si>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</si>
  <si>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</si>
  <si>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</si>
  <si>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</si>
  <si>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</si>
  <si>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</si>
  <si>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</si>
  <si>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</si>
  <si>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</si>
  <si>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</si>
  <si>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</si>
  <si>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</si>
  <si>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</si>
  <si>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</si>
  <si>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</si>
  <si>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</si>
  <si>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</si>
  <si>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</si>
  <si>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</si>
  <si>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</si>
  <si>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</si>
  <si>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</si>
  <si>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</si>
  <si>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</si>
  <si>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</si>
  <si>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</si>
  <si>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</si>
  <si>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</si>
  <si>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</si>
  <si>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</si>
  <si>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</si>
  <si>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</si>
  <si>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</si>
  <si>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</si>
  <si>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</si>
  <si>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</si>
  <si>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</si>
  <si>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</si>
  <si>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</si>
  <si>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</si>
  <si>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</si>
  <si>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</si>
  <si>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</si>
  <si>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</si>
  <si>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</si>
  <si>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</si>
  <si>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</si>
  <si>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</si>
  <si>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</si>
  <si>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</si>
  <si>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</si>
  <si>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</si>
  <si>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</si>
  <si>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</si>
  <si>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</si>
  <si>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</si>
  <si>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</si>
  <si>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</si>
  <si>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</si>
  <si>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</si>
  <si>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</si>
  <si>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</si>
  <si>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</si>
  <si>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</si>
  <si>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</si>
  <si>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</si>
  <si>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</si>
  <si>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</si>
  <si>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</si>
  <si>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</si>
  <si>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</si>
  <si>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</si>
  <si>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</si>
  <si>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</si>
  <si>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</si>
  <si>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</si>
  <si>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</si>
  <si>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</si>
  <si>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</si>
  <si>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</si>
  <si>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</si>
  <si>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</si>
  <si>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</si>
  <si>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</si>
  <si>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</si>
  <si>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</si>
  <si>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</si>
  <si>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</si>
  <si>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</si>
  <si>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</si>
  <si>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</si>
  <si>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</si>
  <si>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</si>
  <si>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</si>
  <si>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</si>
  <si>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</si>
  <si>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</si>
  <si>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</si>
  <si>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</si>
  <si>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</si>
  <si>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</si>
  <si>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</si>
  <si>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</si>
  <si>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</si>
  <si>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</si>
  <si>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</si>
  <si>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</si>
  <si>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</si>
  <si>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</si>
  <si>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</si>
  <si>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</si>
  <si>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</si>
  <si>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</si>
  <si>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</si>
  <si>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</si>
  <si>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</si>
  <si>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</si>
  <si>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</si>
  <si>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</si>
  <si>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</si>
  <si>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</si>
  <si>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</si>
  <si>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</si>
  <si>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</si>
  <si>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</si>
  <si>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</si>
  <si>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</si>
  <si>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</si>
  <si>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</si>
  <si>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</si>
  <si>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</si>
  <si>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</si>
  <si>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</si>
  <si>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</si>
  <si>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</si>
  <si>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</si>
  <si>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</si>
  <si>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</si>
  <si>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</si>
  <si>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</si>
  <si>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</si>
  <si>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</si>
  <si>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</si>
  <si>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</si>
  <si>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</si>
  <si>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</si>
  <si>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</si>
  <si>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</si>
  <si>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</si>
  <si>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</si>
  <si>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</si>
  <si>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</si>
  <si>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</si>
  <si>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</si>
  <si>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</si>
  <si>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</si>
  <si>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</si>
  <si>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</si>
  <si>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</si>
  <si>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</si>
  <si>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</si>
  <si>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</si>
  <si>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</si>
  <si>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</si>
  <si>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</si>
  <si>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</si>
  <si>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</si>
  <si>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</si>
  <si>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</si>
  <si>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</si>
  <si>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</si>
  <si>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</si>
  <si>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</si>
  <si>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</si>
  <si>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</si>
  <si>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</si>
  <si>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</si>
  <si>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</si>
  <si>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</si>
  <si>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</si>
  <si>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</si>
  <si>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</si>
  <si>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</si>
  <si>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</si>
  <si>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</si>
  <si>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</si>
  <si>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</si>
  <si>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</si>
  <si>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</si>
  <si>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</si>
  <si>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</si>
  <si>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</si>
  <si>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</si>
  <si>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</si>
  <si>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</si>
  <si>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</si>
  <si>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</si>
  <si>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</si>
  <si>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</si>
  <si>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</si>
  <si>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</si>
  <si>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</si>
  <si>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</si>
  <si>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</si>
  <si>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</si>
  <si>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</si>
  <si>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</si>
  <si>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</si>
  <si>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</si>
  <si>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</si>
  <si>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</si>
  <si>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</si>
  <si>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</si>
  <si>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</si>
  <si>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</si>
  <si>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</si>
  <si>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</si>
  <si>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</si>
  <si>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</si>
  <si>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</si>
  <si>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</si>
  <si>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</si>
  <si>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</si>
  <si>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</si>
  <si>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</si>
  <si>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</si>
  <si>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</si>
  <si>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</si>
  <si>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</si>
  <si>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</si>
  <si>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</si>
  <si>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</si>
  <si>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</si>
  <si>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</si>
  <si>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</si>
  <si>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</si>
  <si>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</si>
  <si>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</si>
  <si>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</si>
  <si>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</si>
  <si>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</si>
  <si>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</si>
  <si>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</si>
  <si>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</si>
  <si>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</si>
  <si>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</si>
  <si>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</si>
  <si>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</si>
  <si>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</si>
  <si>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</si>
  <si>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</si>
  <si>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</si>
  <si>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</si>
  <si>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</si>
  <si>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</si>
  <si>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</si>
  <si>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</si>
  <si>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</si>
  <si>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</si>
  <si>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</si>
  <si>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</si>
  <si>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</si>
  <si>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</si>
  <si>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</si>
  <si>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</si>
  <si>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</si>
  <si>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</si>
  <si>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</si>
  <si>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</si>
  <si>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</si>
  <si>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</si>
  <si>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</si>
  <si>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</si>
  <si>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</si>
  <si>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</si>
  <si>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</si>
  <si>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</si>
  <si>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</si>
  <si>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</si>
  <si>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</si>
  <si>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</si>
  <si>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</si>
  <si>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</si>
  <si>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</si>
  <si>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</si>
  <si>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</si>
  <si>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</si>
  <si>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</si>
  <si>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</si>
  <si>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</si>
  <si>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</si>
  <si>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</si>
  <si>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</si>
  <si>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</si>
  <si>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</si>
  <si>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</si>
  <si>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</si>
  <si>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</si>
  <si>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</si>
  <si>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</si>
  <si>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</si>
  <si>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</si>
  <si>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</si>
  <si>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</si>
  <si>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</si>
  <si>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</si>
  <si>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</si>
  <si>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</si>
  <si>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</si>
  <si>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</si>
  <si>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</si>
  <si>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</si>
  <si>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</si>
  <si>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</si>
  <si>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</si>
  <si>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</si>
  <si>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</si>
  <si>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</si>
  <si>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</si>
  <si>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</si>
  <si>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</si>
  <si>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</si>
  <si>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</si>
  <si>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</si>
  <si>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</si>
  <si>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</si>
  <si>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</si>
  <si>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</si>
  <si>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</si>
  <si>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</si>
  <si>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</si>
  <si>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</si>
  <si>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</si>
  <si>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</si>
  <si>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</si>
  <si>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</si>
  <si>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</si>
  <si>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</si>
  <si>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</si>
  <si>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</si>
  <si>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</si>
  <si>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</si>
  <si>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</si>
  <si>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</si>
  <si>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</si>
  <si>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</si>
  <si>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</si>
  <si>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</si>
  <si>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</si>
  <si>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</si>
  <si>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</si>
  <si>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</si>
  <si>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</si>
  <si>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</si>
  <si>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</si>
  <si>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</si>
  <si>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</si>
  <si>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</si>
  <si>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</si>
  <si>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</si>
  <si>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</si>
  <si>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</si>
  <si>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</si>
  <si>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</si>
  <si>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</si>
  <si>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</si>
  <si>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</si>
  <si>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</si>
  <si>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</si>
  <si>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</si>
  <si>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</si>
  <si>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</si>
  <si>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</si>
  <si>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</si>
  <si>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</si>
  <si>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</si>
  <si>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</si>
  <si>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</si>
  <si>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</si>
  <si>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</si>
  <si>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</si>
  <si>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</si>
  <si>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</si>
  <si>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</si>
  <si>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</si>
  <si>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</si>
  <si>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</si>
  <si>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</si>
  <si>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</si>
  <si>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</si>
  <si>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</si>
  <si>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</si>
  <si>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</si>
  <si>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</si>
  <si>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</si>
  <si>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</si>
  <si>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</si>
  <si>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</si>
  <si>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</si>
  <si>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</si>
  <si>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</si>
  <si>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</si>
  <si>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</si>
  <si>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</si>
  <si>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</si>
  <si>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</si>
  <si>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</si>
  <si>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</si>
  <si>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</si>
  <si>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</si>
  <si>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</si>
  <si>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</si>
  <si>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</si>
  <si>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</si>
  <si>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</si>
  <si>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</si>
  <si>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</si>
  <si>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</si>
  <si>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</si>
  <si>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</si>
  <si>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</si>
  <si>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</si>
  <si>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</si>
  <si>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</si>
  <si>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</si>
  <si>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</si>
  <si>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</si>
  <si>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</si>
  <si>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</si>
  <si>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</si>
  <si>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</si>
  <si>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</si>
  <si>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</si>
  <si>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</si>
  <si>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</si>
  <si>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</si>
  <si>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</si>
  <si>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</si>
  <si>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</si>
  <si>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</si>
  <si>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</si>
  <si>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</si>
  <si>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</si>
  <si>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</si>
  <si>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</si>
  <si>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</si>
  <si>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</si>
  <si>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</si>
  <si>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</si>
  <si>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</si>
  <si>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</si>
  <si>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</si>
  <si>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</si>
  <si>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</si>
  <si>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</si>
  <si>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</si>
  <si>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</si>
  <si>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</si>
  <si>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</si>
  <si>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</si>
  <si>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</si>
  <si>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</si>
  <si>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</si>
  <si>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</si>
  <si>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</si>
  <si>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</si>
  <si>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</si>
  <si>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</si>
  <si>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</si>
  <si>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</si>
  <si>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</si>
  <si>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</si>
  <si>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</si>
  <si>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</si>
  <si>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</si>
  <si>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</si>
  <si>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</si>
  <si>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</si>
  <si>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</si>
  <si>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</si>
  <si>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</si>
  <si>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</si>
  <si>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</si>
  <si>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</si>
  <si>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</si>
  <si>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</si>
  <si>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</si>
  <si>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</si>
  <si>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</si>
  <si>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</si>
  <si>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</si>
  <si>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</si>
  <si>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</si>
  <si>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</si>
  <si>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</si>
  <si>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</si>
  <si>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</si>
  <si>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</si>
  <si>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</si>
  <si>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</si>
  <si>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</si>
  <si>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</si>
  <si>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</si>
  <si>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</si>
  <si>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</si>
  <si>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</si>
  <si>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</si>
  <si>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</si>
  <si>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</si>
  <si>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</si>
  <si>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</si>
  <si>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</si>
  <si>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</si>
  <si>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</si>
  <si>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</si>
  <si>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</si>
  <si>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</si>
  <si>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</si>
  <si>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</si>
  <si>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</si>
  <si>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</si>
  <si>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</si>
  <si>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</si>
  <si>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</si>
  <si>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</si>
  <si>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</si>
  <si>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</si>
  <si>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</si>
  <si>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</si>
  <si>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</si>
  <si>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</si>
  <si>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</si>
  <si>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</si>
  <si>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</si>
  <si>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</si>
  <si>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</si>
  <si>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</si>
  <si>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</si>
  <si>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</si>
  <si>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</si>
  <si>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</si>
  <si>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</si>
  <si>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</si>
  <si>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</si>
  <si>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</si>
  <si>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</si>
  <si>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</si>
  <si>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</si>
  <si>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</si>
  <si>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</si>
  <si>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</si>
  <si>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</si>
  <si>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</si>
  <si>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</si>
  <si>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</si>
  <si>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</si>
  <si>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</si>
  <si>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</si>
  <si>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</si>
  <si>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</si>
  <si>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</si>
  <si>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</si>
  <si>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</si>
  <si>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</si>
  <si>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</si>
  <si>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</si>
  <si>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</si>
  <si>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</si>
  <si>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</si>
  <si>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</si>
  <si>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</si>
  <si>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</si>
  <si>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</si>
  <si>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</si>
  <si>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</si>
  <si>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</si>
  <si>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</si>
  <si>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</si>
  <si>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</si>
  <si>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</si>
  <si>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</si>
  <si>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</si>
  <si>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</si>
  <si>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</si>
  <si>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</si>
  <si>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</si>
  <si>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</si>
  <si>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</si>
  <si>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</si>
  <si>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</si>
  <si>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</si>
  <si>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</si>
  <si>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</si>
  <si>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</si>
  <si>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</si>
  <si>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</si>
  <si>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</si>
  <si>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</si>
  <si>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</si>
  <si>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</si>
  <si>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</si>
  <si>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</si>
  <si>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</si>
  <si>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</si>
  <si>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</si>
  <si>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</si>
  <si>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</si>
  <si>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</si>
  <si>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</si>
  <si>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</si>
  <si>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</si>
  <si>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</si>
  <si>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</si>
  <si>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</si>
  <si>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</si>
  <si>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</si>
  <si>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</si>
  <si>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</si>
  <si>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</si>
  <si>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</si>
  <si>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</si>
  <si>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</si>
  <si>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</si>
  <si>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</si>
  <si>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</si>
  <si>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</si>
  <si>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</si>
  <si>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</si>
  <si>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</si>
  <si>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</si>
  <si>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</si>
  <si>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</si>
  <si>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</si>
  <si>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</si>
  <si>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</si>
  <si>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</si>
  <si>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</si>
  <si>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</si>
  <si>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</si>
  <si>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</si>
  <si>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</si>
  <si>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</si>
  <si>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</si>
  <si>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</si>
  <si>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</si>
  <si>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</si>
  <si>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</si>
  <si>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</si>
  <si>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</si>
  <si>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</si>
  <si>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</si>
  <si>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</si>
  <si>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</si>
  <si>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</si>
  <si>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</si>
  <si>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</si>
  <si>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</si>
  <si>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</si>
  <si>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</si>
  <si>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</si>
  <si>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</si>
  <si>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</si>
  <si>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</si>
  <si>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</si>
  <si>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</si>
  <si>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</si>
  <si>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</si>
  <si>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</si>
  <si>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</si>
  <si>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</si>
  <si>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</si>
  <si>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</si>
  <si>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</si>
  <si>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</si>
  <si>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</si>
  <si>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</si>
  <si>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</si>
  <si>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</si>
  <si>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</si>
  <si>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</si>
  <si>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</si>
  <si>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</si>
  <si>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</si>
  <si>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</si>
  <si>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</si>
  <si>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</si>
  <si>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</si>
  <si>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</si>
  <si>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</si>
  <si>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</si>
  <si>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</si>
  <si>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</si>
  <si>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</si>
  <si>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</si>
  <si>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</si>
  <si>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</si>
  <si>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</si>
  <si>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</si>
  <si>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</si>
  <si>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</si>
  <si>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</si>
  <si>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</si>
  <si>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</si>
  <si>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</si>
  <si>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</si>
  <si>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</si>
  <si>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</si>
  <si>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</si>
  <si>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</si>
  <si>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</si>
  <si>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</si>
  <si>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</si>
  <si>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</si>
  <si>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</si>
  <si>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</si>
  <si>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</si>
  <si>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</si>
  <si>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</si>
  <si>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</si>
  <si>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</si>
  <si>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</si>
  <si>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</si>
  <si>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</si>
  <si>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</si>
  <si>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</si>
  <si>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</si>
  <si>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</si>
  <si>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</si>
  <si>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</si>
  <si>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</si>
  <si>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</si>
  <si>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</si>
  <si>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</si>
  <si>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</si>
  <si>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</si>
  <si>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</si>
  <si>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</si>
  <si>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</si>
  <si>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</si>
  <si>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</si>
  <si>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</si>
  <si>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</si>
  <si>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</si>
  <si>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</si>
  <si>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</si>
  <si>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</si>
  <si>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</si>
  <si>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</si>
  <si>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</si>
  <si>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</si>
  <si>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</si>
  <si>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</si>
  <si>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</si>
  <si>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</si>
  <si>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</si>
  <si>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</si>
  <si>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</si>
  <si>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</si>
  <si>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</si>
  <si>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</si>
  <si>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</si>
  <si>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</si>
  <si>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</si>
  <si>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</si>
  <si>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</si>
  <si>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</si>
  <si>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</si>
  <si>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</si>
  <si>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</si>
  <si>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</si>
  <si>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</si>
  <si>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</si>
  <si>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</si>
  <si>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</si>
  <si>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</si>
  <si>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</si>
  <si>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</si>
  <si>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</si>
  <si>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</si>
  <si>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</si>
  <si>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</si>
  <si>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</si>
  <si>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</si>
  <si>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</si>
  <si>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</si>
  <si>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</si>
  <si>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</si>
  <si>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</si>
  <si>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</si>
  <si>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</si>
  <si>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</si>
  <si>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</si>
  <si>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</si>
  <si>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</si>
  <si>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</si>
  <si>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</si>
  <si>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</si>
  <si>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</si>
  <si>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</si>
  <si>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</si>
  <si>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</si>
  <si>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</si>
  <si>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</si>
  <si>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</si>
  <si>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</si>
  <si>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</si>
  <si>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</si>
  <si>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</si>
  <si>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</si>
  <si>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</si>
  <si>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</si>
  <si>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</si>
  <si>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</si>
  <si>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</si>
  <si>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</si>
  <si>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</si>
  <si>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</si>
  <si>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</si>
  <si>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</si>
  <si>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</si>
  <si>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</si>
  <si>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</si>
  <si>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</si>
  <si>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</si>
  <si>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</si>
  <si>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</si>
  <si>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</si>
  <si>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</si>
  <si>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</si>
  <si>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</si>
  <si>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</si>
  <si>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</si>
  <si>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</si>
  <si>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</si>
  <si>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</si>
  <si>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</si>
  <si>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</si>
  <si>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</si>
  <si>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</si>
  <si>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</si>
  <si>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</si>
  <si>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</si>
  <si>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</si>
  <si>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</si>
  <si>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</si>
  <si>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</si>
  <si>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</si>
  <si>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</si>
  <si>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</si>
  <si>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</si>
  <si>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</si>
  <si>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</si>
  <si>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</si>
  <si>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</si>
  <si>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</si>
  <si>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</si>
  <si>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</si>
  <si>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</si>
  <si>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</si>
  <si>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</si>
  <si>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</si>
  <si>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</si>
  <si>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</si>
  <si>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</si>
  <si>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</si>
  <si>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</si>
  <si>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</si>
  <si>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</si>
  <si>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</si>
  <si>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</si>
  <si>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</si>
  <si>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</si>
  <si>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</si>
  <si>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</si>
  <si>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</si>
  <si>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</si>
  <si>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</si>
  <si>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</si>
  <si>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</si>
  <si>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</si>
  <si>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</si>
  <si>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</si>
  <si>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</si>
  <si>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</si>
  <si>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</si>
  <si>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</si>
  <si>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</si>
  <si>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</si>
  <si>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</si>
  <si>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</si>
  <si>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</si>
  <si>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</si>
  <si>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</si>
  <si>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</si>
  <si>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</si>
  <si>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</si>
  <si>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</si>
  <si>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</si>
  <si>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</si>
  <si>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</si>
  <si>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</si>
  <si>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</si>
  <si>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</si>
  <si>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</si>
  <si>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</si>
  <si>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</si>
  <si>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</si>
  <si>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</si>
  <si>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</si>
  <si>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</si>
  <si>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</si>
  <si>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</si>
  <si>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</si>
  <si>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</si>
  <si>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</si>
  <si>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</si>
  <si>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</si>
  <si>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</si>
  <si>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</si>
  <si>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</si>
  <si>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</si>
  <si>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</si>
  <si>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</si>
  <si>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</si>
  <si>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</si>
  <si>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</si>
  <si>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</si>
  <si>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</si>
  <si>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</si>
  <si>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</si>
  <si>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</si>
  <si>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</si>
  <si>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</si>
  <si>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</si>
  <si>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</si>
  <si>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</si>
  <si>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</si>
  <si>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</si>
  <si>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</si>
  <si>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</si>
  <si>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</si>
  <si>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</si>
  <si>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</si>
  <si>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</si>
  <si>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</si>
  <si>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</si>
  <si>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</si>
  <si>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</si>
  <si>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</si>
  <si>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</si>
  <si>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</si>
  <si>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</si>
  <si>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</si>
  <si>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</si>
  <si>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</si>
  <si>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</si>
  <si>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</si>
  <si>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</si>
  <si>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</si>
  <si>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</si>
  <si>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</si>
  <si>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</si>
  <si>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</si>
  <si>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</si>
  <si>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</si>
  <si>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</si>
  <si>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</si>
  <si>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</si>
  <si>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</si>
  <si>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</si>
  <si>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</si>
  <si>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</si>
  <si>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</si>
  <si>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</si>
  <si>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</si>
  <si>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</si>
  <si>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</si>
  <si>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</si>
  <si>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</si>
  <si>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</si>
  <si>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</si>
  <si>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</si>
  <si>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</si>
  <si>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</si>
  <si>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</si>
  <si>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</si>
  <si>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</si>
  <si>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</si>
  <si>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</si>
  <si>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</si>
  <si>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</si>
  <si>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</si>
  <si>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</si>
  <si>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</si>
  <si>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</si>
  <si>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</si>
  <si>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</si>
  <si>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</si>
  <si>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</si>
  <si>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</si>
  <si>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</si>
  <si>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</si>
  <si>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</si>
  <si>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</si>
  <si>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</si>
  <si>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</si>
  <si>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</si>
  <si>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</si>
  <si>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</si>
  <si>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</si>
  <si>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</si>
  <si>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</si>
  <si>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</si>
  <si>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</si>
  <si>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</si>
  <si>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</si>
  <si>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</si>
  <si>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</si>
  <si>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</si>
  <si>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</si>
  <si>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</si>
  <si>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</si>
  <si>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</si>
  <si>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</si>
  <si>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</si>
  <si>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</si>
  <si>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</si>
  <si>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</si>
  <si>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</si>
  <si>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</si>
  <si>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</si>
  <si>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</si>
  <si>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</si>
  <si>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</si>
  <si>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</si>
  <si>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</si>
  <si>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</si>
  <si>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</si>
  <si>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</si>
  <si>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</si>
  <si>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</si>
  <si>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</si>
  <si>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</si>
  <si>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</si>
  <si>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</si>
  <si>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</si>
  <si>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</si>
  <si>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</si>
  <si>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</si>
  <si>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</si>
  <si>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</si>
  <si>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</si>
  <si>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</si>
  <si>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</si>
  <si>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</si>
  <si>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</si>
  <si>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</si>
  <si>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</si>
  <si>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</si>
  <si>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</si>
  <si>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</si>
  <si>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</si>
  <si>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</si>
  <si>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</si>
  <si>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</si>
  <si>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</si>
  <si>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</si>
  <si>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</si>
  <si>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</si>
  <si>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</si>
  <si>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</si>
  <si>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</si>
  <si>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</si>
  <si>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</si>
  <si>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</si>
  <si>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</si>
  <si>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</si>
  <si>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</si>
  <si>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</si>
  <si>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</si>
  <si>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</si>
  <si>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</si>
  <si>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</si>
  <si>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</si>
  <si>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</si>
  <si>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</si>
  <si>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</si>
  <si>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</si>
  <si>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</si>
  <si>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</si>
  <si>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</si>
  <si>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</si>
  <si>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</si>
  <si>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</si>
  <si>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</si>
  <si>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</si>
  <si>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</si>
  <si>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</si>
  <si>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</si>
  <si>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</si>
  <si>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</si>
  <si>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</si>
  <si>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</si>
  <si>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</si>
  <si>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</si>
  <si>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</si>
  <si>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</si>
  <si>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</si>
  <si>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</si>
  <si>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</si>
  <si>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</si>
  <si>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</si>
  <si>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</si>
  <si>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</si>
  <si>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</si>
  <si>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</si>
  <si>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</si>
  <si>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</si>
  <si>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</si>
  <si>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</si>
  <si>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</si>
  <si>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</si>
  <si>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</si>
  <si>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</si>
  <si>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</si>
  <si>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</si>
  <si>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</si>
  <si>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</si>
  <si>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</si>
  <si>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</si>
  <si>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</si>
  <si>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</si>
  <si>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</si>
  <si>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</si>
  <si>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</si>
  <si>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</si>
  <si>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</si>
  <si>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</si>
  <si>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</si>
  <si>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</si>
  <si>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</si>
  <si>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</si>
  <si>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</si>
  <si>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</si>
  <si>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</si>
  <si>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</si>
  <si>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</si>
  <si>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</si>
  <si>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</si>
  <si>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</si>
  <si>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</si>
  <si>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</si>
  <si>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</si>
  <si>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</si>
  <si>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</si>
  <si>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</si>
  <si>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</si>
  <si>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</si>
  <si>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</si>
  <si>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</si>
  <si>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</si>
  <si>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</si>
  <si>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</si>
  <si>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</si>
  <si>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</si>
  <si>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</si>
  <si>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</si>
  <si>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</si>
  <si>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</si>
  <si>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</si>
  <si>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</si>
  <si>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</si>
  <si>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</si>
  <si>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</si>
  <si>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</si>
  <si>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</si>
  <si>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</si>
  <si>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</si>
  <si>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</si>
  <si>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</si>
  <si>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</si>
  <si>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</si>
  <si>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</si>
  <si>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</si>
  <si>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</si>
  <si>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</si>
  <si>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</si>
  <si>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</si>
  <si>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</si>
  <si>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</si>
  <si>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</si>
  <si>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</si>
  <si>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</si>
  <si>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</si>
  <si>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</si>
  <si>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</si>
  <si>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</si>
  <si>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</si>
  <si>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</si>
  <si>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</si>
  <si>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</si>
  <si>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</si>
  <si>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</si>
  <si>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</si>
  <si>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</si>
  <si>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</si>
  <si>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</si>
  <si>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</si>
  <si>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</si>
  <si>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</si>
  <si>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</si>
  <si>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</si>
  <si>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</si>
  <si>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</si>
  <si>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</si>
  <si>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</si>
  <si>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</si>
  <si>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</si>
  <si>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</si>
  <si>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</si>
  <si>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</si>
  <si>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</si>
  <si>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</si>
  <si>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</si>
  <si>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</si>
  <si>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</si>
  <si>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</si>
  <si>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</si>
  <si>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</si>
  <si>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</si>
  <si>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</si>
  <si>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</si>
  <si>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</si>
  <si>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</si>
  <si>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</si>
  <si>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</si>
  <si>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</si>
  <si>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</si>
  <si>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</si>
  <si>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</si>
  <si>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</si>
  <si>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</si>
  <si>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</si>
  <si>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</si>
  <si>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</si>
  <si>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</si>
  <si>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</si>
  <si>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</si>
  <si>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</si>
  <si>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</si>
  <si>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</si>
  <si>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</si>
  <si>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</si>
  <si>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</si>
  <si>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</si>
  <si>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</si>
  <si>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</si>
  <si>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</si>
  <si>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</si>
  <si>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</si>
  <si>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</si>
  <si>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</si>
  <si>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</si>
  <si>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</si>
  <si>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</si>
  <si>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</si>
  <si>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</si>
  <si>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</si>
  <si>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</si>
  <si>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</si>
  <si>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</si>
  <si>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</si>
  <si>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</si>
  <si>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</si>
  <si>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</si>
  <si>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</si>
  <si>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</si>
  <si>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</si>
  <si>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</si>
  <si>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</si>
  <si>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</si>
  <si>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</si>
  <si>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</si>
  <si>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</si>
  <si>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</si>
  <si>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</si>
  <si>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</si>
  <si>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</si>
  <si>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</si>
  <si>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</si>
  <si>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</si>
  <si>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</si>
  <si>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</si>
  <si>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</si>
  <si>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</si>
  <si>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</si>
  <si>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</si>
  <si>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</si>
  <si>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</si>
  <si>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</si>
  <si>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</si>
  <si>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</si>
  <si>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</si>
  <si>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</si>
  <si>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</si>
  <si>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</si>
  <si>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</si>
  <si>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</si>
  <si>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</si>
  <si>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</si>
  <si>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</si>
  <si>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</si>
  <si>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</si>
  <si>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</si>
  <si>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</si>
  <si>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</si>
  <si>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</si>
  <si>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</si>
  <si>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</si>
  <si>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</si>
  <si>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</si>
  <si>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</si>
  <si>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</si>
  <si>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</si>
  <si>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</si>
  <si>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</si>
  <si>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</si>
  <si>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</si>
  <si>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</si>
  <si>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</si>
  <si>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</si>
  <si>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</si>
  <si>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</si>
  <si>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</si>
  <si>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</si>
  <si>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</si>
  <si>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</si>
  <si>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</si>
  <si>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</si>
  <si>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</si>
  <si>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</si>
  <si>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</si>
  <si>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</si>
  <si>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</si>
  <si>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</si>
  <si>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</si>
  <si>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</si>
  <si>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</si>
  <si>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</si>
  <si>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</si>
  <si>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</si>
  <si>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</si>
  <si>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</si>
  <si>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</si>
  <si>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</si>
  <si>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</si>
  <si>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</si>
  <si>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</si>
  <si>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</si>
  <si>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</si>
  <si>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</si>
  <si>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</si>
  <si>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</si>
  <si>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</si>
  <si>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</si>
  <si>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</si>
  <si>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</si>
  <si>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</si>
  <si>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</si>
  <si>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</si>
  <si>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</si>
  <si>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</si>
  <si>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</si>
  <si>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</si>
  <si>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</si>
  <si>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</si>
  <si>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</si>
  <si>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</si>
  <si>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</si>
  <si>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</si>
  <si>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</si>
  <si>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</si>
  <si>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</si>
  <si>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</si>
  <si>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</si>
  <si>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</si>
  <si>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</si>
  <si>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</si>
  <si>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</si>
  <si>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</si>
  <si>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</si>
  <si>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</si>
  <si>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</si>
  <si>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</si>
  <si>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</si>
  <si>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</si>
  <si>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</si>
  <si>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</si>
  <si>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</si>
  <si>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</si>
  <si>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</si>
  <si>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</si>
  <si>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</si>
  <si>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</si>
  <si>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</si>
  <si>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</si>
  <si>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</si>
  <si>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</si>
  <si>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</si>
  <si>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</si>
  <si>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</si>
  <si>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</si>
  <si>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</si>
  <si>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</si>
  <si>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</si>
  <si>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</si>
  <si>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</si>
  <si>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</si>
  <si>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</si>
  <si>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</si>
  <si>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</si>
  <si>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</si>
  <si>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</si>
  <si>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</si>
  <si>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</si>
  <si>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</si>
  <si>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</si>
  <si>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</si>
  <si>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</si>
  <si>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</si>
  <si>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</si>
  <si>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</si>
  <si>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</si>
  <si>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</si>
  <si>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</si>
  <si>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</si>
  <si>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</si>
  <si>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</si>
  <si>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</si>
  <si>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</si>
  <si>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</si>
  <si>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</si>
  <si>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</si>
  <si>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</si>
  <si>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</si>
  <si>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</si>
  <si>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</si>
  <si>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</si>
  <si>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</si>
  <si>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</si>
  <si>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</si>
  <si>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</si>
  <si>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</si>
  <si>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</si>
  <si>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</si>
  <si>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</si>
  <si>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</si>
  <si>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</si>
  <si>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</si>
  <si>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</si>
  <si>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</si>
  <si>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</si>
  <si>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</si>
  <si>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</si>
  <si>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</si>
  <si>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</si>
  <si>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</si>
  <si>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</si>
  <si>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</si>
  <si>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</si>
  <si>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</si>
  <si>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</si>
  <si>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</si>
  <si>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</si>
  <si>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</si>
  <si>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</si>
  <si>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</si>
  <si>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</si>
  <si>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</si>
  <si>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</si>
  <si>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楼面地价</t>
  </si>
  <si>
    <t>泰和华府</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</si>
  <si>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</si>
  <si>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</si>
  <si>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</si>
  <si>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</si>
  <si>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</si>
  <si>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</si>
  <si>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</si>
  <si>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</si>
  <si>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</si>
  <si>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</si>
  <si>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</si>
  <si>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</si>
  <si>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</si>
  <si>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</si>
  <si>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</si>
  <si>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</si>
  <si>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</si>
  <si>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</si>
  <si>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</si>
  <si>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</si>
  <si>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</si>
  <si>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</si>
  <si>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</si>
  <si>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来宾市兴宾区平阳镇西面、迁江至合山二级公路与平阳至来马高速路口、上林县502县道交叉口的东北角</t>
  </si>
  <si>
    <t>商业/办公用地</t>
  </si>
  <si>
    <t>小于或等于0.8</t>
  </si>
  <si>
    <t>2019-06-13</t>
  </si>
  <si>
    <t>来宾市兴宾区鑫隆加油站</t>
  </si>
  <si>
    <t>0星</t>
  </si>
  <si>
    <t>来宾市兴宾区陶邓乡</t>
  </si>
  <si>
    <t>来宾市太成贸易有限公司</t>
  </si>
  <si>
    <t>来宾市兴宾区正龙乡正龙街往来宾方向600米处公路南</t>
  </si>
  <si>
    <t>小于或等于1</t>
  </si>
  <si>
    <t>来宾市翰悦贸易有限公司</t>
  </si>
  <si>
    <t>来宾市良江镇</t>
  </si>
  <si>
    <t>2018-09-28</t>
  </si>
  <si>
    <t>韦建</t>
  </si>
  <si>
    <t>来宾市教育园区铁北路与南纵二路交叉口东南角</t>
  </si>
  <si>
    <t>2017-10-20</t>
  </si>
  <si>
    <t>广西来宾市青禾置业有限公司</t>
  </si>
  <si>
    <t>来宾市华侨大道与水韵路交叉口东南角</t>
  </si>
  <si>
    <t>广西来宾桂中房地产开发有限公司</t>
  </si>
  <si>
    <t>来宾市富华路与桂中大道延长线交叉口东南角</t>
  </si>
  <si>
    <t>小于或等于4</t>
  </si>
  <si>
    <t>2017-08-28</t>
  </si>
  <si>
    <t>广西来宾高新园区投资发展有限责任公司</t>
  </si>
  <si>
    <t>来宾市疏港大道与凤翔路交叉口西南角</t>
  </si>
  <si>
    <t>中国石化销售有限公司广西来宾石油分公司</t>
  </si>
  <si>
    <t>来宾市兴宾区良江镇</t>
  </si>
  <si>
    <t>小于或等于2.5</t>
  </si>
  <si>
    <t>2017-07-12</t>
  </si>
  <si>
    <t>广西来宾桂中农村合作银行</t>
  </si>
  <si>
    <t>来宾市疏港大道与凤翔路交叉口东南角</t>
  </si>
  <si>
    <t>小于或等于2</t>
  </si>
  <si>
    <t>2017-04-07</t>
  </si>
  <si>
    <t>广西来宾广通汽车贸易有限公司</t>
  </si>
  <si>
    <t>来宾市双诚汽车贸易有限责任公司</t>
  </si>
  <si>
    <t>来宾市兴宾区良江镇白面水库西侧</t>
  </si>
  <si>
    <t>2015-12-16</t>
  </si>
  <si>
    <t>广西来宾市公共交通有限责任公司</t>
  </si>
  <si>
    <t>来宾市天然桥路与来良路交叉口东南角</t>
  </si>
  <si>
    <t>小于或等于1.6</t>
  </si>
  <si>
    <t>2015-10-15</t>
  </si>
  <si>
    <t>广西家缘置业有限公司</t>
  </si>
  <si>
    <t>来宾市华侨投资区荣和路与富华路交叉口西北角</t>
  </si>
  <si>
    <t>2015-01-16</t>
  </si>
  <si>
    <t>广西来宾工业投资集团有限公司</t>
  </si>
  <si>
    <t>来宾市东环大道与纬十路交叉口东南角</t>
  </si>
  <si>
    <t>2014-04-18</t>
  </si>
  <si>
    <t>来宾市桂中水城开发投资有限责任公司</t>
  </si>
  <si>
    <t>兴宾区石陵镇石陵街</t>
  </si>
  <si>
    <t>小于1</t>
  </si>
  <si>
    <t>2013-08-30</t>
  </si>
  <si>
    <t>来宾市欣峥投资有限责任公司</t>
  </si>
  <si>
    <t>较差</t>
  </si>
  <si>
    <t>住宅比较法</t>
    <phoneticPr fontId="9" type="noConversion"/>
  </si>
  <si>
    <t>商业比较法</t>
    <phoneticPr fontId="9" type="noConversion"/>
  </si>
  <si>
    <t>单价</t>
    <phoneticPr fontId="9" type="noConversion"/>
  </si>
  <si>
    <t>权重</t>
    <phoneticPr fontId="9" type="noConversion"/>
  </si>
  <si>
    <t>合计</t>
    <phoneticPr fontId="9" type="noConversion"/>
  </si>
  <si>
    <t>规划面积</t>
    <phoneticPr fontId="9" type="noConversion"/>
  </si>
  <si>
    <t>总价</t>
    <phoneticPr fontId="9" type="noConversion"/>
  </si>
  <si>
    <t>最终</t>
    <phoneticPr fontId="9" type="noConversion"/>
  </si>
  <si>
    <t>住宅</t>
    <phoneticPr fontId="228" type="noConversion"/>
  </si>
  <si>
    <t>商业</t>
    <phoneticPr fontId="228" type="noConversion"/>
  </si>
  <si>
    <t>地面积</t>
    <phoneticPr fontId="228" type="noConversion"/>
  </si>
  <si>
    <t xml:space="preserve">建面 </t>
    <phoneticPr fontId="228" type="noConversion"/>
  </si>
  <si>
    <t>阳光西西里</t>
    <phoneticPr fontId="3" type="noConversion"/>
  </si>
  <si>
    <t>楼面价</t>
    <phoneticPr fontId="9" type="noConversion"/>
  </si>
  <si>
    <t>最终楼面价</t>
    <phoneticPr fontId="9" type="noConversion"/>
  </si>
  <si>
    <t>地价</t>
    <phoneticPr fontId="9" type="noConversion"/>
  </si>
  <si>
    <t>最终地价</t>
    <phoneticPr fontId="9" type="noConversion"/>
  </si>
  <si>
    <t>三通</t>
  </si>
  <si>
    <t>三通</t>
    <phoneticPr fontId="26" type="noConversion"/>
  </si>
  <si>
    <t>六通</t>
  </si>
  <si>
    <t>六通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</si>
</sst>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8" borderId="0" xfId="0" applyFill="1" applyAlignment="1"/>
    <xf numFmtId="0" fontId="0" fillId="0" borderId="0" xfId="0" applyFill="1" applyAlignment="1"/>
    <xf numFmtId="0" fontId="82" fillId="5" borderId="0" xfId="0" applyFont="1" applyFill="1" applyProtection="1">
      <alignment vertical="center"/>
      <protection locked="0"/>
    </xf>
    <xf numFmtId="181" fontId="71" fillId="9" borderId="5" xfId="0" applyNumberFormat="1"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173" fillId="0" borderId="2" xfId="0" applyFont="1" applyBorder="1" applyAlignment="1">
      <alignment horizontal="justify"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9" borderId="11" xfId="0" applyFont="1" applyFill="1" applyBorder="1" applyAlignment="1" applyProtection="1">
      <alignment horizontal="center" vertical="center" wrapText="1"/>
      <protection locked="0"/>
    </xf>
    <xf numFmtId="0" fontId="262" fillId="9" borderId="1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4</xdr:col>
      <xdr:colOff>846881</xdr:colOff>
      <xdr:row>50</xdr:row>
      <xdr:rowOff>65987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33725"/>
          <a:ext cx="6752381" cy="5504762"/>
        </a:xfrm>
        <a:prstGeom prst="rect">
          <a:avLst/>
        </a:prstGeom>
      </xdr:spPr>
    </xdr:pic>
    <xdr:clientData/>
  </xdr:twoCellAnchor>
  <xdr:twoCellAnchor editAs="oneCell">
    <xdr:from>
      <xdr:col>4</xdr:col>
      <xdr:colOff>866775</xdr:colOff>
      <xdr:row>18</xdr:row>
      <xdr:rowOff>47625</xdr:rowOff>
    </xdr:from>
    <xdr:to>
      <xdr:col>13</xdr:col>
      <xdr:colOff>589302</xdr:colOff>
      <xdr:row>55</xdr:row>
      <xdr:rowOff>161118</xdr:rowOff>
    </xdr:to>
    <xdr:pic>
      <xdr:nvPicPr>
        <xdr:cNvPr id="3" name="图片 2"/>
        <xdr:cNvPicPr>
          <a:picLocks noChangeAspect="1"/>
        </xdr:cNvPicPr>
      </xdr:nvPicPr>
      <xdr:blipFill>
        <a:blip xmlns:r="http://schemas.openxmlformats.org/officeDocument/2006/relationships" r:embed="rId2"/>
        <a:stretch>
          <a:fillRect/>
        </a:stretch>
      </xdr:blipFill>
      <xdr:spPr>
        <a:xfrm>
          <a:off x="6772275" y="3133725"/>
          <a:ext cx="9990477" cy="6457143"/>
        </a:xfrm>
        <a:prstGeom prst="rect">
          <a:avLst/>
        </a:prstGeom>
      </xdr:spPr>
    </xdr:pic>
    <xdr:clientData/>
  </xdr:twoCellAnchor>
  <xdr:twoCellAnchor editAs="oneCell">
    <xdr:from>
      <xdr:col>0</xdr:col>
      <xdr:colOff>0</xdr:colOff>
      <xdr:row>53</xdr:row>
      <xdr:rowOff>0</xdr:rowOff>
    </xdr:from>
    <xdr:to>
      <xdr:col>4</xdr:col>
      <xdr:colOff>342119</xdr:colOff>
      <xdr:row>76</xdr:row>
      <xdr:rowOff>161412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247619" cy="4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 xmlns:a16="http://schemas.microsoft.com/office/drawing/2014/main"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 xmlns:a16="http://schemas.microsoft.com/office/drawing/2014/main"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 xmlns:a16="http://schemas.microsoft.com/office/drawing/2014/main"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15</xdr:col>
      <xdr:colOff>153603</xdr:colOff>
      <xdr:row>19</xdr:row>
      <xdr:rowOff>96235</xdr:rowOff>
    </xdr:from>
    <xdr:to>
      <xdr:col>27</xdr:col>
      <xdr:colOff>20254</xdr:colOff>
      <xdr:row>61</xdr:row>
      <xdr:rowOff>96235</xdr:rowOff>
    </xdr:to>
    <xdr:pic>
      <xdr:nvPicPr>
        <xdr:cNvPr id="54276" name="Picture 4">
          <a:extLst>
            <a:ext uri="{FF2B5EF4-FFF2-40B4-BE49-F238E27FC236}">
              <a16:creationId xmlns="" xmlns:a16="http://schemas.microsoft.com/office/drawing/2014/main"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335500" y="3424511"/>
          <a:ext cx="8012168" cy="7357241"/>
        </a:xfrm>
        <a:prstGeom prst="rect">
          <a:avLst/>
        </a:prstGeom>
        <a:noFill/>
        <a:ln w="1">
          <a:noFill/>
          <a:miter lim="800000"/>
          <a:headEnd/>
          <a:tailEnd type="none" w="med" len="med"/>
        </a:ln>
        <a:effectLst/>
      </xdr:spPr>
    </xdr:pic>
    <xdr:clientData/>
  </xdr:twoCellAnchor>
  <xdr:twoCellAnchor editAs="oneCell">
    <xdr:from>
      <xdr:col>10</xdr:col>
      <xdr:colOff>142327</xdr:colOff>
      <xdr:row>54</xdr:row>
      <xdr:rowOff>153278</xdr:rowOff>
    </xdr:from>
    <xdr:to>
      <xdr:col>18</xdr:col>
      <xdr:colOff>492935</xdr:colOff>
      <xdr:row>89</xdr:row>
      <xdr:rowOff>3196</xdr:rowOff>
    </xdr:to>
    <xdr:pic>
      <xdr:nvPicPr>
        <xdr:cNvPr id="2" name="图片 1"/>
        <xdr:cNvPicPr>
          <a:picLocks noChangeAspect="1"/>
        </xdr:cNvPicPr>
      </xdr:nvPicPr>
      <xdr:blipFill>
        <a:blip xmlns:r="http://schemas.openxmlformats.org/officeDocument/2006/relationships" r:embed="rId5"/>
        <a:stretch>
          <a:fillRect/>
        </a:stretch>
      </xdr:blipFill>
      <xdr:spPr>
        <a:xfrm>
          <a:off x="6930258" y="9612588"/>
          <a:ext cx="5780953" cy="59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 xmlns:a16="http://schemas.microsoft.com/office/drawing/2014/main"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3486;&#24037;&#25237;&#30340;&#22320;(xiaohangai)-&#26446;&#26133;20190910-092708-&#20911;&#24503;&#26234;20190910-1033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59695.06</v>
          </cell>
          <cell r="C14">
            <v>23878.02</v>
          </cell>
          <cell r="D14">
            <v>6620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107481.21平方米。根据《建设工程规划许可证》[]、《出让合同》[]，估价对象规划建筑面积为322443.63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根据《国有土地使用证》[]，估价对象（分摊）出让国有建设用地使用权面积为107481.21平方米。根据《建设工程规划许可证》[]、《出让合同》[]，估价对象规划建筑面积为322443.63平方米。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107481.21</v>
      </c>
    </row>
    <row r="44" spans="1:2">
      <c r="A44" s="2833" t="s">
        <v>2740</v>
      </c>
      <c r="B44" s="2834" t="str">
        <f>'预评函-2'!O3</f>
        <v>规划建筑面积/㎡</v>
      </c>
    </row>
    <row r="45" spans="1:2">
      <c r="A45" s="2833" t="s">
        <v>2722</v>
      </c>
      <c r="B45" s="2834">
        <f>'预评函-2'!O5</f>
        <v>322443.63</v>
      </c>
    </row>
    <row r="46" spans="1:2">
      <c r="A46" s="2833" t="s">
        <v>2723</v>
      </c>
      <c r="B46" s="2834">
        <f ca="1">'预评函-2'!P5</f>
        <v>2722</v>
      </c>
    </row>
    <row r="47" spans="1:2">
      <c r="A47" s="2833" t="s">
        <v>2724</v>
      </c>
      <c r="B47" s="2834">
        <f ca="1">'预评函-2'!Q5</f>
        <v>907</v>
      </c>
    </row>
    <row r="48" spans="1:2">
      <c r="A48" s="2833" t="s">
        <v>2725</v>
      </c>
      <c r="B48" s="2834">
        <f ca="1">'预评函-2'!R5</f>
        <v>29256</v>
      </c>
    </row>
    <row r="49" spans="1:2">
      <c r="A49" s="2833" t="s">
        <v>2741</v>
      </c>
      <c r="B49" s="2834" t="str">
        <f>'预评函-2'!A6</f>
        <v>抵押价格</v>
      </c>
    </row>
    <row r="50" spans="1:2">
      <c r="A50" s="2833" t="s">
        <v>2726</v>
      </c>
      <c r="B50" s="2834">
        <f ca="1">'预评函-2'!R6</f>
        <v>29256</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18864</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B11" sqref="B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4" t="str">
        <f>IF(B10="北京市","北京市",C10)&amp;F10&amp;B16&amp;"国有建设用地使用权"&amp;B9&amp;"预评估"</f>
        <v>出让国有建设用地使用权抵押价格预评估</v>
      </c>
      <c r="C1" s="3265"/>
      <c r="D1" s="3265"/>
      <c r="E1" s="3265"/>
      <c r="F1" s="3265"/>
      <c r="G1" s="3265"/>
      <c r="H1" s="3265"/>
      <c r="I1" s="3266"/>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70"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71"/>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7"/>
      <c r="C12" s="3268"/>
      <c r="D12" s="3269"/>
      <c r="E12" s="1683" t="s">
        <v>2061</v>
      </c>
      <c r="F12" s="3285" t="s">
        <v>2890</v>
      </c>
      <c r="G12" s="3286"/>
      <c r="H12" s="3286"/>
      <c r="I12" s="3287"/>
      <c r="J12" s="1678"/>
      <c r="K12" s="1758"/>
      <c r="L12" s="1707"/>
      <c r="M12" s="1707"/>
      <c r="N12" s="1678"/>
      <c r="O12" s="1679"/>
      <c r="P12" s="1678"/>
      <c r="Q12" s="1678"/>
      <c r="R12" s="1678"/>
      <c r="S12" s="1678"/>
      <c r="T12" s="1678"/>
      <c r="U12" s="1678"/>
    </row>
    <row r="13" spans="1:21">
      <c r="A13" s="1671" t="s">
        <v>2059</v>
      </c>
      <c r="B13" s="3267"/>
      <c r="C13" s="3268"/>
      <c r="D13" s="3269"/>
      <c r="E13" s="1683" t="s">
        <v>2061</v>
      </c>
      <c r="F13" s="3285" t="s">
        <v>2891</v>
      </c>
      <c r="G13" s="3286"/>
      <c r="H13" s="3286"/>
      <c r="I13" s="328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2"/>
      <c r="E20" s="3283"/>
      <c r="F20" s="3283"/>
      <c r="G20" s="3283"/>
      <c r="H20" s="3283"/>
      <c r="I20" s="3284"/>
      <c r="J20" s="1678"/>
      <c r="K20" s="1758"/>
      <c r="L20" s="1707"/>
      <c r="M20" s="1707"/>
      <c r="N20" s="1678"/>
      <c r="O20" s="1679"/>
      <c r="P20" s="1678"/>
      <c r="Q20" s="1678"/>
      <c r="R20" s="1678"/>
      <c r="S20" s="1678"/>
      <c r="T20" s="1678"/>
      <c r="U20" s="1678"/>
    </row>
    <row r="21" spans="1:21">
      <c r="A21" s="1747" t="s">
        <v>1958</v>
      </c>
      <c r="B21" s="1748" t="s">
        <v>1959</v>
      </c>
      <c r="C21" s="1743">
        <f>'数据-汇总表'!E3</f>
        <v>322443.63</v>
      </c>
      <c r="D21" s="1744" t="s">
        <v>1960</v>
      </c>
      <c r="E21" s="3272" t="s">
        <v>1998</v>
      </c>
      <c r="F21" s="3273"/>
      <c r="G21" s="3273"/>
      <c r="H21" s="3273"/>
      <c r="I21" s="3274"/>
      <c r="J21" s="1678"/>
      <c r="K21" s="1758"/>
      <c r="L21" s="1707"/>
      <c r="M21" s="1707"/>
      <c r="N21" s="1678"/>
      <c r="O21" s="1679"/>
      <c r="P21" s="1678"/>
      <c r="Q21" s="1678"/>
      <c r="R21" s="1678"/>
      <c r="S21" s="1678"/>
      <c r="T21" s="1678"/>
      <c r="U21" s="1678"/>
    </row>
    <row r="22" spans="1:21">
      <c r="A22" s="3097" t="s">
        <v>952</v>
      </c>
      <c r="B22" s="1645" t="s">
        <v>1961</v>
      </c>
      <c r="C22" s="1670">
        <f>'数据-汇总表'!D3</f>
        <v>107481.21</v>
      </c>
      <c r="D22" s="1671" t="s">
        <v>1960</v>
      </c>
      <c r="E22" s="3272" t="s">
        <v>2892</v>
      </c>
      <c r="F22" s="3273"/>
      <c r="G22" s="3273"/>
      <c r="H22" s="3273"/>
      <c r="I22" s="3274"/>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5" t="s">
        <v>1966</v>
      </c>
      <c r="C24" s="3276"/>
      <c r="D24" s="3277" t="s">
        <v>1967</v>
      </c>
      <c r="E24" s="3278"/>
      <c r="F24" s="1692" t="s">
        <v>1968</v>
      </c>
      <c r="G24" s="1678"/>
      <c r="H24" s="1678"/>
      <c r="I24" s="1691"/>
      <c r="J24" s="1678"/>
      <c r="K24" s="326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9" t="s">
        <v>2001</v>
      </c>
      <c r="B31" s="1748" t="s">
        <v>2002</v>
      </c>
      <c r="C31" s="3288"/>
      <c r="D31" s="3289"/>
      <c r="E31" s="1678"/>
      <c r="F31" s="1678"/>
      <c r="G31" s="1678"/>
      <c r="H31" s="1678"/>
      <c r="I31" s="1691"/>
      <c r="J31" s="1678"/>
      <c r="K31" s="2422"/>
      <c r="L31" s="1678"/>
      <c r="M31" s="1678"/>
      <c r="N31" s="1678"/>
      <c r="O31" s="1678"/>
      <c r="P31" s="1678"/>
      <c r="Q31" s="1678"/>
      <c r="R31" s="1678"/>
      <c r="S31" s="1678"/>
      <c r="T31" s="1678"/>
      <c r="U31" s="1678"/>
    </row>
    <row r="32" spans="1:21">
      <c r="A32" s="324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2005</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c r="C35" s="1760" t="str">
        <f>IF(B35="场地平整","——","具体情况：")</f>
        <v>具体情况：</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2054</v>
      </c>
      <c r="C36" s="3259"/>
      <c r="D36" s="1776"/>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28.5">
      <c r="A37" s="3249"/>
      <c r="B37" s="327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80"/>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8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2" t="s">
        <v>1985</v>
      </c>
      <c r="T40" s="1715" t="str">
        <f>NUMBERSTRING(7-K40,1)&amp;"通"</f>
        <v>七通</v>
      </c>
      <c r="U40" s="1678"/>
    </row>
    <row r="41" spans="1:21">
      <c r="A41" s="1647"/>
      <c r="B41" s="3254" t="s">
        <v>1721</v>
      </c>
      <c r="C41" s="3254"/>
      <c r="D41" s="3254"/>
      <c r="E41" s="325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107481.21</v>
      </c>
      <c r="B3" s="22">
        <f>IF(C3="否",G5-AT5,G5)</f>
        <v>322443.63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322443.63</v>
      </c>
      <c r="H5" s="27">
        <f t="shared" ref="H5:AT5" si="0">SUM(H13:H641)</f>
        <v>322443.63</v>
      </c>
      <c r="I5" s="27">
        <f t="shared" si="0"/>
        <v>96733.09</v>
      </c>
      <c r="J5" s="27">
        <f t="shared" si="0"/>
        <v>0</v>
      </c>
      <c r="K5" s="27">
        <f t="shared" si="0"/>
        <v>225710.54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322443.63</v>
      </c>
      <c r="BA5" s="29">
        <f t="shared" si="1"/>
        <v>322443.63</v>
      </c>
      <c r="BB5" s="29">
        <f t="shared" si="1"/>
        <v>96733.09</v>
      </c>
      <c r="BC5" s="29">
        <f t="shared" si="1"/>
        <v>225710.54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107481.21</v>
      </c>
      <c r="F6" s="27" t="s">
        <v>1</v>
      </c>
      <c r="G6" s="27" t="s">
        <v>2</v>
      </c>
      <c r="H6" s="33">
        <f>SUMIF(I$12:AB$12,"总值",I6:AB6)</f>
        <v>107481.21</v>
      </c>
      <c r="I6" s="27">
        <f t="shared" ref="I6:AB6" si="2">ROUND($A$3*I5/$B$3,2)</f>
        <v>32244.36</v>
      </c>
      <c r="J6" s="27">
        <f t="shared" si="2"/>
        <v>0</v>
      </c>
      <c r="K6" s="27">
        <f t="shared" si="2"/>
        <v>75236.850000000006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107481.21</v>
      </c>
      <c r="AZ6" s="27" t="s">
        <v>3</v>
      </c>
      <c r="BA6" s="27">
        <f>ROUND($AY$6*BA5/$AZ$5,2)</f>
        <v>107481.21</v>
      </c>
      <c r="BB6" s="27">
        <f>ROUND($AY$6*BB5/$AZ$5,2)</f>
        <v>32244.36</v>
      </c>
      <c r="BC6" s="27">
        <f t="shared" ref="BC6:BH6" si="4">ROUND($AY$6*BC5/$AZ$5,2)</f>
        <v>75236.850000000006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32244.36</v>
      </c>
      <c r="F13" s="81"/>
      <c r="G13" s="82">
        <f t="shared" ref="G13:G20" si="7">H13+AC13+AT13</f>
        <v>96733.09</v>
      </c>
      <c r="H13" s="33">
        <f t="shared" ref="H13:H20" si="8">SUMIF(I$12:AB$12,"总值",I13:AB13)</f>
        <v>96733.09</v>
      </c>
      <c r="I13" s="3203">
        <f>ROUND((A3*3*0.3),2)</f>
        <v>96733.09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32244.36</v>
      </c>
      <c r="AZ13" s="27">
        <f t="shared" ref="AZ13:AZ20" si="12">BA13+BL13</f>
        <v>96733.09</v>
      </c>
      <c r="BA13" s="27">
        <f t="shared" ref="BA13:BA20" si="13">SUM(BB13:BK13)</f>
        <v>96733.09</v>
      </c>
      <c r="BB13" s="27">
        <f t="shared" ref="BB13:BB20" si="14">IF($D13="是",I13-J13,0)</f>
        <v>96733.09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75236.850000000006</v>
      </c>
      <c r="F14" s="81"/>
      <c r="G14" s="82">
        <f t="shared" si="7"/>
        <v>225710.54</v>
      </c>
      <c r="H14" s="33">
        <f t="shared" si="8"/>
        <v>225710.54</v>
      </c>
      <c r="I14" s="2970"/>
      <c r="J14" s="2970"/>
      <c r="K14" s="3203">
        <f>ROUND((A3*3*0.7),2)</f>
        <v>225710.54</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75236.850000000006</v>
      </c>
      <c r="AZ14" s="27">
        <f t="shared" si="12"/>
        <v>225710.54</v>
      </c>
      <c r="BA14" s="27">
        <f t="shared" si="13"/>
        <v>225710.54</v>
      </c>
      <c r="BB14" s="27">
        <f t="shared" si="14"/>
        <v>0</v>
      </c>
      <c r="BC14" s="27">
        <f t="shared" si="15"/>
        <v>225710.54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5" zoomScale="90" zoomScaleNormal="90" zoomScaleSheetLayoutView="90" workbookViewId="0">
      <selection activeCell="C19" sqref="C19:C33"/>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301" t="s">
        <v>203</v>
      </c>
      <c r="B2" s="3301"/>
      <c r="C2" s="3301"/>
      <c r="D2" s="1960" t="s">
        <v>204</v>
      </c>
      <c r="E2" s="106" t="s">
        <v>205</v>
      </c>
      <c r="F2" s="1969"/>
      <c r="G2" s="1194"/>
      <c r="H2" s="1195"/>
      <c r="I2" s="1196" t="s">
        <v>857</v>
      </c>
      <c r="J2" s="1969"/>
      <c r="K2" s="1969"/>
      <c r="L2" s="1969"/>
    </row>
    <row r="3" spans="1:16" ht="15.75" thickBot="1">
      <c r="A3" s="3302" t="s">
        <v>206</v>
      </c>
      <c r="B3" s="3302"/>
      <c r="C3" s="3302"/>
      <c r="D3" s="107">
        <f>'数据-基础表'!AY6</f>
        <v>107481.21</v>
      </c>
      <c r="E3" s="107">
        <f>'数据-基础表'!AZ5</f>
        <v>322443.63</v>
      </c>
      <c r="F3" s="1969"/>
      <c r="G3" s="280" t="s">
        <v>858</v>
      </c>
      <c r="H3" s="275" t="s">
        <v>859</v>
      </c>
      <c r="I3" s="1961">
        <f>ROUND('数据-基础表'!B3/'数据-基础表'!A3,2)</f>
        <v>3</v>
      </c>
      <c r="J3" s="1969"/>
      <c r="K3" s="1969"/>
      <c r="L3" s="1969"/>
    </row>
    <row r="4" spans="1:16" ht="15">
      <c r="A4" s="3303"/>
      <c r="B4" s="3304"/>
      <c r="C4" s="3305"/>
      <c r="D4" s="108" t="s">
        <v>204</v>
      </c>
      <c r="E4" s="109" t="s">
        <v>205</v>
      </c>
      <c r="F4" s="1969"/>
      <c r="G4" s="1197"/>
      <c r="H4" s="275" t="s">
        <v>860</v>
      </c>
      <c r="I4" s="1961">
        <f>ROUND(SUMIF('数据-基础表'!I9:AS9,"地上",'数据-基础表'!I5:AS5)/'数据-基础表'!A3,2)</f>
        <v>3</v>
      </c>
      <c r="J4" s="1969"/>
      <c r="K4" s="1969"/>
      <c r="L4" s="1969"/>
    </row>
    <row r="5" spans="1:16">
      <c r="A5" s="110" t="s">
        <v>207</v>
      </c>
      <c r="B5" s="3306" t="s">
        <v>230</v>
      </c>
      <c r="C5" s="3306"/>
      <c r="D5" s="111">
        <f>ROUND($D$3*E5/$E$3,2)</f>
        <v>32244.36</v>
      </c>
      <c r="E5" s="112">
        <f>SUMIF('数据-基础表'!$11:$11,"住宅",'数据-基础表'!$5:$5)</f>
        <v>96733.09</v>
      </c>
      <c r="F5" s="1969"/>
      <c r="G5" s="280" t="s">
        <v>861</v>
      </c>
      <c r="H5" s="275" t="s">
        <v>859</v>
      </c>
      <c r="I5" s="1961">
        <f>ROUND(E31/D31,2)</f>
        <v>3</v>
      </c>
      <c r="J5" s="1969"/>
      <c r="K5" s="1969"/>
      <c r="L5" s="1969"/>
    </row>
    <row r="6" spans="1:16" ht="15" thickBot="1">
      <c r="A6" s="113"/>
      <c r="B6" s="3306" t="s">
        <v>208</v>
      </c>
      <c r="C6" s="3306"/>
      <c r="D6" s="111">
        <f>ROUND($D$3*E6/$E$3,2)</f>
        <v>75236.850000000006</v>
      </c>
      <c r="E6" s="112">
        <f>E3-E5</f>
        <v>225710.54</v>
      </c>
      <c r="F6" s="1969"/>
      <c r="G6" s="1197"/>
      <c r="H6" s="275" t="s">
        <v>860</v>
      </c>
      <c r="I6" s="1961">
        <f>ROUND(F31/D31,2)</f>
        <v>3</v>
      </c>
      <c r="J6" s="1969"/>
      <c r="K6" s="1969"/>
      <c r="L6" s="1969"/>
    </row>
    <row r="7" spans="1:16" ht="15">
      <c r="A7" s="3298"/>
      <c r="B7" s="3299"/>
      <c r="C7" s="3300"/>
      <c r="D7" s="108" t="s">
        <v>204</v>
      </c>
      <c r="E7" s="114" t="s">
        <v>231</v>
      </c>
      <c r="F7" s="1969"/>
      <c r="G7" s="1152" t="s">
        <v>1645</v>
      </c>
      <c r="H7" s="1153"/>
      <c r="I7" s="1831"/>
      <c r="J7" s="1969"/>
      <c r="K7" s="1969"/>
      <c r="L7" s="1969"/>
    </row>
    <row r="8" spans="1:16">
      <c r="A8" s="110" t="s">
        <v>209</v>
      </c>
      <c r="B8" s="115" t="s">
        <v>210</v>
      </c>
      <c r="C8" s="111" t="s">
        <v>211</v>
      </c>
      <c r="D8" s="111">
        <f t="shared" ref="D8:D15" si="0">ROUND($D$3*E8/$E$3,2)</f>
        <v>107481.21</v>
      </c>
      <c r="E8" s="116">
        <f>SUMIF('数据-基础表'!BB10:BK10,"地上",'数据-基础表'!BB5:BK5)</f>
        <v>322443.63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107481.21</v>
      </c>
      <c r="E16" s="120">
        <f>SUM(E8:E15)</f>
        <v>322443.63</v>
      </c>
      <c r="F16" s="1969"/>
      <c r="G16" s="1971"/>
      <c r="H16" s="968" t="s">
        <v>219</v>
      </c>
      <c r="I16" s="969"/>
      <c r="J16" s="1969"/>
      <c r="K16" s="3292" t="s">
        <v>2566</v>
      </c>
      <c r="L16" s="3293"/>
      <c r="M16" s="3293"/>
      <c r="N16" s="3293"/>
      <c r="O16" s="3293"/>
      <c r="P16" s="3294"/>
    </row>
    <row r="17" spans="1:19" ht="15">
      <c r="A17" s="121" t="s">
        <v>216</v>
      </c>
      <c r="B17" s="122" t="s">
        <v>217</v>
      </c>
      <c r="C17" s="2283" t="s">
        <v>2313</v>
      </c>
      <c r="D17" s="108" t="s">
        <v>204</v>
      </c>
      <c r="E17" s="124" t="s">
        <v>205</v>
      </c>
      <c r="F17" s="125"/>
      <c r="G17" s="1362"/>
      <c r="H17" s="970" t="s">
        <v>218</v>
      </c>
      <c r="I17" s="971" t="s">
        <v>2312</v>
      </c>
      <c r="J17" s="1969"/>
      <c r="K17" s="3295" t="s">
        <v>2567</v>
      </c>
      <c r="L17" s="3296"/>
      <c r="M17" s="3297"/>
      <c r="N17" s="3295" t="s">
        <v>2568</v>
      </c>
      <c r="O17" s="3296"/>
      <c r="P17" s="329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32244.36</v>
      </c>
      <c r="E19" s="134">
        <f t="shared" ref="E19:E26" si="2">SUM(F19:G19)</f>
        <v>96733.09</v>
      </c>
      <c r="F19" s="135">
        <f>'数据-基础表'!I13</f>
        <v>96733.09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32244.36</v>
      </c>
      <c r="S19" s="2286">
        <f t="shared" si="5"/>
        <v>96733.09</v>
      </c>
    </row>
    <row r="20" spans="1:19">
      <c r="A20" s="138"/>
      <c r="B20" s="115" t="s">
        <v>226</v>
      </c>
      <c r="C20" s="2977" t="s">
        <v>3069</v>
      </c>
      <c r="D20" s="111">
        <f t="shared" si="1"/>
        <v>75236.850000000006</v>
      </c>
      <c r="E20" s="134">
        <f t="shared" si="2"/>
        <v>225710.54</v>
      </c>
      <c r="F20" s="135">
        <f>'数据-基础表'!K14</f>
        <v>225710.54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75236.850000000006</v>
      </c>
      <c r="S20" s="2286">
        <f t="shared" si="5"/>
        <v>225710.54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107481.21</v>
      </c>
      <c r="E27" s="143">
        <f>IF(SUM(E19:E26)='数据-基础表'!BA5,SUM(E19:E26),IF(F27="地上面积有误","面积有误","地下面积有误"))</f>
        <v>322443.63</v>
      </c>
      <c r="F27" s="134">
        <f>IF(SUM(F19:F26)=E8,SUM(F19:F26),"地上面积有误")</f>
        <v>322443.63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107481.21</v>
      </c>
      <c r="S27" s="275">
        <f>IF(SUM(S19:S26)=$E$3,SUM(S19:S26),SUM(S19:S26)&amp;"误差"&amp;ROUND(SUM(S19:S26)-E3,2))</f>
        <v>322443.63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107481.21</v>
      </c>
      <c r="E31" s="1368">
        <f>E27+E30</f>
        <v>322443.63</v>
      </c>
      <c r="F31" s="1369">
        <f>F27+F30</f>
        <v>322443.63</v>
      </c>
      <c r="G31" s="1370">
        <f>G27+G30</f>
        <v>0</v>
      </c>
      <c r="H31" s="1969"/>
      <c r="I31" s="1969"/>
      <c r="J31" s="1969"/>
      <c r="K31" s="1969"/>
      <c r="L31" s="1969"/>
    </row>
    <row r="32" spans="1:19">
      <c r="A32" s="1969"/>
      <c r="B32" s="2327" t="s">
        <v>2321</v>
      </c>
      <c r="C32" s="2611"/>
      <c r="D32" s="1197"/>
      <c r="E32" s="1197">
        <f>SUMIF(C19:C26,"*住宅*",E19:E26)</f>
        <v>96733.09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21" activePane="bottomRight" state="frozen"/>
      <selection pane="topRight" activeCell="D1" sqref="D1"/>
      <selection pane="bottomLeft" activeCell="A4" sqref="A4"/>
      <selection pane="bottomRight" activeCell="B30" sqref="B30"/>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96733.09</v>
      </c>
      <c r="L6" s="2979">
        <v>1800</v>
      </c>
      <c r="M6" s="177">
        <f t="shared" ref="M6:M14" si="0">ROUND(K6*L6/10000,0)</f>
        <v>17412</v>
      </c>
      <c r="N6" s="2980">
        <v>0</v>
      </c>
      <c r="O6" s="177">
        <f>IF($N$5="成新度","——",ROUND(M6*N6,0))</f>
        <v>0</v>
      </c>
      <c r="P6" s="178">
        <f>IF($N$5="成新度","——",M6-O6)</f>
        <v>17412</v>
      </c>
      <c r="Q6" s="3206">
        <v>0.15</v>
      </c>
      <c r="R6" s="179">
        <f>SUMIF('数据-汇总表'!C$19:C$33,A6,'数据-汇总表'!R$19:R$33)</f>
        <v>32244.36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225710.54</v>
      </c>
      <c r="L7" s="3205">
        <v>2000</v>
      </c>
      <c r="M7" s="177">
        <f t="shared" si="0"/>
        <v>45142</v>
      </c>
      <c r="N7" s="2980">
        <v>0</v>
      </c>
      <c r="O7" s="177">
        <f t="shared" ref="O7:O14" si="3">IF($N$5="成新度","——",ROUND(M7*N7,0))</f>
        <v>0</v>
      </c>
      <c r="P7" s="178">
        <f t="shared" ref="P7:P14" si="4">IF($N$5="成新度","——",M7-O7)</f>
        <v>45142</v>
      </c>
      <c r="Q7" s="3206">
        <v>0.2</v>
      </c>
      <c r="R7" s="179">
        <f>SUMIF('数据-汇总表'!C$19:C$33,A7,'数据-汇总表'!R$19:R$33)</f>
        <v>75236.850000000006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v>
      </c>
      <c r="V7" s="181">
        <v>0.03</v>
      </c>
      <c r="W7" s="181">
        <v>0.15</v>
      </c>
      <c r="X7" s="2306"/>
      <c r="Y7" s="182">
        <v>1</v>
      </c>
      <c r="Z7" s="183"/>
      <c r="AA7" s="176"/>
      <c r="AB7" s="176"/>
      <c r="AC7" s="2309"/>
      <c r="AD7" s="184"/>
      <c r="AE7" s="972">
        <f t="shared" ref="AE7:AE13" ca="1" si="6">IF(AN7="",0,SUMIF(INDIRECT("'"&amp;AN7&amp;"'"&amp;"!E:E"),$AE$5,INDIRECT("'"&amp;AN7&amp;"'"&amp;"!F:F")))</f>
        <v>35.82</v>
      </c>
      <c r="AF7" s="141"/>
      <c r="AG7" s="1209">
        <f t="shared" ref="AG7:AG13" si="7">IF(AF7="",0,AE7-AF7)</f>
        <v>0</v>
      </c>
      <c r="AH7" s="141"/>
      <c r="AI7" s="187">
        <v>365</v>
      </c>
      <c r="AJ7" s="188"/>
      <c r="AK7" s="189">
        <v>1.4999999999999999E-2</v>
      </c>
      <c r="AL7" s="190">
        <v>1.5E-3</v>
      </c>
      <c r="AM7" s="3217">
        <v>0.01</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322443.63</v>
      </c>
      <c r="L16" s="206">
        <f>ROUND(M16*10000/SUM(K6:K14),0)</f>
        <v>1940</v>
      </c>
      <c r="M16" s="206">
        <f>SUM(M6:M14)</f>
        <v>62554</v>
      </c>
      <c r="N16" s="207">
        <f>ROUND(SUMPRODUCT(M6:M14,N6:N14)/M16,3)</f>
        <v>0</v>
      </c>
      <c r="O16" s="206">
        <f>SUM(O6:O14)</f>
        <v>0</v>
      </c>
      <c r="P16" s="206">
        <f>SUM(P6:P14)</f>
        <v>62554</v>
      </c>
      <c r="Q16" s="208">
        <f>ROUND(SUMPRODUCT(Q6:Q13,K6:K13)/SUMPRODUCT((Q6:Q13&gt;0)*(K6:K13)),2)</f>
        <v>0.18</v>
      </c>
      <c r="R16" s="2296">
        <f>SUM(R6:R13)</f>
        <v>107481.21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3107</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2.5</v>
      </c>
      <c r="C20" s="2328" t="s">
        <v>2335</v>
      </c>
      <c r="D20" s="1978"/>
      <c r="E20" s="1977"/>
      <c r="F20" s="1977"/>
      <c r="G20" s="1977"/>
      <c r="H20" s="1977"/>
      <c r="I20" s="1977"/>
      <c r="J20" s="1977"/>
      <c r="K20" s="1976"/>
      <c r="L20" s="1976"/>
      <c r="M20" s="1974"/>
      <c r="N20" s="1974"/>
      <c r="O20" s="1974"/>
      <c r="P20" s="1974"/>
      <c r="Q20" s="1974"/>
      <c r="R20" s="1974"/>
      <c r="S20" s="1974"/>
      <c r="T20" s="1974"/>
      <c r="U20" s="1974" t="s">
        <v>3106</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3108</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t="s">
        <v>3109</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4"/>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83"/>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3:C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07" t="s">
        <v>1663</v>
      </c>
      <c r="B1" s="3308"/>
      <c r="C1" s="3308"/>
      <c r="D1" s="3308"/>
      <c r="E1" s="3308"/>
      <c r="F1" s="3308"/>
      <c r="G1" s="330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2997" t="s">
        <v>2844</v>
      </c>
      <c r="B1" s="2997">
        <f>SUM(B14:B23)</f>
        <v>382138.69</v>
      </c>
      <c r="C1" s="2998"/>
      <c r="D1" s="2998"/>
      <c r="E1" s="2998"/>
      <c r="F1" s="2998"/>
    </row>
    <row r="2" spans="1:9" ht="16.5">
      <c r="A2" s="2997" t="s">
        <v>2845</v>
      </c>
      <c r="B2" s="2997">
        <f>SUM(C14:C23)</f>
        <v>131359.23000000001</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35876</v>
      </c>
      <c r="C5" s="2997">
        <f ca="1">ROUND(B5*10000/$B$1,0)</f>
        <v>939</v>
      </c>
      <c r="D5" s="2997">
        <f ca="1">ROUND(B5*10000/$B$2,0)</f>
        <v>2731</v>
      </c>
      <c r="E5" s="2998"/>
      <c r="F5" s="2998"/>
    </row>
    <row r="6" spans="1:9" ht="16.5">
      <c r="A6" s="2997" t="s">
        <v>2852</v>
      </c>
      <c r="B6" s="2997">
        <f ca="1">SUM(G14:G23)</f>
        <v>35876</v>
      </c>
      <c r="C6" s="2997">
        <f t="shared" ref="C6:C8" ca="1" si="0">ROUND(B6*10000/$B$1,0)</f>
        <v>939</v>
      </c>
      <c r="D6" s="2997">
        <f t="shared" ref="D6:D8" ca="1" si="1">ROUND(B6*10000/$B$2,0)</f>
        <v>2731</v>
      </c>
      <c r="E6" s="2998"/>
      <c r="F6" s="2998"/>
    </row>
    <row r="7" spans="1:9" ht="16.5">
      <c r="A7" s="2997" t="s">
        <v>2853</v>
      </c>
      <c r="B7" s="2997">
        <f>SUM(H14:H23)</f>
        <v>0</v>
      </c>
      <c r="C7" s="2997">
        <f t="shared" si="0"/>
        <v>0</v>
      </c>
      <c r="D7" s="2997">
        <f t="shared" si="1"/>
        <v>0</v>
      </c>
      <c r="E7" s="2998"/>
      <c r="F7" s="2998"/>
    </row>
    <row r="8" spans="1:9" ht="16.5">
      <c r="A8" s="2997" t="s">
        <v>2854</v>
      </c>
      <c r="B8" s="2997">
        <f ca="1">SUM(I14:I23)</f>
        <v>18864</v>
      </c>
      <c r="C8" s="2997">
        <f t="shared" ca="1" si="0"/>
        <v>494</v>
      </c>
      <c r="D8" s="2997">
        <f t="shared" ca="1" si="1"/>
        <v>1436</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322443.63</v>
      </c>
      <c r="C14" s="3001">
        <f>结果表!K38</f>
        <v>107481.21</v>
      </c>
      <c r="D14" s="3001">
        <f ca="1">结果表!C42</f>
        <v>29256</v>
      </c>
      <c r="E14" s="3001">
        <f ca="1">ROUND(D14*10000/B14,0)</f>
        <v>907</v>
      </c>
      <c r="F14" s="3001">
        <f ca="1">ROUND(D14*10000/C14,0)</f>
        <v>2722</v>
      </c>
      <c r="G14" s="3001">
        <f ca="1">结果表!C44</f>
        <v>29256</v>
      </c>
      <c r="H14" s="3001" t="str">
        <f>结果表!C45</f>
        <v>——</v>
      </c>
      <c r="I14" s="3001">
        <f ca="1">结果表!C46</f>
        <v>18864</v>
      </c>
    </row>
    <row r="15" spans="1:9" ht="16.5">
      <c r="A15" s="3004" t="s">
        <v>2861</v>
      </c>
      <c r="B15" s="3005">
        <f>[1]系统读取表!$B$14</f>
        <v>59695.06</v>
      </c>
      <c r="C15" s="3005">
        <f>[1]系统读取表!$C$14</f>
        <v>23878.02</v>
      </c>
      <c r="D15" s="3005">
        <f>[1]系统读取表!$D$14</f>
        <v>6620</v>
      </c>
      <c r="E15" s="3001">
        <f t="shared" ref="E15:E23" si="2">ROUND(D15*10000/B15,0)</f>
        <v>1109</v>
      </c>
      <c r="F15" s="3001">
        <f t="shared" ref="F15:F23" si="3">ROUND(D15*10000/C15,0)</f>
        <v>2772</v>
      </c>
      <c r="G15" s="3002">
        <f>D15</f>
        <v>6620</v>
      </c>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 zoomScaleSheetLayoutView="100" zoomScalePageLayoutView="80" workbookViewId="0">
      <selection activeCell="N19" sqref="N19"/>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45" t="str">
        <f>项目基本情况!K2</f>
        <v>出让国有建设用地使用权</v>
      </c>
      <c r="B2" s="3346"/>
      <c r="C2" s="3347"/>
      <c r="D2" s="3347"/>
      <c r="E2" s="3347"/>
      <c r="F2" s="3347"/>
      <c r="G2" s="3346"/>
      <c r="H2" s="3346"/>
      <c r="I2" s="3348"/>
      <c r="J2" s="2015"/>
      <c r="K2" s="2014"/>
      <c r="L2" s="2014"/>
      <c r="M2" s="2014"/>
      <c r="N2" s="2014"/>
      <c r="O2" s="2014"/>
      <c r="P2" s="2014"/>
      <c r="Q2" s="2014"/>
      <c r="R2" s="2014"/>
      <c r="S2" s="2014"/>
      <c r="T2" s="2014"/>
      <c r="U2" s="2014"/>
      <c r="V2" s="2014"/>
    </row>
    <row r="3" spans="1:22" ht="14.25">
      <c r="A3" s="3338" t="s">
        <v>298</v>
      </c>
      <c r="B3" s="3339"/>
      <c r="C3" s="3339"/>
      <c r="D3" s="3339"/>
      <c r="E3" s="3339"/>
      <c r="F3" s="3339"/>
      <c r="G3" s="3339"/>
      <c r="H3" s="3339"/>
      <c r="I3" s="3339"/>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10" t="s">
        <v>301</v>
      </c>
      <c r="F4" s="3311"/>
      <c r="G4" s="3311"/>
      <c r="H4" s="3311"/>
      <c r="I4" s="334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9" t="s">
        <v>302</v>
      </c>
      <c r="B5" s="3335">
        <v>25</v>
      </c>
      <c r="C5" s="3333"/>
      <c r="D5" s="3337"/>
      <c r="E5" s="261" t="s">
        <v>303</v>
      </c>
      <c r="F5" s="262"/>
      <c r="G5" s="262"/>
      <c r="H5" s="262"/>
      <c r="I5" s="263"/>
      <c r="J5" s="2015"/>
      <c r="K5" s="3216" t="s">
        <v>3168</v>
      </c>
      <c r="L5" s="2014">
        <f>M23</f>
        <v>22588</v>
      </c>
      <c r="M5" s="2014">
        <f ca="1">D19</f>
        <v>26784</v>
      </c>
      <c r="N5" s="2014"/>
      <c r="O5" s="2014"/>
      <c r="P5" s="2014"/>
      <c r="Q5" s="2014"/>
      <c r="R5" s="2014"/>
      <c r="S5" s="2014"/>
      <c r="T5" s="2014"/>
      <c r="U5" s="2014"/>
      <c r="V5" s="2014"/>
    </row>
    <row r="6" spans="1:22" ht="14.25">
      <c r="A6" s="3309"/>
      <c r="B6" s="3335"/>
      <c r="C6" s="3336"/>
      <c r="D6" s="3337"/>
      <c r="E6" s="261" t="s">
        <v>304</v>
      </c>
      <c r="F6" s="262"/>
      <c r="G6" s="262"/>
      <c r="H6" s="262"/>
      <c r="I6" s="263"/>
      <c r="J6" s="2015"/>
      <c r="K6" s="3216" t="s">
        <v>3165</v>
      </c>
      <c r="L6" s="2014">
        <v>0.5</v>
      </c>
      <c r="M6" s="2014">
        <v>0.5</v>
      </c>
      <c r="N6" s="2014"/>
      <c r="O6" s="2014"/>
      <c r="P6" s="2014"/>
      <c r="Q6" s="2014"/>
      <c r="R6" s="2014"/>
      <c r="S6" s="2014"/>
      <c r="T6" s="2014"/>
      <c r="U6" s="2014"/>
      <c r="V6" s="2014"/>
    </row>
    <row r="7" spans="1:22" ht="14.25">
      <c r="A7" s="3309"/>
      <c r="B7" s="3335"/>
      <c r="C7" s="3334"/>
      <c r="D7" s="3337"/>
      <c r="E7" s="261" t="s">
        <v>305</v>
      </c>
      <c r="F7" s="262"/>
      <c r="G7" s="262"/>
      <c r="H7" s="262"/>
      <c r="I7" s="263"/>
      <c r="J7" s="2015"/>
      <c r="K7" s="3216" t="s">
        <v>3169</v>
      </c>
      <c r="L7" s="2014"/>
      <c r="M7" s="2014">
        <f ca="1">ROUND((L5*L6+M5*M6),0)</f>
        <v>24686</v>
      </c>
      <c r="N7" s="2014"/>
      <c r="O7" s="2014"/>
      <c r="P7" s="2014"/>
      <c r="Q7" s="2014"/>
      <c r="R7" s="2014"/>
      <c r="S7" s="2014"/>
      <c r="T7" s="2014"/>
      <c r="U7" s="2014"/>
      <c r="V7" s="2014"/>
    </row>
    <row r="8" spans="1:22" ht="14.25">
      <c r="A8" s="3309" t="s">
        <v>306</v>
      </c>
      <c r="B8" s="3335">
        <v>15</v>
      </c>
      <c r="C8" s="3333"/>
      <c r="D8" s="3337"/>
      <c r="E8" s="261" t="s">
        <v>307</v>
      </c>
      <c r="F8" s="262"/>
      <c r="G8" s="262"/>
      <c r="H8" s="262"/>
      <c r="I8" s="263"/>
      <c r="J8" s="2015"/>
      <c r="K8" s="2014"/>
      <c r="L8" s="2014"/>
      <c r="M8" s="2014"/>
      <c r="N8" s="2014"/>
      <c r="O8" s="2014"/>
      <c r="P8" s="2014"/>
      <c r="Q8" s="2014"/>
      <c r="R8" s="2014"/>
      <c r="S8" s="2014"/>
      <c r="T8" s="2014"/>
      <c r="U8" s="2014"/>
      <c r="V8" s="2014"/>
    </row>
    <row r="9" spans="1:22" ht="14.25">
      <c r="A9" s="3309"/>
      <c r="B9" s="3335"/>
      <c r="C9" s="3334"/>
      <c r="D9" s="3337"/>
      <c r="E9" s="261" t="s">
        <v>308</v>
      </c>
      <c r="F9" s="262"/>
      <c r="G9" s="262"/>
      <c r="H9" s="262"/>
      <c r="I9" s="263"/>
      <c r="J9" s="2015"/>
      <c r="K9" s="3216" t="s">
        <v>3175</v>
      </c>
      <c r="L9" s="2014">
        <v>701</v>
      </c>
      <c r="M9" s="2014">
        <v>831</v>
      </c>
      <c r="N9" s="2014"/>
      <c r="O9" s="2014"/>
      <c r="P9" s="2014"/>
      <c r="Q9" s="2014"/>
      <c r="R9" s="2014"/>
      <c r="S9" s="2014"/>
      <c r="T9" s="2014"/>
      <c r="U9" s="2014"/>
      <c r="V9" s="2014"/>
    </row>
    <row r="10" spans="1:22" ht="14.25">
      <c r="A10" s="3309" t="s">
        <v>309</v>
      </c>
      <c r="B10" s="3335">
        <v>15</v>
      </c>
      <c r="C10" s="3333"/>
      <c r="D10" s="3337"/>
      <c r="E10" s="261" t="s">
        <v>310</v>
      </c>
      <c r="F10" s="262"/>
      <c r="G10" s="262"/>
      <c r="H10" s="262"/>
      <c r="I10" s="263"/>
      <c r="J10" s="2015"/>
      <c r="K10" s="3216" t="s">
        <v>3176</v>
      </c>
      <c r="L10" s="2014"/>
      <c r="M10" s="2014">
        <f>ROUND((L9+M9)/2,0)</f>
        <v>766</v>
      </c>
      <c r="N10" s="2014"/>
      <c r="O10" s="2014"/>
      <c r="P10" s="2014"/>
      <c r="Q10" s="2014"/>
      <c r="R10" s="2014"/>
      <c r="S10" s="2014"/>
      <c r="T10" s="2014"/>
      <c r="U10" s="2014"/>
      <c r="V10" s="2014"/>
    </row>
    <row r="11" spans="1:22" ht="14.25">
      <c r="A11" s="3309"/>
      <c r="B11" s="3335"/>
      <c r="C11" s="3334"/>
      <c r="D11" s="3337"/>
      <c r="E11" s="261" t="s">
        <v>311</v>
      </c>
      <c r="F11" s="262"/>
      <c r="G11" s="262"/>
      <c r="H11" s="262"/>
      <c r="I11" s="263"/>
      <c r="J11" s="2015"/>
      <c r="K11" s="3216" t="s">
        <v>3177</v>
      </c>
      <c r="L11" s="2014">
        <v>2102</v>
      </c>
      <c r="M11" s="2014">
        <v>2492</v>
      </c>
      <c r="N11" s="2014"/>
      <c r="O11" s="2014"/>
      <c r="P11" s="2014"/>
      <c r="Q11" s="2014"/>
      <c r="R11" s="2014"/>
      <c r="S11" s="2014"/>
      <c r="T11" s="2014"/>
      <c r="U11" s="2014"/>
      <c r="V11" s="2014"/>
    </row>
    <row r="12" spans="1:22" ht="14.25">
      <c r="A12" s="3309" t="s">
        <v>312</v>
      </c>
      <c r="B12" s="3335">
        <v>15</v>
      </c>
      <c r="C12" s="3333"/>
      <c r="D12" s="3337"/>
      <c r="E12" s="261" t="s">
        <v>313</v>
      </c>
      <c r="F12" s="262"/>
      <c r="G12" s="262"/>
      <c r="H12" s="262"/>
      <c r="I12" s="263"/>
      <c r="J12" s="2015"/>
      <c r="K12" s="3216" t="s">
        <v>3178</v>
      </c>
      <c r="L12" s="2014"/>
      <c r="M12" s="2014">
        <f>ROUND((L11+M11)/2,0)</f>
        <v>2297</v>
      </c>
      <c r="N12" s="2014"/>
      <c r="O12" s="2014"/>
      <c r="P12" s="2014"/>
      <c r="Q12" s="2014"/>
      <c r="R12" s="2014"/>
      <c r="S12" s="2014"/>
      <c r="T12" s="2014"/>
      <c r="U12" s="2014"/>
      <c r="V12" s="2014"/>
    </row>
    <row r="13" spans="1:22" ht="14.25">
      <c r="A13" s="3309"/>
      <c r="B13" s="3335"/>
      <c r="C13" s="3334"/>
      <c r="D13" s="333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9" t="s">
        <v>315</v>
      </c>
      <c r="B14" s="3335">
        <v>30</v>
      </c>
      <c r="C14" s="3333">
        <v>5</v>
      </c>
      <c r="D14" s="333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9"/>
      <c r="B15" s="3335"/>
      <c r="C15" s="3336"/>
      <c r="D15" s="333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9"/>
      <c r="B16" s="3335"/>
      <c r="C16" s="3334"/>
      <c r="D16" s="333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L18" s="3216" t="s">
        <v>3162</v>
      </c>
      <c r="M18" s="3216" t="s">
        <v>3163</v>
      </c>
      <c r="N18" s="2014"/>
      <c r="O18" s="2014"/>
      <c r="P18" s="2014"/>
      <c r="Q18" s="2014"/>
      <c r="R18" s="2014"/>
      <c r="S18" s="2014"/>
      <c r="T18" s="2014"/>
      <c r="U18" s="2014"/>
      <c r="V18" s="2014"/>
    </row>
    <row r="19" spans="1:26" ht="15">
      <c r="A19" s="268" t="s">
        <v>321</v>
      </c>
      <c r="B19" s="269" t="s">
        <v>322</v>
      </c>
      <c r="C19" s="270">
        <f ca="1">SUMIF(INDIRECT("'"&amp;C4&amp;"'"&amp;"!A:A"),结果表!B19,INDIRECT("'"&amp;C4&amp;"'"&amp;"!B:B"))</f>
        <v>31728</v>
      </c>
      <c r="D19" s="271">
        <f ca="1">SUMIF(INDIRECT("'"&amp;D4&amp;"'"&amp;"!A:A"),结果表!B19,INDIRECT("'"&amp;D4&amp;"'"&amp;"!B:B"))</f>
        <v>26784</v>
      </c>
      <c r="E19" s="268" t="s">
        <v>323</v>
      </c>
      <c r="F19" s="269" t="s">
        <v>322</v>
      </c>
      <c r="G19" s="272">
        <f ca="1">ROUND(C19*$C$18+D19*$D$18,0)</f>
        <v>29256</v>
      </c>
      <c r="H19" s="273" t="s">
        <v>324</v>
      </c>
      <c r="I19" s="311"/>
      <c r="J19" s="2014"/>
      <c r="K19" s="3216" t="s">
        <v>3164</v>
      </c>
      <c r="L19" s="3216">
        <f>'比较法-住宅、综合'!B3</f>
        <v>984</v>
      </c>
      <c r="M19" s="2014">
        <f>'比较法-住宅、综合 (商业)'!B3</f>
        <v>579</v>
      </c>
      <c r="N19" s="2014"/>
      <c r="O19" s="2014"/>
      <c r="P19" s="2014"/>
      <c r="Q19" s="2014"/>
      <c r="R19" s="2014"/>
      <c r="S19" s="2014"/>
      <c r="T19" s="2014"/>
      <c r="U19" s="2014"/>
      <c r="V19" s="2014"/>
    </row>
    <row r="20" spans="1:26" ht="15">
      <c r="A20" s="274"/>
      <c r="B20" s="275" t="s">
        <v>325</v>
      </c>
      <c r="C20" s="276">
        <f ca="1">SUMIF(INDIRECT("'"&amp;C4&amp;"'"&amp;"!A:A"),结果表!B20,INDIRECT("'"&amp;C4&amp;"'"&amp;"!B:B"))</f>
        <v>984</v>
      </c>
      <c r="D20" s="277">
        <f ca="1">SUMIF(INDIRECT("'"&amp;D4&amp;"'"&amp;"!A:A"),结果表!B20,INDIRECT("'"&amp;D4&amp;"'"&amp;"!B:B"))</f>
        <v>831</v>
      </c>
      <c r="E20" s="274"/>
      <c r="F20" s="275" t="s">
        <v>325</v>
      </c>
      <c r="G20" s="278">
        <f ca="1">ROUND(C20*$C$18+D20*$D$18,0)</f>
        <v>908</v>
      </c>
      <c r="H20" s="279" t="s">
        <v>326</v>
      </c>
      <c r="I20" s="311"/>
      <c r="J20" s="2014"/>
      <c r="K20" s="3216"/>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2952</v>
      </c>
      <c r="D21" s="151">
        <f ca="1">SUMIF(INDIRECT("'"&amp;D4&amp;"'"&amp;"!A:A"),结果表!B21,INDIRECT("'"&amp;D4&amp;"'"&amp;"!B:B"))</f>
        <v>2492</v>
      </c>
      <c r="E21" s="274"/>
      <c r="F21" s="280" t="s">
        <v>327</v>
      </c>
      <c r="G21" s="282">
        <f ca="1">ROUND(C21*$C$18+D21*$D$18,0)</f>
        <v>2722</v>
      </c>
      <c r="H21" s="1247" t="s">
        <v>326</v>
      </c>
      <c r="I21" s="311"/>
      <c r="J21" s="2014"/>
      <c r="K21" s="3216" t="s">
        <v>3166</v>
      </c>
      <c r="L21" s="2014">
        <f>ROUND((L19*L22/10000),0)</f>
        <v>9519</v>
      </c>
      <c r="M21" s="2014">
        <f>ROUND((M19*M22/10000),0)</f>
        <v>13069</v>
      </c>
      <c r="N21" s="2014"/>
      <c r="O21" s="2014"/>
      <c r="P21" s="2014"/>
      <c r="Q21" s="2014"/>
      <c r="R21" s="2014"/>
      <c r="S21" s="2014"/>
      <c r="T21" s="2014"/>
      <c r="U21" s="2014"/>
      <c r="V21" s="2014"/>
    </row>
    <row r="22" spans="1:26" ht="15.75" thickBot="1">
      <c r="A22" s="126" t="s">
        <v>328</v>
      </c>
      <c r="B22" s="1248"/>
      <c r="C22" s="1249"/>
      <c r="D22" s="283">
        <f ca="1">IF(C19&lt;D19,D19/C19-1,C19/D19-1)</f>
        <v>0.18458781362007159</v>
      </c>
      <c r="E22" s="284"/>
      <c r="F22" s="285"/>
      <c r="G22" s="286">
        <f ca="1">ROUND(G19/('数据-汇总表'!D3/666.67),0)</f>
        <v>181</v>
      </c>
      <c r="H22" s="287" t="s">
        <v>329</v>
      </c>
      <c r="I22" s="311"/>
      <c r="J22" s="2014"/>
      <c r="K22" s="3216" t="s">
        <v>3167</v>
      </c>
      <c r="L22" s="2014">
        <f>'数据-汇总表'!F19</f>
        <v>96733.09</v>
      </c>
      <c r="M22" s="2014">
        <f>'数据-汇总表'!F20</f>
        <v>225710.54</v>
      </c>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3216" t="s">
        <v>3168</v>
      </c>
      <c r="L23" s="2014"/>
      <c r="M23" s="2014">
        <f>ROUND((L21+M21),0)</f>
        <v>22588</v>
      </c>
      <c r="N23" s="2014"/>
      <c r="O23" s="2014"/>
      <c r="P23" s="2014"/>
      <c r="Q23" s="2014"/>
      <c r="R23" s="2014"/>
      <c r="S23" s="2014"/>
      <c r="T23" s="2014"/>
      <c r="U23" s="2014"/>
      <c r="V23" s="2014"/>
    </row>
    <row r="24" spans="1:26" ht="15" thickBot="1">
      <c r="A24" s="331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6"/>
      <c r="B25" s="1317" t="s">
        <v>331</v>
      </c>
      <c r="C25" s="290">
        <f>IF(B30=0,0,C30)</f>
        <v>0</v>
      </c>
      <c r="D25" s="291"/>
      <c r="E25" s="311"/>
      <c r="F25" s="311"/>
      <c r="G25" s="311"/>
      <c r="H25" s="311"/>
      <c r="I25" s="311"/>
      <c r="J25" s="2014"/>
      <c r="K25" s="1251" t="str">
        <f ca="1">项目基本情况!B16&amp;"国有建设用地使用权价格："&amp;O38&amp;"万元"</f>
        <v>出让国有建设用地使用权价格：29256万元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大写金额：人民币贰亿玖仟贰佰伍拾陆万元整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单位面积地价：2722元/平方米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楼面地价：907元/平方米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抵押价格：29256万元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大写金额：人民币贰亿玖仟贰佰伍拾陆万元整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29256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907</v>
      </c>
      <c r="D33" s="1382" t="s">
        <v>1691</v>
      </c>
      <c r="E33" s="3315" t="s">
        <v>338</v>
      </c>
      <c r="F33" s="296" t="s">
        <v>339</v>
      </c>
      <c r="G33" s="297"/>
      <c r="H33" s="980"/>
      <c r="I33" s="1255"/>
      <c r="J33" s="2014"/>
      <c r="K33" s="1254" t="str">
        <f ca="1">IF(项目基本情况!E9="——","——","抵押净值："&amp;C46&amp;"万元")</f>
        <v>抵押净值：18864万元</v>
      </c>
      <c r="L33" s="1248"/>
      <c r="M33" s="1248"/>
      <c r="N33" s="1248"/>
      <c r="O33" s="1247"/>
      <c r="P33" s="2014"/>
      <c r="V33" s="2014"/>
    </row>
    <row r="34" spans="1:26" s="1250" customFormat="1" ht="18.75" thickBot="1">
      <c r="A34" s="300"/>
      <c r="B34" s="1383" t="s">
        <v>1692</v>
      </c>
      <c r="C34" s="264">
        <f ca="1">ROUND(C32*10000/'数据-汇总表'!D3,0)</f>
        <v>2722</v>
      </c>
      <c r="D34" s="1384" t="s">
        <v>1691</v>
      </c>
      <c r="E34" s="3356"/>
      <c r="F34" s="127" t="s">
        <v>341</v>
      </c>
      <c r="G34" s="299"/>
      <c r="H34" s="105"/>
      <c r="I34" s="311"/>
      <c r="J34" s="2014"/>
      <c r="K34" s="1257" t="str">
        <f ca="1">IF(K33="——","——","大写金额：人民币"&amp;NUMBERSTRING(INT(O41*10000),2)&amp;"元整")</f>
        <v>大写金额：人民币壹亿捌仟捌佰陆拾肆万元整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181</v>
      </c>
      <c r="D35" s="1387" t="s">
        <v>1693</v>
      </c>
      <c r="E35" s="3357"/>
      <c r="F35" s="301" t="s">
        <v>342</v>
      </c>
      <c r="G35" s="982"/>
      <c r="H35" s="981" t="s">
        <v>343</v>
      </c>
      <c r="I35" s="311"/>
      <c r="J35" s="2014"/>
      <c r="K35" s="3330" t="s">
        <v>350</v>
      </c>
      <c r="L35" s="3330" t="s">
        <v>351</v>
      </c>
      <c r="M35" s="1260" t="s">
        <v>352</v>
      </c>
      <c r="N35" s="3330" t="s">
        <v>353</v>
      </c>
      <c r="O35" s="3330" t="s">
        <v>354</v>
      </c>
      <c r="P35" s="2014"/>
      <c r="V35" s="2014"/>
    </row>
    <row r="36" spans="1:26" ht="16.5" customHeight="1">
      <c r="A36" s="303" t="s">
        <v>344</v>
      </c>
      <c r="B36" s="304" t="s">
        <v>333</v>
      </c>
      <c r="C36" s="305" t="s">
        <v>345</v>
      </c>
      <c r="D36" s="305" t="s">
        <v>346</v>
      </c>
      <c r="E36" s="306" t="s">
        <v>347</v>
      </c>
      <c r="F36" s="311"/>
      <c r="G36" s="311"/>
      <c r="H36" s="311"/>
      <c r="I36" s="311"/>
      <c r="J36" s="2016"/>
      <c r="K36" s="3331"/>
      <c r="L36" s="3331"/>
      <c r="M36" s="1262" t="s">
        <v>355</v>
      </c>
      <c r="N36" s="3331"/>
      <c r="O36" s="3331"/>
      <c r="P36" s="2014"/>
      <c r="V36" s="2014"/>
    </row>
    <row r="37" spans="1:26" ht="16.5" customHeight="1" thickBot="1">
      <c r="A37" s="1256" t="s">
        <v>348</v>
      </c>
      <c r="B37" s="307"/>
      <c r="C37" s="294"/>
      <c r="D37" s="294"/>
      <c r="E37" s="295"/>
      <c r="F37" s="311"/>
      <c r="G37" s="311"/>
      <c r="H37" s="311"/>
      <c r="I37" s="311"/>
      <c r="J37" s="2016"/>
      <c r="K37" s="3332"/>
      <c r="L37" s="3332"/>
      <c r="M37" s="1263"/>
      <c r="N37" s="3332"/>
      <c r="O37" s="3332"/>
      <c r="P37" s="2014"/>
      <c r="V37" s="2014"/>
    </row>
    <row r="38" spans="1:26" ht="16.5" customHeight="1" thickBot="1">
      <c r="A38" s="1256" t="s">
        <v>349</v>
      </c>
      <c r="B38" s="307"/>
      <c r="C38" s="294"/>
      <c r="D38" s="294"/>
      <c r="E38" s="295"/>
      <c r="F38" s="311"/>
      <c r="G38" s="311"/>
      <c r="H38" s="311"/>
      <c r="I38" s="311"/>
      <c r="J38" s="2016"/>
      <c r="K38" s="1264">
        <f>'数据-汇总表'!D3</f>
        <v>107481.21</v>
      </c>
      <c r="L38" s="1265">
        <f>'数据-汇总表'!E3</f>
        <v>322443.63</v>
      </c>
      <c r="M38" s="1265">
        <f ca="1">C34</f>
        <v>2722</v>
      </c>
      <c r="N38" s="1265">
        <f ca="1">C33</f>
        <v>907</v>
      </c>
      <c r="O38" s="1266">
        <f ca="1">C32</f>
        <v>29256</v>
      </c>
      <c r="P38" s="2014"/>
      <c r="V38" s="2014"/>
    </row>
    <row r="39" spans="1:26" ht="16.5" customHeight="1" thickBot="1">
      <c r="A39" s="1261"/>
      <c r="B39" s="308"/>
      <c r="C39" s="309"/>
      <c r="D39" s="309"/>
      <c r="E39" s="310"/>
      <c r="F39" s="311"/>
      <c r="G39" s="311"/>
      <c r="H39" s="311"/>
      <c r="I39" s="311"/>
      <c r="J39" s="2016"/>
      <c r="K39" s="3375" t="str">
        <f>MID(A44,3,LEN(A44)-2)</f>
        <v>抵押价格</v>
      </c>
      <c r="L39" s="3376"/>
      <c r="M39" s="3376"/>
      <c r="N39" s="3377"/>
      <c r="O39" s="1389">
        <f ca="1">C44</f>
        <v>29256</v>
      </c>
      <c r="P39" s="2014"/>
      <c r="V39" s="2014"/>
    </row>
    <row r="40" spans="1:26" ht="19.5" thickBot="1">
      <c r="A40" s="104" t="s">
        <v>873</v>
      </c>
      <c r="B40" s="311"/>
      <c r="C40" s="311"/>
      <c r="D40" s="311"/>
      <c r="E40" s="311"/>
      <c r="F40" s="311"/>
      <c r="G40" s="311"/>
      <c r="H40" s="311"/>
      <c r="I40" s="311"/>
      <c r="J40" s="2016"/>
      <c r="K40" s="3375" t="str">
        <f t="shared" ref="K40:K41" si="0">MID(A45,3,LEN(A45)-2)</f>
        <v/>
      </c>
      <c r="L40" s="3376"/>
      <c r="M40" s="3376"/>
      <c r="N40" s="337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5" t="str">
        <f t="shared" si="0"/>
        <v>抵押净值</v>
      </c>
      <c r="L41" s="3376"/>
      <c r="M41" s="3376"/>
      <c r="N41" s="3377"/>
      <c r="O41" s="1389">
        <f ca="1">C46</f>
        <v>18864</v>
      </c>
      <c r="P41" s="2014"/>
      <c r="V41" s="2014"/>
    </row>
    <row r="42" spans="1:26" ht="29.25">
      <c r="A42" s="3317" t="s">
        <v>2067</v>
      </c>
      <c r="B42" s="3318"/>
      <c r="C42" s="264">
        <f ca="1">C32</f>
        <v>29256</v>
      </c>
      <c r="D42" s="317">
        <f ca="1">C33</f>
        <v>907</v>
      </c>
      <c r="E42" s="317">
        <f ca="1">C34</f>
        <v>2722</v>
      </c>
      <c r="F42" s="318">
        <f ca="1">C35</f>
        <v>181</v>
      </c>
      <c r="G42" s="311"/>
      <c r="H42" s="311"/>
      <c r="I42" s="319"/>
      <c r="J42" s="2016"/>
      <c r="K42" s="1267" t="s">
        <v>361</v>
      </c>
      <c r="L42" s="2033" t="s">
        <v>362</v>
      </c>
      <c r="M42" s="1268" t="s">
        <v>363</v>
      </c>
      <c r="N42" s="2034" t="s">
        <v>364</v>
      </c>
      <c r="O42" s="2035" t="s">
        <v>365</v>
      </c>
      <c r="P42" s="2014"/>
      <c r="V42" s="2014"/>
    </row>
    <row r="43" spans="1:26" ht="30">
      <c r="A43" s="3328" t="s">
        <v>2730</v>
      </c>
      <c r="B43" s="332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31728</v>
      </c>
      <c r="M43" s="1271">
        <f>C18</f>
        <v>0.5</v>
      </c>
      <c r="N43" s="1272">
        <f ca="1">IF(N42="测算结果/万元",G19,G20)</f>
        <v>29256</v>
      </c>
      <c r="O43" s="1273">
        <f ca="1">IF(O42="最终结果/万元",C32,C33)</f>
        <v>29256</v>
      </c>
      <c r="P43" s="2014"/>
      <c r="V43" s="2014"/>
    </row>
    <row r="44" spans="1:26" ht="30.75" thickBot="1">
      <c r="A44" s="3317" t="str">
        <f>IF(OR(项目基本情况!E8="抵押价格",项目基本情况!E8="已注销及未注销"),"3.抵押价格","——")</f>
        <v>3.抵押价格</v>
      </c>
      <c r="B44" s="3318"/>
      <c r="C44" s="264">
        <f ca="1">IF(A44="——","——",C42-C43)</f>
        <v>29256</v>
      </c>
      <c r="D44" s="317">
        <f ca="1">ROUND(C44*10000/'数据-汇总表'!E3,0)</f>
        <v>907</v>
      </c>
      <c r="E44" s="317">
        <f ca="1">ROUND(C44*10000/'数据-汇总表'!D3,0)</f>
        <v>2722</v>
      </c>
      <c r="F44" s="318">
        <f ca="1">ROUND(C44/('数据-汇总表'!D3/666.67),0)</f>
        <v>181</v>
      </c>
      <c r="G44" s="311"/>
      <c r="H44" s="311"/>
      <c r="I44" s="319"/>
      <c r="J44" s="2016"/>
      <c r="K44" s="1274" t="str">
        <f>D4</f>
        <v>剩余法-待开发</v>
      </c>
      <c r="L44" s="1275">
        <f ca="1">IF(L42="估价结果/万元",D19,D20)</f>
        <v>26784</v>
      </c>
      <c r="M44" s="1276">
        <f>D18</f>
        <v>0.5</v>
      </c>
      <c r="N44" s="1277"/>
      <c r="O44" s="1278"/>
      <c r="P44" s="2014"/>
      <c r="V44" s="2014"/>
    </row>
    <row r="45" spans="1:26" ht="15">
      <c r="A45" s="3323" t="str">
        <f>IF(项目基本情况!E8="已注销及未注销","4.抵押担保权已注销时的抵押价格",IF(项目基本情况!E8="已注销","3.抵押担保权已注销时的抵押价格","——"))</f>
        <v>——</v>
      </c>
      <c r="B45" s="332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9" t="str">
        <f>IF(项目基本情况!E9="抵押净值",IF(A45="——","4.抵押净值","5.抵押净值"),"——")</f>
        <v>4.抵押净值</v>
      </c>
      <c r="B46" s="3320"/>
      <c r="C46" s="320">
        <f ca="1">IF(A46="——","——",O79)</f>
        <v>18864</v>
      </c>
      <c r="D46" s="317">
        <f ca="1">ROUND(C46*10000/'数据-汇总表'!E3,0)</f>
        <v>585</v>
      </c>
      <c r="E46" s="317">
        <f ca="1">ROUND(C46*10000/'数据-汇总表'!D3,0)</f>
        <v>1755</v>
      </c>
      <c r="F46" s="318">
        <f ca="1">ROUND(C46/('数据-汇总表'!D3/666.67),0)</f>
        <v>117</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4" t="s">
        <v>374</v>
      </c>
      <c r="B63" s="3365"/>
      <c r="C63" s="3366"/>
      <c r="D63" s="341">
        <f ca="1">ROUND(C42*F63,0)</f>
        <v>17554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5" t="s">
        <v>378</v>
      </c>
      <c r="B64" s="3326"/>
      <c r="C64" s="3326"/>
      <c r="D64" s="3326"/>
      <c r="E64" s="3326"/>
      <c r="F64" s="3326"/>
      <c r="G64" s="332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21" t="s">
        <v>386</v>
      </c>
      <c r="B66" s="3322"/>
      <c r="C66" s="3322"/>
      <c r="D66" s="261">
        <f ca="1">IF(H66="情况1",0,IF(H66="情况2",D70,IF(H66="情况3",D71,IF(H66="情况4",D72))))</f>
        <v>936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79" t="s">
        <v>385</v>
      </c>
      <c r="M66" s="3380"/>
      <c r="N66" s="2423"/>
      <c r="O66" s="2424"/>
      <c r="P66" s="2425"/>
      <c r="Q66" s="2014"/>
      <c r="R66" s="2014"/>
      <c r="S66" s="2014"/>
      <c r="T66" s="2014"/>
      <c r="U66" s="2014"/>
      <c r="V66" s="2014"/>
    </row>
    <row r="67" spans="1:22" ht="25.5" customHeight="1">
      <c r="A67" s="352" t="s">
        <v>390</v>
      </c>
      <c r="B67" s="3312" t="s">
        <v>391</v>
      </c>
      <c r="C67" s="3312"/>
      <c r="D67" s="353">
        <v>0</v>
      </c>
      <c r="E67" s="41" t="s">
        <v>392</v>
      </c>
      <c r="F67" s="62" t="s">
        <v>21</v>
      </c>
      <c r="G67" s="3367"/>
      <c r="H67" s="311"/>
      <c r="I67" s="1288"/>
      <c r="J67" s="2021"/>
      <c r="K67" s="1962">
        <v>2</v>
      </c>
      <c r="L67" s="3378" t="s">
        <v>389</v>
      </c>
      <c r="M67" s="3378"/>
      <c r="N67" s="1321">
        <f>'数据-取费表'!B2</f>
        <v>43712</v>
      </c>
      <c r="O67" s="1321"/>
      <c r="P67" s="1321"/>
      <c r="Q67" s="2014"/>
      <c r="R67" s="2014"/>
      <c r="S67" s="2014"/>
      <c r="T67" s="2014"/>
      <c r="U67" s="2014"/>
      <c r="V67" s="2014"/>
    </row>
    <row r="68" spans="1:22" ht="25.5" customHeight="1">
      <c r="A68" s="354"/>
      <c r="B68" s="3312" t="s">
        <v>394</v>
      </c>
      <c r="C68" s="3312"/>
      <c r="D68" s="355"/>
      <c r="E68" s="77"/>
      <c r="F68" s="356"/>
      <c r="G68" s="3368"/>
      <c r="H68" s="311"/>
      <c r="I68" s="1288"/>
      <c r="J68" s="2021"/>
      <c r="K68" s="1962">
        <v>3</v>
      </c>
      <c r="L68" s="3378" t="s">
        <v>393</v>
      </c>
      <c r="M68" s="3378"/>
      <c r="N68" s="1289">
        <f ca="1">C42</f>
        <v>29256</v>
      </c>
      <c r="O68" s="1289"/>
      <c r="P68" s="1289"/>
      <c r="Q68" s="2014"/>
      <c r="R68" s="2014"/>
      <c r="S68" s="2014"/>
      <c r="T68" s="2014"/>
      <c r="U68" s="2014"/>
      <c r="V68" s="2014"/>
    </row>
    <row r="69" spans="1:22" ht="12" customHeight="1">
      <c r="A69" s="357"/>
      <c r="B69" s="3312" t="s">
        <v>395</v>
      </c>
      <c r="C69" s="3312"/>
      <c r="D69" s="358"/>
      <c r="E69" s="73"/>
      <c r="F69" s="356"/>
      <c r="G69" s="3369"/>
      <c r="H69" s="311"/>
      <c r="I69" s="1288"/>
      <c r="J69" s="2021"/>
      <c r="K69" s="1290">
        <v>4</v>
      </c>
      <c r="L69" s="3383" t="s">
        <v>2883</v>
      </c>
      <c r="M69" s="3384"/>
      <c r="N69" s="1291">
        <f ca="1">C44</f>
        <v>29256</v>
      </c>
      <c r="O69" s="1291"/>
      <c r="P69" s="1291"/>
      <c r="Q69" s="2014"/>
      <c r="R69" s="2014"/>
      <c r="S69" s="2014"/>
      <c r="T69" s="2014"/>
      <c r="U69" s="2014"/>
      <c r="V69" s="2014"/>
    </row>
    <row r="70" spans="1:22" ht="24" customHeight="1">
      <c r="A70" s="359" t="s">
        <v>396</v>
      </c>
      <c r="B70" s="3312" t="s">
        <v>397</v>
      </c>
      <c r="C70" s="3312"/>
      <c r="D70" s="358">
        <f ca="1">ROUND(D63*'数据-取费表'!B41/(1+'数据-取费表'!C42),0)</f>
        <v>936</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13" t="s">
        <v>405</v>
      </c>
      <c r="C71" s="3314"/>
      <c r="D71" s="358">
        <f ca="1">ROUND(D63*'数据-取费表'!B41/(1+'数据-取费表'!C42),0)</f>
        <v>936</v>
      </c>
      <c r="E71" s="17" t="s">
        <v>398</v>
      </c>
      <c r="F71" s="360">
        <f>'数据-取费表'!B41</f>
        <v>5.6000000000000001E-2</v>
      </c>
      <c r="G71" s="361"/>
      <c r="H71" s="311"/>
      <c r="I71" s="1288"/>
      <c r="J71" s="2021"/>
      <c r="K71" s="3013" t="s">
        <v>399</v>
      </c>
      <c r="L71" s="3385" t="s">
        <v>400</v>
      </c>
      <c r="M71" s="3385"/>
      <c r="N71" s="3013" t="s">
        <v>401</v>
      </c>
      <c r="O71" s="3013" t="s">
        <v>402</v>
      </c>
      <c r="P71" s="3013" t="s">
        <v>403</v>
      </c>
      <c r="Q71" s="2014"/>
      <c r="R71" s="2014"/>
      <c r="S71" s="2014"/>
      <c r="T71" s="2014"/>
      <c r="U71" s="2014"/>
      <c r="V71" s="2014"/>
    </row>
    <row r="72" spans="1:22" ht="12" customHeight="1">
      <c r="A72" s="359" t="s">
        <v>407</v>
      </c>
      <c r="B72" s="3313" t="s">
        <v>408</v>
      </c>
      <c r="C72" s="3314"/>
      <c r="D72" s="358">
        <f ca="1">C86</f>
        <v>824</v>
      </c>
      <c r="E72" s="73" t="s">
        <v>409</v>
      </c>
      <c r="F72" s="360">
        <f>'数据-取费表'!B41</f>
        <v>5.6000000000000001E-2</v>
      </c>
      <c r="G72" s="361"/>
      <c r="H72" s="1294"/>
      <c r="I72" s="1288"/>
      <c r="J72" s="2021"/>
      <c r="K72" s="1962">
        <v>1</v>
      </c>
      <c r="L72" s="3360" t="s">
        <v>406</v>
      </c>
      <c r="M72" s="3360"/>
      <c r="N72" s="1292">
        <f ca="1">D66</f>
        <v>936</v>
      </c>
      <c r="O72" s="1845" t="str">
        <f>E66</f>
        <v>销售额×税（费）率</v>
      </c>
      <c r="P72" s="1293">
        <f>F66</f>
        <v>5.6000000000000001E-2</v>
      </c>
      <c r="Q72" s="2014"/>
      <c r="R72" s="2014"/>
      <c r="S72" s="2014"/>
      <c r="T72" s="2014"/>
      <c r="U72" s="2014"/>
      <c r="V72" s="2014"/>
    </row>
    <row r="73" spans="1:22" ht="24" customHeight="1">
      <c r="A73" s="3354" t="s">
        <v>411</v>
      </c>
      <c r="B73" s="3322"/>
      <c r="C73" s="3322"/>
      <c r="D73" s="362">
        <f>IF(H73="个人住宅",0,ROUND(D63*I73,0))</f>
        <v>0</v>
      </c>
      <c r="E73" s="17" t="s">
        <v>412</v>
      </c>
      <c r="F73" s="360" t="str">
        <f>IF(H73="正常",I73,"免征")</f>
        <v>免征</v>
      </c>
      <c r="G73" s="361"/>
      <c r="H73" s="191" t="s">
        <v>2455</v>
      </c>
      <c r="I73" s="360">
        <f>'数据-取费表'!B49</f>
        <v>5.0000000000000001E-4</v>
      </c>
      <c r="J73" s="2021"/>
      <c r="K73" s="1962">
        <v>2</v>
      </c>
      <c r="L73" s="3360" t="s">
        <v>410</v>
      </c>
      <c r="M73" s="3360"/>
      <c r="N73" s="1292">
        <f t="shared" ref="N73:P74" si="1">D73</f>
        <v>0</v>
      </c>
      <c r="O73" s="1845" t="str">
        <f t="shared" si="1"/>
        <v>销售额×税（费）率</v>
      </c>
      <c r="P73" s="1293" t="str">
        <f t="shared" si="1"/>
        <v>免征</v>
      </c>
      <c r="Q73" s="2014"/>
      <c r="R73" s="2014"/>
      <c r="S73" s="2014"/>
      <c r="T73" s="2014"/>
      <c r="U73" s="2014"/>
      <c r="V73" s="2014"/>
    </row>
    <row r="74" spans="1:22" ht="24.75">
      <c r="A74" s="3354" t="s">
        <v>415</v>
      </c>
      <c r="B74" s="3322"/>
      <c r="C74" s="3322"/>
      <c r="D74" s="362">
        <f ca="1">IF(H74="个人住宅",D75,D76)</f>
        <v>9280</v>
      </c>
      <c r="E74" s="17" t="s">
        <v>416</v>
      </c>
      <c r="F74" s="360" t="str">
        <f>IF(H74="正常",F76,"免征")</f>
        <v>——</v>
      </c>
      <c r="G74" s="983" t="s">
        <v>417</v>
      </c>
      <c r="H74" s="363" t="s">
        <v>413</v>
      </c>
      <c r="I74" s="42"/>
      <c r="J74" s="2021"/>
      <c r="K74" s="1962">
        <v>3</v>
      </c>
      <c r="L74" s="3360" t="s">
        <v>414</v>
      </c>
      <c r="M74" s="3360"/>
      <c r="N74" s="1292">
        <f t="shared" ca="1" si="1"/>
        <v>9280</v>
      </c>
      <c r="O74" s="1845" t="str">
        <f t="shared" si="1"/>
        <v>增值额×税（费）率</v>
      </c>
      <c r="P74" s="1295" t="str">
        <f t="shared" si="1"/>
        <v>——</v>
      </c>
      <c r="Q74" s="2014"/>
      <c r="R74" s="2014"/>
      <c r="S74" s="2014"/>
      <c r="T74" s="2014"/>
      <c r="U74" s="2014"/>
      <c r="V74" s="2014"/>
    </row>
    <row r="75" spans="1:22" ht="24">
      <c r="A75" s="359" t="s">
        <v>418</v>
      </c>
      <c r="B75" s="3310" t="s">
        <v>419</v>
      </c>
      <c r="C75" s="3340"/>
      <c r="D75" s="364">
        <v>0</v>
      </c>
      <c r="E75" s="41" t="s">
        <v>420</v>
      </c>
      <c r="F75" s="365"/>
      <c r="G75" s="361"/>
      <c r="H75" s="42"/>
      <c r="I75" s="42"/>
      <c r="J75" s="2021"/>
      <c r="K75" s="3006">
        <f>IF(H77="非个人房产","",4)</f>
        <v>4</v>
      </c>
      <c r="L75" s="3360" t="str">
        <f>IF(H77="非个人房产","——","个人所得税")</f>
        <v>个人所得税</v>
      </c>
      <c r="M75" s="3360"/>
      <c r="N75" s="1296">
        <f ca="1">D77</f>
        <v>176</v>
      </c>
      <c r="O75" s="1858" t="str">
        <f>E77</f>
        <v>销售额×税（费）率</v>
      </c>
      <c r="P75" s="1297">
        <f>F77</f>
        <v>0.01</v>
      </c>
      <c r="Q75" s="2014"/>
      <c r="R75" s="2014"/>
      <c r="S75" s="2014"/>
      <c r="T75" s="2014"/>
      <c r="U75" s="2014"/>
      <c r="V75" s="2014"/>
    </row>
    <row r="76" spans="1:22" ht="24.75">
      <c r="A76" s="359" t="s">
        <v>396</v>
      </c>
      <c r="B76" s="3310" t="s">
        <v>422</v>
      </c>
      <c r="C76" s="3311"/>
      <c r="D76" s="362">
        <f ca="1">IF(H76="转让取得",C99,C115)</f>
        <v>9280</v>
      </c>
      <c r="E76" s="17" t="s">
        <v>423</v>
      </c>
      <c r="F76" s="53" t="s">
        <v>21</v>
      </c>
      <c r="G76" s="361"/>
      <c r="H76" s="363" t="s">
        <v>424</v>
      </c>
      <c r="I76" s="42"/>
      <c r="J76" s="2021"/>
      <c r="K76" s="3006" t="str">
        <f>IF(项目基本情况!K6="上海银行",IF(K75="",4,K75+1),"")</f>
        <v/>
      </c>
      <c r="L76" s="3371" t="str">
        <f>IF(项目基本情况!K6="上海银行","其他处置费用","")</f>
        <v/>
      </c>
      <c r="M76" s="3372"/>
      <c r="N76" s="1292" t="str">
        <f>IF(项目基本情况!K6="上海银行",N89,"")</f>
        <v/>
      </c>
      <c r="O76" s="3373" t="str">
        <f>IF(项目基本情况!K6="上海银行","包含处置中涉及的律师、诉讼、拍卖、评估等费用","")</f>
        <v/>
      </c>
      <c r="P76" s="3374"/>
      <c r="Q76" s="2014"/>
      <c r="R76" s="2014"/>
      <c r="S76" s="2014"/>
      <c r="T76" s="2014"/>
      <c r="U76" s="2014"/>
      <c r="V76" s="2014"/>
    </row>
    <row r="77" spans="1:22" ht="26.25" thickBot="1">
      <c r="A77" s="3362" t="s">
        <v>426</v>
      </c>
      <c r="B77" s="3363"/>
      <c r="C77" s="3363"/>
      <c r="D77" s="366">
        <f ca="1">IF(H77="非个人房产","——",IF(H77="个人住宅",0,ROUND(D63*I77,0)))</f>
        <v>176</v>
      </c>
      <c r="E77" s="367" t="str">
        <f>IF(H77="非个人房产","——","销售额×税（费）率")</f>
        <v>销售额×税（费）率</v>
      </c>
      <c r="F77" s="368">
        <f>IF(H77="非个人房产","——",IF(H77="个人住宅","免征",I77))</f>
        <v>0.01</v>
      </c>
      <c r="G77" s="984" t="s">
        <v>417</v>
      </c>
      <c r="H77" s="363" t="s">
        <v>2884</v>
      </c>
      <c r="I77" s="369">
        <v>0.01</v>
      </c>
      <c r="J77" s="2021"/>
      <c r="K77" s="3361">
        <f>IF(AND(K75="",K76=""),4,IF(项目基本情况!K6="上海银行",K76+1,K75+1))</f>
        <v>5</v>
      </c>
      <c r="L77" s="3360" t="s">
        <v>2885</v>
      </c>
      <c r="M77" s="3012" t="s">
        <v>421</v>
      </c>
      <c r="N77" s="1298"/>
      <c r="O77" s="1299">
        <f ca="1">SUMIF(N72:N76,"&lt;9e307")</f>
        <v>10392</v>
      </c>
      <c r="P77" s="1300"/>
      <c r="Q77" s="3010">
        <f ca="1">O77/N69</f>
        <v>0.35520918785890077</v>
      </c>
      <c r="R77" s="2014"/>
      <c r="S77" s="2014"/>
      <c r="T77" s="2014"/>
      <c r="U77" s="2014"/>
      <c r="V77" s="2014"/>
    </row>
    <row r="78" spans="1:22" ht="12" customHeight="1">
      <c r="A78" s="1301"/>
      <c r="B78" s="311"/>
      <c r="C78" s="311"/>
      <c r="D78" s="311"/>
      <c r="E78" s="42"/>
      <c r="F78" s="42"/>
      <c r="G78" s="42"/>
      <c r="H78" s="1003"/>
      <c r="I78" s="311"/>
      <c r="J78" s="2021"/>
      <c r="K78" s="3361"/>
      <c r="L78" s="3360"/>
      <c r="M78" s="3012" t="s">
        <v>425</v>
      </c>
      <c r="N78" s="1298"/>
      <c r="O78" s="1299" t="str">
        <f ca="1">NUMBERSTRING(INT(O77*10000),2)&amp;"元整"</f>
        <v>壹亿零叁佰玖拾贰万元整</v>
      </c>
      <c r="P78" s="1300"/>
      <c r="Q78" s="2014"/>
      <c r="R78" s="2014"/>
      <c r="S78" s="2014"/>
      <c r="T78" s="2014"/>
      <c r="U78" s="2014"/>
      <c r="V78" s="2014"/>
    </row>
    <row r="79" spans="1:22" ht="13.5" thickBot="1">
      <c r="A79" s="3355" t="s">
        <v>427</v>
      </c>
      <c r="B79" s="3355"/>
      <c r="C79" s="3355"/>
      <c r="D79" s="3355"/>
      <c r="E79" s="3355"/>
      <c r="F79" s="42"/>
      <c r="G79" s="42"/>
      <c r="H79" s="1003"/>
      <c r="I79" s="311"/>
      <c r="J79" s="2021"/>
      <c r="K79" s="3381">
        <f>K77+1</f>
        <v>6</v>
      </c>
      <c r="L79" s="3360" t="s">
        <v>2886</v>
      </c>
      <c r="M79" s="3012" t="s">
        <v>421</v>
      </c>
      <c r="N79" s="1298"/>
      <c r="O79" s="1299">
        <f ca="1">N69-O77</f>
        <v>18864</v>
      </c>
      <c r="P79" s="1300"/>
      <c r="Q79" s="2014"/>
      <c r="R79" s="2014"/>
      <c r="S79" s="2014"/>
      <c r="T79" s="2014"/>
      <c r="U79" s="2014"/>
      <c r="V79" s="2014"/>
    </row>
    <row r="80" spans="1:22" ht="25.5">
      <c r="A80" s="3350" t="s">
        <v>428</v>
      </c>
      <c r="B80" s="3351"/>
      <c r="C80" s="994"/>
      <c r="D80" s="994" t="s">
        <v>429</v>
      </c>
      <c r="E80" s="370" t="s">
        <v>430</v>
      </c>
      <c r="F80" s="42"/>
      <c r="G80" s="42"/>
      <c r="H80" s="1003"/>
      <c r="I80" s="311"/>
      <c r="J80" s="2014"/>
      <c r="K80" s="3382"/>
      <c r="L80" s="3360"/>
      <c r="M80" s="3012" t="s">
        <v>425</v>
      </c>
      <c r="N80" s="1298"/>
      <c r="O80" s="1299" t="str">
        <f ca="1">NUMBERSTRING(INT(O79*10000),2)&amp;"元整"</f>
        <v>壹亿捌仟捌佰陆拾肆万元整</v>
      </c>
      <c r="P80" s="1300"/>
      <c r="Q80" s="2014"/>
      <c r="R80" s="2014"/>
      <c r="S80" s="2014"/>
      <c r="T80" s="2014"/>
      <c r="U80" s="2014"/>
      <c r="V80" s="2014"/>
    </row>
    <row r="81" spans="1:26" ht="13.5" thickBot="1">
      <c r="A81" s="381" t="s">
        <v>1823</v>
      </c>
      <c r="B81" s="371" t="s">
        <v>431</v>
      </c>
      <c r="C81" s="372">
        <f ca="1">ROUND((C82+C83)/(1+'数据-取费表'!C42),0)</f>
        <v>16718</v>
      </c>
      <c r="D81" s="373"/>
      <c r="E81" s="374"/>
      <c r="F81" s="42"/>
      <c r="G81" s="42"/>
      <c r="H81" s="1003"/>
      <c r="I81" s="311"/>
      <c r="J81" s="2014"/>
      <c r="K81" s="3006">
        <f>K79+1</f>
        <v>7</v>
      </c>
      <c r="L81" s="3358" t="s">
        <v>2887</v>
      </c>
      <c r="M81" s="3359"/>
      <c r="N81" s="1302"/>
      <c r="O81" s="1303">
        <f ca="1">ROUND(O79*10000/'数据-汇总表'!E3,0)</f>
        <v>585</v>
      </c>
      <c r="P81" s="1304"/>
      <c r="Q81" s="2014"/>
      <c r="R81" s="2014"/>
      <c r="S81" s="2014"/>
      <c r="T81" s="2014"/>
      <c r="U81" s="2014"/>
      <c r="V81" s="2014"/>
    </row>
    <row r="82" spans="1:26" ht="13.5" thickTop="1">
      <c r="A82" s="375" t="s">
        <v>1824</v>
      </c>
      <c r="B82" s="376" t="s">
        <v>432</v>
      </c>
      <c r="C82" s="377">
        <f ca="1">D63</f>
        <v>17554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70" t="s">
        <v>2874</v>
      </c>
      <c r="L83" s="3018" t="s">
        <v>2875</v>
      </c>
      <c r="M83" s="3008">
        <f ca="1">IF(N69&gt;10000,N69*0.5%,IF(AND(N69&gt;1000,N69&lt;=10000),N69*1%,IF(AND(N69&gt;100,N69&lt;=1000),N69*3%,IF(AND(N69&gt;10,N69&lt;=100),N69*5%,N69*8%))))</f>
        <v>146.28</v>
      </c>
      <c r="N83" s="53">
        <f ca="1">ROUND(M83,1)</f>
        <v>146.30000000000001</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70"/>
      <c r="L84" s="3018" t="s">
        <v>2876</v>
      </c>
      <c r="M84" s="3008">
        <f ca="1">IF(N69&gt;2000,N69*0.5%,IF(AND(N69&gt;1000,N69&lt;=2000),N69*0.6%,IF(AND(N69&gt;500,N69&lt;=1000),N69*0.7%,IF(AND(N69&gt;200,N69&lt;=500),N69*0.8%,IF(AND(N69&gt;100,N69&lt;=200),N69*0.9%,IF(AND(N69&gt;50,N69&lt;=100),N69*1%,IF(AND(N69&gt;20,N69&lt;=50),N69*1.5%,IF(AND(N69&gt;10,N69&lt;=20),N69*2%,IF(AND(N69&gt;1,N69&lt;=10),N69*2.5%)))))))))</f>
        <v>146.28</v>
      </c>
      <c r="N84" s="53">
        <f t="shared" ref="N84:N85" ca="1" si="2">ROUND(M84,1)</f>
        <v>146.30000000000001</v>
      </c>
      <c r="O84" s="2014" t="s">
        <v>2877</v>
      </c>
      <c r="P84" s="2014"/>
      <c r="Q84" s="2014"/>
      <c r="R84" s="2014"/>
      <c r="S84" s="2014"/>
      <c r="T84" s="2014"/>
      <c r="U84" s="2014"/>
      <c r="V84" s="2014"/>
    </row>
    <row r="85" spans="1:26" ht="12.75">
      <c r="A85" s="381" t="s">
        <v>1827</v>
      </c>
      <c r="B85" s="382" t="s">
        <v>435</v>
      </c>
      <c r="C85" s="385">
        <f ca="1">C81-C84</f>
        <v>14718</v>
      </c>
      <c r="D85" s="378" t="s">
        <v>19</v>
      </c>
      <c r="E85" s="379"/>
      <c r="F85" s="42"/>
      <c r="G85" s="42"/>
      <c r="H85" s="1003"/>
      <c r="I85" s="311"/>
      <c r="J85" s="2014"/>
      <c r="K85" s="3370"/>
      <c r="L85" s="3018" t="s">
        <v>2878</v>
      </c>
      <c r="M85" s="3008">
        <f ca="1">IF(N69&gt;1000,N69*0.1%,IF(AND(N69&gt;500,N69&lt;=1000),N69*0.5%,IF(AND(N69&gt;50,N69&lt;=500),N69*1%,IF(AND(N69&gt;1,N69&lt;=50),N69*1.5%))))</f>
        <v>29.256</v>
      </c>
      <c r="N85" s="53">
        <f t="shared" ca="1" si="2"/>
        <v>29.3</v>
      </c>
      <c r="O85" s="2014" t="s">
        <v>2877</v>
      </c>
      <c r="P85" s="2014"/>
      <c r="Q85" s="2014"/>
      <c r="R85" s="2014"/>
      <c r="S85" s="2014"/>
      <c r="T85" s="2014"/>
      <c r="U85" s="2014"/>
      <c r="V85" s="2014"/>
    </row>
    <row r="86" spans="1:26" ht="13.5" thickBot="1">
      <c r="A86" s="386" t="s">
        <v>1828</v>
      </c>
      <c r="B86" s="387" t="s">
        <v>436</v>
      </c>
      <c r="C86" s="388">
        <f ca="1">IF(C85&lt;=0,0,ROUND(C85*D86,0))</f>
        <v>824</v>
      </c>
      <c r="D86" s="389">
        <f>'数据-取费表'!B41</f>
        <v>5.6000000000000001E-2</v>
      </c>
      <c r="E86" s="390"/>
      <c r="F86" s="42"/>
      <c r="G86" s="42"/>
      <c r="H86" s="1003"/>
      <c r="I86" s="311"/>
      <c r="J86" s="2014"/>
      <c r="K86" s="3370"/>
      <c r="L86" s="3018" t="s">
        <v>2879</v>
      </c>
      <c r="M86" s="3008">
        <f ca="1">N69*0.5%</f>
        <v>146.28</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70"/>
      <c r="L87" s="3018" t="s">
        <v>2881</v>
      </c>
      <c r="M87" s="3008">
        <f ca="1">IF(N69&gt;=10000,(8.25+(N69-10000)*0.01%),IF(AND(N69&gt;=8000,N69&lt;10000),(7.85+(N69-8000)*0.02%),IF(AND(N69&gt;=5000,N69&lt;8000),(6.65+(N69-5000)*0.04%),IF(AND(N69&gt;=2000,N69&lt;5000),(4.25+(PN69-2000)*0.08%),IF(AND(N69&gt;=1000,N69&lt;2000),(2.75+(N69-1000)*0.15%),IF(AND(N69&gt;=100,N69&lt;1000),(0.5+(N69-100)*0.25%),IF(AND(N69&gt;0,N69&lt;100),N69*0.5%)))))))</f>
        <v>10.175599999999999</v>
      </c>
      <c r="N87" s="53">
        <f ca="1">ROUND(M87*0.9,1)</f>
        <v>9.1999999999999993</v>
      </c>
      <c r="O87" s="3011"/>
      <c r="P87" s="311"/>
      <c r="Q87" s="2014"/>
      <c r="R87" s="2014"/>
      <c r="S87" s="2014"/>
      <c r="T87" s="2014"/>
      <c r="U87" s="2014"/>
      <c r="V87" s="2014"/>
      <c r="W87" s="292"/>
      <c r="X87" s="292"/>
      <c r="Y87" s="292"/>
      <c r="Z87" s="292"/>
    </row>
    <row r="88" spans="1:26" s="1310" customFormat="1" ht="15" thickBot="1">
      <c r="A88" s="3352" t="s">
        <v>437</v>
      </c>
      <c r="B88" s="3353"/>
      <c r="C88" s="3353"/>
      <c r="D88" s="3353"/>
      <c r="E88" s="3353"/>
      <c r="F88" s="3353"/>
      <c r="G88" s="3353"/>
      <c r="H88" s="3353"/>
      <c r="I88" s="1311"/>
      <c r="J88" s="2022"/>
      <c r="K88" s="3370"/>
      <c r="L88" s="3018" t="s">
        <v>2882</v>
      </c>
      <c r="M88" s="3008">
        <f ca="1">IF(N69&gt;10000,N69*0.5%,IF(AND(N69&gt;5000,N69&lt;=10000),N69*1%,IF(AND(N69&gt;1000,N69&lt;=5000),N69*2%,IF(AND(N69&gt;200,N69&lt;=1000),N69*3%,N69*5%))))</f>
        <v>146.28</v>
      </c>
      <c r="N88" s="53">
        <f ca="1">ROUND(M88,1)</f>
        <v>146.30000000000001</v>
      </c>
      <c r="O88" s="3011"/>
      <c r="P88" s="11"/>
      <c r="Q88" s="2019"/>
      <c r="R88" s="2019"/>
      <c r="S88" s="2019"/>
      <c r="T88" s="2019"/>
      <c r="U88" s="2019"/>
      <c r="V88" s="2019"/>
      <c r="W88" s="2023"/>
      <c r="X88" s="2023"/>
      <c r="Y88" s="2023"/>
      <c r="Z88" s="2023"/>
    </row>
    <row r="89" spans="1:26" s="1310" customFormat="1" ht="14.25">
      <c r="A89" s="3350" t="s">
        <v>428</v>
      </c>
      <c r="B89" s="3351"/>
      <c r="C89" s="994"/>
      <c r="D89" s="994" t="s">
        <v>429</v>
      </c>
      <c r="E89" s="391" t="s">
        <v>438</v>
      </c>
      <c r="F89" s="392"/>
      <c r="G89" s="392"/>
      <c r="H89" s="393"/>
      <c r="I89" s="1312"/>
      <c r="J89" s="2024"/>
      <c r="K89" s="3370"/>
      <c r="L89" s="3018" t="s">
        <v>27</v>
      </c>
      <c r="M89" s="3009"/>
      <c r="N89" s="53">
        <f ca="1">ROUND(SUM(N83:N88),0)</f>
        <v>478</v>
      </c>
      <c r="O89" s="3019">
        <f ca="1">N89/N69</f>
        <v>1.6338528848783156E-2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16718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2661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13" t="s">
        <v>447</v>
      </c>
      <c r="F94" s="3312"/>
      <c r="G94" s="3312"/>
      <c r="H94" s="334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100</v>
      </c>
      <c r="D96" s="406">
        <f>'数据-取费表'!B43</f>
        <v>6.000000000000001E-3</v>
      </c>
      <c r="E96" s="3341" t="s">
        <v>2428</v>
      </c>
      <c r="F96" s="3342"/>
      <c r="G96" s="3342"/>
      <c r="H96" s="334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14057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5.2826005261180011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7503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2" t="s">
        <v>454</v>
      </c>
      <c r="B101" s="3353"/>
      <c r="C101" s="3353"/>
      <c r="D101" s="3353"/>
      <c r="E101" s="3353"/>
      <c r="F101" s="3353"/>
      <c r="G101" s="3353"/>
      <c r="H101" s="335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50" t="s">
        <v>428</v>
      </c>
      <c r="B102" s="335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16718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790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4" t="s">
        <v>462</v>
      </c>
      <c r="F109" s="3342"/>
      <c r="G109" s="334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4" t="s">
        <v>464</v>
      </c>
      <c r="F110" s="3342"/>
      <c r="G110" s="3342"/>
      <c r="H110" s="334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100</v>
      </c>
      <c r="D111" s="406">
        <f>'数据-取费表'!B43</f>
        <v>6.000000000000001E-3</v>
      </c>
      <c r="E111" s="3341" t="s">
        <v>2428</v>
      </c>
      <c r="F111" s="3342"/>
      <c r="G111" s="3342"/>
      <c r="H111" s="334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4" t="s">
        <v>2453</v>
      </c>
      <c r="F112" s="3342"/>
      <c r="G112" s="3342"/>
      <c r="H112" s="334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15928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20.162025316455697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9280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32" sqref="I32"/>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31728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984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2952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5" t="s">
        <v>522</v>
      </c>
      <c r="D6" s="3396"/>
      <c r="E6" s="3395" t="s">
        <v>523</v>
      </c>
      <c r="F6" s="3396"/>
      <c r="G6" s="3395" t="s">
        <v>524</v>
      </c>
      <c r="H6" s="3396"/>
      <c r="I6" s="3395" t="s">
        <v>525</v>
      </c>
      <c r="J6" s="3396"/>
      <c r="K6" s="514" t="s">
        <v>526</v>
      </c>
      <c r="L6" s="2119"/>
      <c r="M6" s="2118"/>
      <c r="N6" s="2118"/>
      <c r="O6" s="2120"/>
      <c r="P6" s="3397" t="s">
        <v>527</v>
      </c>
      <c r="Q6" s="3398"/>
      <c r="R6" s="3403" t="s">
        <v>523</v>
      </c>
      <c r="S6" s="3404"/>
      <c r="T6" s="3403" t="s">
        <v>524</v>
      </c>
      <c r="U6" s="3404"/>
      <c r="V6" s="3390" t="s">
        <v>525</v>
      </c>
      <c r="W6" s="3390"/>
      <c r="X6" s="1554"/>
      <c r="Y6" s="3403" t="s">
        <v>527</v>
      </c>
      <c r="Z6" s="3404"/>
      <c r="AA6" s="3392" t="s">
        <v>523</v>
      </c>
      <c r="AB6" s="3393" t="s">
        <v>524</v>
      </c>
      <c r="AC6" s="3392" t="s">
        <v>525</v>
      </c>
    </row>
    <row r="7" spans="1:30" ht="20.25">
      <c r="A7" s="515"/>
      <c r="B7" s="516"/>
      <c r="C7" s="3411" t="s">
        <v>2931</v>
      </c>
      <c r="D7" s="3412"/>
      <c r="E7" s="3411" t="str">
        <f>Sheet1!A3</f>
        <v>来宾市仙池路与西E路交叉口东北角</v>
      </c>
      <c r="F7" s="3412"/>
      <c r="G7" s="3411" t="str">
        <f>Sheet1!A7</f>
        <v>来宾市之江路与侨仁路交叉口西南角</v>
      </c>
      <c r="H7" s="3412"/>
      <c r="I7" s="3411" t="str">
        <f>Sheet1!A8</f>
        <v>来宾市侨兴路与华侨纵二路交叉口西北角</v>
      </c>
      <c r="J7" s="3412"/>
      <c r="K7" s="514"/>
      <c r="L7" s="2119"/>
      <c r="M7" s="2118"/>
      <c r="N7" s="2118"/>
      <c r="O7" s="2120"/>
      <c r="P7" s="3399"/>
      <c r="Q7" s="3400"/>
      <c r="R7" s="3405"/>
      <c r="S7" s="3406"/>
      <c r="T7" s="3405"/>
      <c r="U7" s="3406"/>
      <c r="V7" s="3390"/>
      <c r="W7" s="3390"/>
      <c r="X7" s="1554"/>
      <c r="Y7" s="3405"/>
      <c r="Z7" s="3406"/>
      <c r="AA7" s="3393"/>
      <c r="AB7" s="3393"/>
      <c r="AC7" s="3393"/>
    </row>
    <row r="8" spans="1:30" ht="21" thickBot="1">
      <c r="A8" s="515"/>
      <c r="B8" s="516"/>
      <c r="C8" s="3413" t="s">
        <v>2935</v>
      </c>
      <c r="D8" s="3414"/>
      <c r="E8" s="3413" t="s">
        <v>2935</v>
      </c>
      <c r="F8" s="3414"/>
      <c r="G8" s="3409" t="s">
        <v>2935</v>
      </c>
      <c r="H8" s="3410"/>
      <c r="I8" s="3409" t="s">
        <v>2935</v>
      </c>
      <c r="J8" s="3410"/>
      <c r="K8" s="514" t="s">
        <v>528</v>
      </c>
      <c r="L8" s="2119"/>
      <c r="M8" s="2118"/>
      <c r="N8" s="2118"/>
      <c r="O8" s="2120"/>
      <c r="P8" s="3401"/>
      <c r="Q8" s="3402"/>
      <c r="R8" s="3405"/>
      <c r="S8" s="3406"/>
      <c r="T8" s="3407"/>
      <c r="U8" s="3408"/>
      <c r="V8" s="3390"/>
      <c r="W8" s="3390"/>
      <c r="X8" s="1554"/>
      <c r="Y8" s="3407"/>
      <c r="Z8" s="3408"/>
      <c r="AA8" s="3394"/>
      <c r="AB8" s="3394"/>
      <c r="AC8" s="3394"/>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420" t="s">
        <v>530</v>
      </c>
      <c r="Q9" s="3422"/>
      <c r="R9" s="1555" t="s">
        <v>8</v>
      </c>
      <c r="S9" s="1556">
        <f t="shared" ref="S9:S17" si="0">F9</f>
        <v>99.5</v>
      </c>
      <c r="T9" s="1555" t="s">
        <v>8</v>
      </c>
      <c r="U9" s="1556">
        <f t="shared" ref="U9:U17" si="1">H9</f>
        <v>98</v>
      </c>
      <c r="V9" s="1555" t="s">
        <v>8</v>
      </c>
      <c r="W9" s="1556">
        <f t="shared" ref="W9:W17" si="2">J9</f>
        <v>98</v>
      </c>
      <c r="X9" s="1557"/>
      <c r="Y9" s="3420" t="s">
        <v>530</v>
      </c>
      <c r="Z9" s="3421"/>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20" t="s">
        <v>533</v>
      </c>
      <c r="Q10" s="3421"/>
      <c r="R10" s="1555" t="s">
        <v>8</v>
      </c>
      <c r="S10" s="1556">
        <f t="shared" si="0"/>
        <v>100</v>
      </c>
      <c r="T10" s="1555" t="s">
        <v>8</v>
      </c>
      <c r="U10" s="1556">
        <f t="shared" si="1"/>
        <v>100</v>
      </c>
      <c r="V10" s="1555" t="s">
        <v>8</v>
      </c>
      <c r="W10" s="1556">
        <f t="shared" si="2"/>
        <v>100</v>
      </c>
      <c r="X10" s="1557"/>
      <c r="Y10" s="3420" t="s">
        <v>533</v>
      </c>
      <c r="Z10" s="3421"/>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9" t="s">
        <v>535</v>
      </c>
      <c r="Q11" s="1147" t="str">
        <f t="shared" ref="Q11:Q17" si="6">B11</f>
        <v>用途</v>
      </c>
      <c r="R11" s="1555" t="s">
        <v>8</v>
      </c>
      <c r="S11" s="1556">
        <f t="shared" si="0"/>
        <v>100</v>
      </c>
      <c r="T11" s="1555" t="s">
        <v>8</v>
      </c>
      <c r="U11" s="1556">
        <f t="shared" si="1"/>
        <v>100</v>
      </c>
      <c r="V11" s="1555" t="s">
        <v>8</v>
      </c>
      <c r="W11" s="1556">
        <f t="shared" si="2"/>
        <v>100</v>
      </c>
      <c r="X11" s="1557"/>
      <c r="Y11" s="3335"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9"/>
      <c r="Q12" s="1147" t="str">
        <f t="shared" si="6"/>
        <v>土地使用年限（年）</v>
      </c>
      <c r="R12" s="1555" t="s">
        <v>8</v>
      </c>
      <c r="S12" s="1556">
        <f t="shared" si="0"/>
        <v>101</v>
      </c>
      <c r="T12" s="1555" t="s">
        <v>8</v>
      </c>
      <c r="U12" s="1556">
        <f t="shared" si="1"/>
        <v>101</v>
      </c>
      <c r="V12" s="1555" t="s">
        <v>8</v>
      </c>
      <c r="W12" s="1556">
        <f t="shared" si="2"/>
        <v>101</v>
      </c>
      <c r="X12" s="1557"/>
      <c r="Y12" s="3335"/>
      <c r="Z12" s="1146" t="str">
        <f t="shared" si="7"/>
        <v>土地使用年限（年）</v>
      </c>
      <c r="AA12" s="1558">
        <f t="shared" si="3"/>
        <v>0.99009900990099009</v>
      </c>
      <c r="AB12" s="1558">
        <f t="shared" si="4"/>
        <v>0.99009900990099009</v>
      </c>
      <c r="AC12" s="1558">
        <f t="shared" si="5"/>
        <v>0.99009900990099009</v>
      </c>
    </row>
    <row r="13" spans="1:30" ht="21" thickBot="1">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389"/>
      <c r="Q13" s="1147" t="str">
        <f t="shared" si="6"/>
        <v>容积率</v>
      </c>
      <c r="R13" s="1555" t="s">
        <v>8</v>
      </c>
      <c r="S13" s="1556">
        <f t="shared" si="0"/>
        <v>103</v>
      </c>
      <c r="T13" s="1555" t="s">
        <v>8</v>
      </c>
      <c r="U13" s="1556">
        <f t="shared" si="1"/>
        <v>103</v>
      </c>
      <c r="V13" s="1555" t="s">
        <v>8</v>
      </c>
      <c r="W13" s="1556">
        <f t="shared" si="2"/>
        <v>103</v>
      </c>
      <c r="X13" s="1557"/>
      <c r="Y13" s="3335"/>
      <c r="Z13" s="1146" t="str">
        <f t="shared" si="7"/>
        <v>容积率</v>
      </c>
      <c r="AA13" s="1558">
        <f t="shared" si="3"/>
        <v>0.970873786407767</v>
      </c>
      <c r="AB13" s="1558">
        <f t="shared" si="4"/>
        <v>0.970873786407767</v>
      </c>
      <c r="AC13" s="1558">
        <f t="shared" si="5"/>
        <v>0.970873786407767</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9"/>
      <c r="Q14" s="1147" t="str">
        <f t="shared" si="6"/>
        <v>配建</v>
      </c>
      <c r="R14" s="1555" t="s">
        <v>8</v>
      </c>
      <c r="S14" s="1556">
        <f t="shared" si="0"/>
        <v>100</v>
      </c>
      <c r="T14" s="1555" t="s">
        <v>8</v>
      </c>
      <c r="U14" s="1556">
        <f t="shared" si="1"/>
        <v>100</v>
      </c>
      <c r="V14" s="1555" t="s">
        <v>8</v>
      </c>
      <c r="W14" s="1556">
        <f t="shared" si="2"/>
        <v>100</v>
      </c>
      <c r="X14" s="1557"/>
      <c r="Y14" s="3335"/>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9"/>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9"/>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23" t="s">
        <v>540</v>
      </c>
      <c r="Q17" s="1559" t="str">
        <f t="shared" si="6"/>
        <v>居住社区成熟度</v>
      </c>
      <c r="R17" s="1560" t="s">
        <v>8</v>
      </c>
      <c r="S17" s="1561">
        <f t="shared" si="0"/>
        <v>105</v>
      </c>
      <c r="T17" s="1560" t="s">
        <v>8</v>
      </c>
      <c r="U17" s="1561">
        <f t="shared" si="1"/>
        <v>105</v>
      </c>
      <c r="V17" s="1560" t="s">
        <v>8</v>
      </c>
      <c r="W17" s="1561">
        <f t="shared" si="2"/>
        <v>100</v>
      </c>
      <c r="X17" s="1554"/>
      <c r="Y17" s="3423"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24"/>
      <c r="Q18" s="1559"/>
      <c r="R18" s="1560"/>
      <c r="S18" s="1561"/>
      <c r="T18" s="1560"/>
      <c r="U18" s="1561"/>
      <c r="V18" s="1560"/>
      <c r="W18" s="1561"/>
      <c r="X18" s="1554"/>
      <c r="Y18" s="342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24"/>
      <c r="Q19" s="1559" t="str">
        <f>B19</f>
        <v>商业繁华度</v>
      </c>
      <c r="R19" s="1560" t="s">
        <v>8</v>
      </c>
      <c r="S19" s="1561">
        <f>F19</f>
        <v>100</v>
      </c>
      <c r="T19" s="1560" t="s">
        <v>8</v>
      </c>
      <c r="U19" s="1561">
        <f>H19</f>
        <v>100</v>
      </c>
      <c r="V19" s="1560" t="s">
        <v>8</v>
      </c>
      <c r="W19" s="1561">
        <f>J19</f>
        <v>100</v>
      </c>
      <c r="X19" s="1554"/>
      <c r="Y19" s="3424"/>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24"/>
      <c r="Q20" s="1559"/>
      <c r="R20" s="1560"/>
      <c r="S20" s="1561"/>
      <c r="T20" s="1560"/>
      <c r="U20" s="1561"/>
      <c r="V20" s="1560"/>
      <c r="W20" s="1561"/>
      <c r="X20" s="1554"/>
      <c r="Y20" s="3424"/>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4"/>
      <c r="Q21" s="1559" t="str">
        <f>B21</f>
        <v>办公集聚程度</v>
      </c>
      <c r="R21" s="1560" t="s">
        <v>8</v>
      </c>
      <c r="S21" s="1561">
        <f>F21</f>
        <v>100</v>
      </c>
      <c r="T21" s="1560" t="s">
        <v>8</v>
      </c>
      <c r="U21" s="1561">
        <f>H21</f>
        <v>100</v>
      </c>
      <c r="V21" s="1560" t="s">
        <v>8</v>
      </c>
      <c r="W21" s="1561">
        <f>J21</f>
        <v>100</v>
      </c>
      <c r="X21" s="1554"/>
      <c r="Y21" s="3424"/>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24"/>
      <c r="Q22" s="1559"/>
      <c r="R22" s="1560"/>
      <c r="S22" s="1561"/>
      <c r="T22" s="1560"/>
      <c r="U22" s="1561"/>
      <c r="V22" s="1560"/>
      <c r="W22" s="1561"/>
      <c r="X22" s="1554"/>
      <c r="Y22" s="342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24"/>
      <c r="Q23" s="1559" t="str">
        <f>B23</f>
        <v>交通便捷度</v>
      </c>
      <c r="R23" s="1560" t="s">
        <v>8</v>
      </c>
      <c r="S23" s="1561">
        <f>F23</f>
        <v>105</v>
      </c>
      <c r="T23" s="1560" t="s">
        <v>8</v>
      </c>
      <c r="U23" s="1561">
        <f>H23</f>
        <v>105</v>
      </c>
      <c r="V23" s="1560" t="s">
        <v>8</v>
      </c>
      <c r="W23" s="1561">
        <f>J23</f>
        <v>100</v>
      </c>
      <c r="X23" s="1554"/>
      <c r="Y23" s="3424"/>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24"/>
      <c r="Q24" s="1559"/>
      <c r="R24" s="1560"/>
      <c r="S24" s="1561"/>
      <c r="T24" s="1560"/>
      <c r="U24" s="1561"/>
      <c r="V24" s="1560"/>
      <c r="W24" s="1561"/>
      <c r="X24" s="1554"/>
      <c r="Y24" s="342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4"/>
      <c r="Q25" s="1559" t="str">
        <f t="shared" ref="Q25:Q39" si="8">B25</f>
        <v>区域土地利用方向</v>
      </c>
      <c r="R25" s="1560" t="s">
        <v>8</v>
      </c>
      <c r="S25" s="1561">
        <f>F25</f>
        <v>100</v>
      </c>
      <c r="T25" s="1560" t="s">
        <v>8</v>
      </c>
      <c r="U25" s="1561">
        <f>H25</f>
        <v>100</v>
      </c>
      <c r="V25" s="1560" t="s">
        <v>8</v>
      </c>
      <c r="W25" s="1561">
        <f>J25</f>
        <v>100</v>
      </c>
      <c r="X25" s="1554"/>
      <c r="Y25" s="3424"/>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4"/>
      <c r="Q26" s="1559"/>
      <c r="R26" s="1560"/>
      <c r="S26" s="1561"/>
      <c r="T26" s="1560"/>
      <c r="U26" s="1561"/>
      <c r="V26" s="1560"/>
      <c r="W26" s="1561"/>
      <c r="X26" s="1554"/>
      <c r="Y26" s="342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4"/>
      <c r="Q27" s="1559" t="str">
        <f t="shared" si="8"/>
        <v>自然及人文环境状况</v>
      </c>
      <c r="R27" s="1560" t="s">
        <v>8</v>
      </c>
      <c r="S27" s="1561">
        <f>F27</f>
        <v>100</v>
      </c>
      <c r="T27" s="1560" t="s">
        <v>8</v>
      </c>
      <c r="U27" s="1561">
        <f>H27</f>
        <v>100</v>
      </c>
      <c r="V27" s="1560" t="s">
        <v>8</v>
      </c>
      <c r="W27" s="1561">
        <f>J27</f>
        <v>100</v>
      </c>
      <c r="X27" s="1554"/>
      <c r="Y27" s="3424"/>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24"/>
      <c r="Q28" s="1559"/>
      <c r="R28" s="1560"/>
      <c r="S28" s="1561"/>
      <c r="T28" s="1560"/>
      <c r="U28" s="1561"/>
      <c r="V28" s="1560"/>
      <c r="W28" s="1561"/>
      <c r="X28" s="1554"/>
      <c r="Y28" s="342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3196">
        <v>5</v>
      </c>
      <c r="L29" s="2121"/>
      <c r="M29" s="2118"/>
      <c r="N29" s="2118"/>
      <c r="O29" s="2123"/>
      <c r="P29" s="3424"/>
      <c r="Q29" s="1147" t="str">
        <f t="shared" si="8"/>
        <v>公共配套设施</v>
      </c>
      <c r="R29" s="1555" t="s">
        <v>8</v>
      </c>
      <c r="S29" s="1556">
        <f>F29</f>
        <v>105</v>
      </c>
      <c r="T29" s="1555" t="s">
        <v>8</v>
      </c>
      <c r="U29" s="1556">
        <f>H29</f>
        <v>105</v>
      </c>
      <c r="V29" s="1555" t="s">
        <v>8</v>
      </c>
      <c r="W29" s="1556">
        <f>J29</f>
        <v>100</v>
      </c>
      <c r="X29" s="1557"/>
      <c r="Y29" s="3424"/>
      <c r="Z29" s="1146" t="str">
        <f>Q29</f>
        <v>公共配套设施</v>
      </c>
      <c r="AA29" s="1563">
        <f>D29/F29</f>
        <v>0.95238095238095233</v>
      </c>
      <c r="AB29" s="1563">
        <f>D29/H29</f>
        <v>0.95238095238095233</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24"/>
      <c r="Q30" s="1147"/>
      <c r="R30" s="1555"/>
      <c r="S30" s="1556"/>
      <c r="T30" s="1555"/>
      <c r="U30" s="1556"/>
      <c r="V30" s="1555"/>
      <c r="W30" s="1556"/>
      <c r="X30" s="1557"/>
      <c r="Y30" s="342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4"/>
      <c r="Q31" s="2543" t="str">
        <f t="shared" ref="Q31" si="9">B31</f>
        <v>基础设施水平</v>
      </c>
      <c r="R31" s="1555" t="s">
        <v>8</v>
      </c>
      <c r="S31" s="1556">
        <f>F31</f>
        <v>100</v>
      </c>
      <c r="T31" s="1555" t="s">
        <v>8</v>
      </c>
      <c r="U31" s="1556">
        <f>H31</f>
        <v>100</v>
      </c>
      <c r="V31" s="1555" t="s">
        <v>8</v>
      </c>
      <c r="W31" s="1556">
        <f>J31</f>
        <v>100</v>
      </c>
      <c r="X31" s="1557"/>
      <c r="Y31" s="3424"/>
      <c r="Z31" s="2540" t="str">
        <f>Q31</f>
        <v>基础设施水平</v>
      </c>
      <c r="AA31" s="1563">
        <f>D31/F31</f>
        <v>1</v>
      </c>
      <c r="AB31" s="1563">
        <f>D31/H31</f>
        <v>1</v>
      </c>
      <c r="AC31" s="156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24"/>
      <c r="Q32" s="2543"/>
      <c r="R32" s="1555"/>
      <c r="S32" s="1556"/>
      <c r="T32" s="1555"/>
      <c r="U32" s="1556"/>
      <c r="V32" s="1555"/>
      <c r="W32" s="1556"/>
      <c r="X32" s="1557"/>
      <c r="Y32" s="3424"/>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4"/>
      <c r="Q34" s="1559" t="str">
        <f t="shared" si="8"/>
        <v>毗邻道路的类型与等级</v>
      </c>
      <c r="R34" s="1560" t="s">
        <v>8</v>
      </c>
      <c r="S34" s="1561">
        <f t="shared" si="10"/>
        <v>100</v>
      </c>
      <c r="T34" s="1560" t="s">
        <v>8</v>
      </c>
      <c r="U34" s="1561">
        <f t="shared" si="11"/>
        <v>100</v>
      </c>
      <c r="V34" s="1560" t="s">
        <v>8</v>
      </c>
      <c r="W34" s="1561">
        <f t="shared" si="12"/>
        <v>100</v>
      </c>
      <c r="X34" s="1554"/>
      <c r="Y34" s="3424"/>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24"/>
      <c r="Q35" s="1559"/>
      <c r="R35" s="1560"/>
      <c r="S35" s="1561"/>
      <c r="T35" s="1560"/>
      <c r="U35" s="1561"/>
      <c r="V35" s="1560"/>
      <c r="W35" s="1561"/>
      <c r="X35" s="1554"/>
      <c r="Y35" s="3424"/>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4"/>
      <c r="Q36" s="1559" t="str">
        <f t="shared" si="8"/>
        <v>土地级别</v>
      </c>
      <c r="R36" s="1560" t="s">
        <v>8</v>
      </c>
      <c r="S36" s="1561">
        <f t="shared" si="10"/>
        <v>100</v>
      </c>
      <c r="T36" s="1560" t="s">
        <v>8</v>
      </c>
      <c r="U36" s="1561">
        <f t="shared" si="11"/>
        <v>100</v>
      </c>
      <c r="V36" s="1560" t="s">
        <v>8</v>
      </c>
      <c r="W36" s="1561">
        <f t="shared" si="12"/>
        <v>100</v>
      </c>
      <c r="X36" s="1554"/>
      <c r="Y36" s="3424"/>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4"/>
      <c r="Q37" s="1559">
        <f t="shared" si="8"/>
        <v>111</v>
      </c>
      <c r="R37" s="1560" t="s">
        <v>8</v>
      </c>
      <c r="S37" s="1561">
        <f t="shared" si="10"/>
        <v>100</v>
      </c>
      <c r="T37" s="1560" t="s">
        <v>8</v>
      </c>
      <c r="U37" s="1561">
        <f t="shared" si="11"/>
        <v>100</v>
      </c>
      <c r="V37" s="1560" t="s">
        <v>8</v>
      </c>
      <c r="W37" s="1561">
        <f t="shared" si="12"/>
        <v>100</v>
      </c>
      <c r="X37" s="1554"/>
      <c r="Y37" s="3424"/>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5" t="s">
        <v>550</v>
      </c>
      <c r="Q38" s="1559">
        <f t="shared" si="8"/>
        <v>111</v>
      </c>
      <c r="R38" s="1560" t="s">
        <v>8</v>
      </c>
      <c r="S38" s="1561">
        <f t="shared" si="10"/>
        <v>100</v>
      </c>
      <c r="T38" s="1560" t="s">
        <v>8</v>
      </c>
      <c r="U38" s="1561">
        <f t="shared" si="11"/>
        <v>100</v>
      </c>
      <c r="V38" s="1560" t="s">
        <v>8</v>
      </c>
      <c r="W38" s="1561">
        <f t="shared" si="12"/>
        <v>100</v>
      </c>
      <c r="X38" s="1554"/>
      <c r="Y38" s="3426"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6"/>
      <c r="Q39" s="1559">
        <f t="shared" si="8"/>
        <v>111</v>
      </c>
      <c r="R39" s="1564" t="s">
        <v>8</v>
      </c>
      <c r="S39" s="1565">
        <f t="shared" si="10"/>
        <v>100</v>
      </c>
      <c r="T39" s="1564" t="s">
        <v>8</v>
      </c>
      <c r="U39" s="1565">
        <f t="shared" si="11"/>
        <v>100</v>
      </c>
      <c r="V39" s="1564" t="s">
        <v>8</v>
      </c>
      <c r="W39" s="1565">
        <f t="shared" si="12"/>
        <v>100</v>
      </c>
      <c r="X39" s="1566"/>
      <c r="Y39" s="3426"/>
      <c r="Z39" s="1567">
        <f t="shared" si="13"/>
        <v>111</v>
      </c>
      <c r="AA39" s="1563">
        <f t="shared" si="3"/>
        <v>1</v>
      </c>
      <c r="AB39" s="1563">
        <f t="shared" si="4"/>
        <v>1</v>
      </c>
      <c r="AC39" s="1563">
        <f t="shared" si="5"/>
        <v>1</v>
      </c>
    </row>
    <row r="40" spans="1:29" ht="20.25">
      <c r="A40" s="2863" t="s">
        <v>2755</v>
      </c>
      <c r="B40" s="595" t="s">
        <v>552</v>
      </c>
      <c r="C40" s="596">
        <f>'数据-基础表'!A3</f>
        <v>107481.21</v>
      </c>
      <c r="D40" s="597">
        <v>100</v>
      </c>
      <c r="E40" s="596">
        <f>Sheet1!D3</f>
        <v>108395.02</v>
      </c>
      <c r="F40" s="597">
        <f>LOOKUP(E40,119:119,120:120)-LOOKUP(C40,119:119,120:120)+100</f>
        <v>100</v>
      </c>
      <c r="G40" s="596">
        <f>Sheet1!D7</f>
        <v>85560.73</v>
      </c>
      <c r="H40" s="597">
        <f>LOOKUP(G40,119:119,120:120)-LOOKUP(C40,119:119,120:120)+100</f>
        <v>99</v>
      </c>
      <c r="I40" s="598">
        <f>Sheet1!D8</f>
        <v>65749.279999999999</v>
      </c>
      <c r="J40" s="597">
        <f>LOOKUP(I40,119:119,120:120)-LOOKUP(C40,119:119,120:120)+100</f>
        <v>99</v>
      </c>
      <c r="K40" s="581"/>
      <c r="L40" s="2128"/>
      <c r="M40" s="2118"/>
      <c r="N40" s="2118"/>
      <c r="O40" s="2127"/>
      <c r="P40" s="3426"/>
      <c r="Q40" s="1559" t="str">
        <f>B40</f>
        <v>宗地面积</v>
      </c>
      <c r="R40" s="1560" t="s">
        <v>8</v>
      </c>
      <c r="S40" s="1561">
        <f t="shared" si="10"/>
        <v>100</v>
      </c>
      <c r="T40" s="1560" t="s">
        <v>8</v>
      </c>
      <c r="U40" s="1561">
        <f t="shared" si="11"/>
        <v>99</v>
      </c>
      <c r="V40" s="1560" t="s">
        <v>8</v>
      </c>
      <c r="W40" s="1561">
        <f t="shared" si="12"/>
        <v>99</v>
      </c>
      <c r="X40" s="1554"/>
      <c r="Y40" s="3426"/>
      <c r="Z40" s="1562" t="str">
        <f t="shared" si="13"/>
        <v>宗地面积</v>
      </c>
      <c r="AA40" s="1563">
        <f t="shared" si="3"/>
        <v>1</v>
      </c>
      <c r="AB40" s="1563">
        <f t="shared" si="4"/>
        <v>1.0101010101010102</v>
      </c>
      <c r="AC40" s="156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6"/>
      <c r="Q41" s="1559" t="str">
        <f t="shared" ref="Q41:Q47" si="14">B41</f>
        <v>宗地形状</v>
      </c>
      <c r="R41" s="1560" t="s">
        <v>8</v>
      </c>
      <c r="S41" s="1561">
        <f t="shared" si="10"/>
        <v>100</v>
      </c>
      <c r="T41" s="1560" t="s">
        <v>8</v>
      </c>
      <c r="U41" s="1561">
        <f t="shared" si="11"/>
        <v>100</v>
      </c>
      <c r="V41" s="1560" t="s">
        <v>8</v>
      </c>
      <c r="W41" s="1561">
        <f t="shared" si="12"/>
        <v>100</v>
      </c>
      <c r="X41" s="1554"/>
      <c r="Y41" s="3426"/>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6"/>
      <c r="Q42" s="1559" t="str">
        <f t="shared" si="14"/>
        <v>临街宽度及深度</v>
      </c>
      <c r="R42" s="1560" t="s">
        <v>8</v>
      </c>
      <c r="S42" s="1561">
        <f t="shared" si="10"/>
        <v>100</v>
      </c>
      <c r="T42" s="1560" t="s">
        <v>8</v>
      </c>
      <c r="U42" s="1561">
        <f t="shared" si="11"/>
        <v>100</v>
      </c>
      <c r="V42" s="1560" t="s">
        <v>8</v>
      </c>
      <c r="W42" s="1561">
        <f t="shared" si="12"/>
        <v>100</v>
      </c>
      <c r="X42" s="1554"/>
      <c r="Y42" s="3426"/>
      <c r="Z42" s="1562" t="str">
        <f t="shared" si="13"/>
        <v>临街宽度及深度</v>
      </c>
      <c r="AA42" s="1563">
        <f t="shared" si="3"/>
        <v>1</v>
      </c>
      <c r="AB42" s="1563">
        <f t="shared" si="4"/>
        <v>1</v>
      </c>
      <c r="AC42" s="1563">
        <f t="shared" si="5"/>
        <v>1</v>
      </c>
    </row>
    <row r="43" spans="1:29" s="1216" customFormat="1" ht="21" thickBot="1">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26"/>
      <c r="Q43" s="1559" t="str">
        <f t="shared" si="14"/>
        <v>宗地开发程度</v>
      </c>
      <c r="R43" s="1555" t="s">
        <v>8</v>
      </c>
      <c r="S43" s="1556">
        <f t="shared" si="10"/>
        <v>100</v>
      </c>
      <c r="T43" s="1555" t="s">
        <v>8</v>
      </c>
      <c r="U43" s="1556">
        <f t="shared" si="11"/>
        <v>100</v>
      </c>
      <c r="V43" s="1555" t="s">
        <v>8</v>
      </c>
      <c r="W43" s="1556">
        <f t="shared" si="12"/>
        <v>100</v>
      </c>
      <c r="X43" s="1557"/>
      <c r="Y43" s="3426"/>
      <c r="Z43" s="1146" t="str">
        <f t="shared" si="13"/>
        <v>宗地开发程度</v>
      </c>
      <c r="AA43" s="1558">
        <f t="shared" si="3"/>
        <v>1</v>
      </c>
      <c r="AB43" s="1558">
        <f t="shared" si="4"/>
        <v>1</v>
      </c>
      <c r="AC43" s="1558">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6" t="s">
        <v>550</v>
      </c>
      <c r="Q44" s="1559" t="str">
        <f t="shared" si="14"/>
        <v>工程地质条件</v>
      </c>
      <c r="R44" s="1560" t="s">
        <v>8</v>
      </c>
      <c r="S44" s="1561">
        <f t="shared" si="10"/>
        <v>100</v>
      </c>
      <c r="T44" s="1560" t="s">
        <v>8</v>
      </c>
      <c r="U44" s="1561">
        <f t="shared" si="11"/>
        <v>100</v>
      </c>
      <c r="V44" s="1560" t="s">
        <v>8</v>
      </c>
      <c r="W44" s="1561">
        <f t="shared" si="12"/>
        <v>100</v>
      </c>
      <c r="X44" s="1554"/>
      <c r="Y44" s="3426"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6"/>
      <c r="Q45" s="1559">
        <f t="shared" si="14"/>
        <v>111</v>
      </c>
      <c r="R45" s="1560" t="s">
        <v>8</v>
      </c>
      <c r="S45" s="1561">
        <f t="shared" si="10"/>
        <v>100</v>
      </c>
      <c r="T45" s="1560" t="s">
        <v>8</v>
      </c>
      <c r="U45" s="1561">
        <f t="shared" si="11"/>
        <v>100</v>
      </c>
      <c r="V45" s="1560" t="s">
        <v>8</v>
      </c>
      <c r="W45" s="1561">
        <f t="shared" si="12"/>
        <v>100</v>
      </c>
      <c r="X45" s="1554"/>
      <c r="Y45" s="3426"/>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6"/>
      <c r="Q46" s="1559">
        <f t="shared" si="14"/>
        <v>111</v>
      </c>
      <c r="R46" s="1560" t="s">
        <v>8</v>
      </c>
      <c r="S46" s="1561">
        <f t="shared" si="10"/>
        <v>100</v>
      </c>
      <c r="T46" s="1560" t="s">
        <v>8</v>
      </c>
      <c r="U46" s="1561">
        <f t="shared" si="11"/>
        <v>100</v>
      </c>
      <c r="V46" s="1560" t="s">
        <v>8</v>
      </c>
      <c r="W46" s="1561">
        <f t="shared" si="12"/>
        <v>100</v>
      </c>
      <c r="X46" s="1554"/>
      <c r="Y46" s="3426"/>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6"/>
      <c r="Q47" s="1559">
        <f t="shared" si="14"/>
        <v>111</v>
      </c>
      <c r="R47" s="1564" t="s">
        <v>8</v>
      </c>
      <c r="S47" s="1565">
        <f t="shared" si="10"/>
        <v>100</v>
      </c>
      <c r="T47" s="1564" t="s">
        <v>8</v>
      </c>
      <c r="U47" s="1565">
        <f t="shared" si="11"/>
        <v>100</v>
      </c>
      <c r="V47" s="1564" t="s">
        <v>8</v>
      </c>
      <c r="W47" s="1565">
        <f t="shared" si="12"/>
        <v>100</v>
      </c>
      <c r="X47" s="1566"/>
      <c r="Y47" s="3426"/>
      <c r="Z47" s="1567">
        <f t="shared" si="13"/>
        <v>111</v>
      </c>
      <c r="AA47" s="1563">
        <f t="shared" si="3"/>
        <v>1</v>
      </c>
      <c r="AB47" s="1563">
        <f t="shared" si="4"/>
        <v>1</v>
      </c>
      <c r="AC47" s="1563">
        <f t="shared" si="5"/>
        <v>1</v>
      </c>
    </row>
    <row r="48" spans="1:29" ht="20.25">
      <c r="A48" s="607" t="s">
        <v>556</v>
      </c>
      <c r="B48" s="608" t="s">
        <v>3085</v>
      </c>
      <c r="C48" s="609" t="s">
        <v>1</v>
      </c>
      <c r="D48" s="610"/>
      <c r="E48" s="611">
        <v>1080</v>
      </c>
      <c r="F48" s="612"/>
      <c r="G48" s="613">
        <v>1110</v>
      </c>
      <c r="H48" s="614"/>
      <c r="I48" s="611">
        <v>1110</v>
      </c>
      <c r="J48" s="614"/>
      <c r="K48" s="1336"/>
      <c r="L48" s="2130"/>
      <c r="M48" s="2118"/>
      <c r="N48" s="2118"/>
      <c r="O48" s="2131"/>
      <c r="P48" s="3389" t="str">
        <f>A48</f>
        <v>成交单价</v>
      </c>
      <c r="Q48" s="3389"/>
      <c r="R48" s="3390">
        <f>E48</f>
        <v>1080</v>
      </c>
      <c r="S48" s="3390"/>
      <c r="T48" s="3390">
        <f>G48</f>
        <v>1110</v>
      </c>
      <c r="U48" s="3390"/>
      <c r="V48" s="3390">
        <f>I48</f>
        <v>1110</v>
      </c>
      <c r="W48" s="3390"/>
      <c r="X48" s="1546"/>
      <c r="Y48" s="1568"/>
      <c r="Z48" s="1546"/>
      <c r="AA48" s="1546"/>
      <c r="AB48" s="1546"/>
      <c r="AC48" s="1546"/>
    </row>
    <row r="49" spans="1:29" ht="21" thickBot="1">
      <c r="A49" s="615" t="s">
        <v>2693</v>
      </c>
      <c r="B49" s="616"/>
      <c r="C49" s="617">
        <f>R50</f>
        <v>984</v>
      </c>
      <c r="D49" s="618"/>
      <c r="E49" s="617">
        <f>R49</f>
        <v>901</v>
      </c>
      <c r="F49" s="619"/>
      <c r="G49" s="620">
        <f>T49</f>
        <v>950</v>
      </c>
      <c r="H49" s="618"/>
      <c r="I49" s="617">
        <f>V49</f>
        <v>1100</v>
      </c>
      <c r="J49" s="618"/>
      <c r="K49" s="1337"/>
      <c r="L49" s="2130"/>
      <c r="M49" s="2118"/>
      <c r="N49" s="2118"/>
      <c r="O49" s="2131"/>
      <c r="P49" s="3389" t="str">
        <f>A49</f>
        <v>比较价格（元/平方米）</v>
      </c>
      <c r="Q49" s="3389"/>
      <c r="R49" s="3391">
        <f>ROUND(PRODUCT(R48,AA9:AA47),0)</f>
        <v>901</v>
      </c>
      <c r="S49" s="3391"/>
      <c r="T49" s="3391">
        <f>ROUND(PRODUCT(T48,AB9:AB47),0)</f>
        <v>950</v>
      </c>
      <c r="U49" s="3391"/>
      <c r="V49" s="3391">
        <f>ROUND(PRODUCT(V48,AC9:AC47),0)</f>
        <v>1100</v>
      </c>
      <c r="W49" s="3391"/>
      <c r="X49" s="1546"/>
      <c r="Y49" s="1546"/>
      <c r="Z49" s="1546"/>
      <c r="AA49" s="1546"/>
      <c r="AB49" s="1546"/>
      <c r="AC49" s="1546"/>
    </row>
    <row r="50" spans="1:29" ht="21" thickBot="1">
      <c r="A50" s="621" t="s">
        <v>2937</v>
      </c>
      <c r="B50" s="622"/>
      <c r="C50" s="623">
        <f>R50</f>
        <v>984</v>
      </c>
      <c r="D50" s="623"/>
      <c r="E50" s="623"/>
      <c r="F50" s="623"/>
      <c r="G50" s="623"/>
      <c r="H50" s="623"/>
      <c r="I50" s="623"/>
      <c r="J50" s="623"/>
      <c r="K50" s="1338"/>
      <c r="L50" s="2130"/>
      <c r="M50" s="2118"/>
      <c r="N50" s="2118"/>
      <c r="O50" s="2131"/>
      <c r="P50" s="3386" t="str">
        <f>A50</f>
        <v>估价对象XX用房的比较价格（楼面单价，元/平方米）</v>
      </c>
      <c r="Q50" s="3387"/>
      <c r="R50" s="3388">
        <f>ROUND(AVERAGE(R49:V49),0)</f>
        <v>984</v>
      </c>
      <c r="S50" s="3388"/>
      <c r="T50" s="3388"/>
      <c r="U50" s="3388"/>
      <c r="V50" s="3388"/>
      <c r="W50" s="338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0.19866814650388465</v>
      </c>
      <c r="F53" s="627" t="str">
        <f>IF(OR(E53&gt;=0.3,E53&lt;=-0.3),"超过30%","")</f>
        <v/>
      </c>
      <c r="G53" s="626">
        <f>IF(G48&lt;G49,G49/G48-1,G48/G49-1)</f>
        <v>0.16842105263157903</v>
      </c>
      <c r="H53" s="627" t="str">
        <f>IF(OR(G53&gt;=0.3,G53&lt;=-0.3),"超过30%","")</f>
        <v/>
      </c>
      <c r="I53" s="626">
        <f>IF(I48&lt;I49,I49/I48-1,I48/I49-1)</f>
        <v>9.0909090909090384E-3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5.4384017758046577E-2</v>
      </c>
      <c r="F54" s="627" t="str">
        <f>IF(OR(E54&gt;=0.2,E54&lt;=-0.2),"超过20%","")</f>
        <v/>
      </c>
      <c r="G54" s="626">
        <f>IF(G49&lt;I49,I49/G49-1,G49/I49-1)</f>
        <v>0.15789473684210531</v>
      </c>
      <c r="H54" s="627" t="str">
        <f>IF(OR(G54&gt;=0.2,G54&lt;=-0.2),"超过20%","")</f>
        <v/>
      </c>
      <c r="I54" s="626">
        <f>IF(I49&lt;E49,E49/I49-1,I49/E49-1)</f>
        <v>0.22086570477247514</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5" t="s">
        <v>2281</v>
      </c>
      <c r="H57" s="341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984</v>
      </c>
      <c r="C58" s="635">
        <v>1</v>
      </c>
      <c r="D58" s="2214">
        <v>1</v>
      </c>
      <c r="E58" s="635">
        <f>'数据-汇总表'!E8+'数据-汇总表'!E9</f>
        <v>322443.63</v>
      </c>
      <c r="F58" s="636">
        <f t="shared" ref="F58:F67" si="15">ROUND(B58*E58/10000,0)</f>
        <v>31728</v>
      </c>
      <c r="G58" s="3417"/>
      <c r="H58" s="341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31728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2555</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G1" workbookViewId="0">
      <selection activeCell="R38" sqref="R38"/>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3105</v>
      </c>
      <c r="P1" s="3192" t="s">
        <v>3104</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3" sqref="B33: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1" t="str">
        <f>项目基本情况!B1</f>
        <v>出让国有建设用地使用权抵押价格预评估</v>
      </c>
      <c r="C37" s="3221"/>
      <c r="D37" s="3221"/>
      <c r="E37" s="3221"/>
      <c r="F37" s="3221"/>
      <c r="G37" s="3221"/>
      <c r="H37" s="3221"/>
      <c r="I37" s="322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26" zoomScale="80" zoomScaleNormal="95" zoomScaleSheetLayoutView="80" workbookViewId="0">
      <selection activeCell="I32" sqref="I32"/>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18669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579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1737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116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5" t="s">
        <v>522</v>
      </c>
      <c r="D6" s="3396"/>
      <c r="E6" s="3395" t="s">
        <v>523</v>
      </c>
      <c r="F6" s="3396"/>
      <c r="G6" s="3395" t="s">
        <v>524</v>
      </c>
      <c r="H6" s="3396"/>
      <c r="I6" s="3395" t="s">
        <v>525</v>
      </c>
      <c r="J6" s="3396"/>
      <c r="K6" s="514" t="s">
        <v>526</v>
      </c>
      <c r="L6" s="2119"/>
      <c r="M6" s="2118"/>
      <c r="N6" s="2118"/>
      <c r="O6" s="2120"/>
      <c r="P6" s="3397" t="s">
        <v>527</v>
      </c>
      <c r="Q6" s="3398"/>
      <c r="R6" s="3403" t="s">
        <v>523</v>
      </c>
      <c r="S6" s="3404"/>
      <c r="T6" s="3403" t="s">
        <v>524</v>
      </c>
      <c r="U6" s="3404"/>
      <c r="V6" s="3390" t="s">
        <v>525</v>
      </c>
      <c r="W6" s="3390"/>
      <c r="X6" s="3211"/>
      <c r="Y6" s="3403" t="s">
        <v>527</v>
      </c>
      <c r="Z6" s="3404"/>
      <c r="AA6" s="3392" t="s">
        <v>523</v>
      </c>
      <c r="AB6" s="3393" t="s">
        <v>524</v>
      </c>
      <c r="AC6" s="3392" t="s">
        <v>525</v>
      </c>
    </row>
    <row r="7" spans="1:30" ht="20.25">
      <c r="A7" s="515"/>
      <c r="B7" s="516"/>
      <c r="C7" s="3411" t="s">
        <v>2931</v>
      </c>
      <c r="D7" s="3412"/>
      <c r="E7" s="3427" t="str">
        <f>Sheet5!A8</f>
        <v>来宾市富华路与桂中大道延长线交叉口东南角</v>
      </c>
      <c r="F7" s="3428"/>
      <c r="G7" s="3411" t="str">
        <f>Sheet5!A6</f>
        <v>来宾市教育园区铁北路与南纵二路交叉口东南角</v>
      </c>
      <c r="H7" s="3412"/>
      <c r="I7" s="3411" t="str">
        <f>Sheet5!A7</f>
        <v>来宾市华侨大道与水韵路交叉口东南角</v>
      </c>
      <c r="J7" s="3412"/>
      <c r="K7" s="514"/>
      <c r="L7" s="2119"/>
      <c r="M7" s="2118"/>
      <c r="N7" s="2118"/>
      <c r="O7" s="2120"/>
      <c r="P7" s="3399"/>
      <c r="Q7" s="3400"/>
      <c r="R7" s="3405"/>
      <c r="S7" s="3406"/>
      <c r="T7" s="3405"/>
      <c r="U7" s="3406"/>
      <c r="V7" s="3390"/>
      <c r="W7" s="3390"/>
      <c r="X7" s="3211"/>
      <c r="Y7" s="3405"/>
      <c r="Z7" s="3406"/>
      <c r="AA7" s="3393"/>
      <c r="AB7" s="3393"/>
      <c r="AC7" s="3393"/>
    </row>
    <row r="8" spans="1:30" ht="21" thickBot="1">
      <c r="A8" s="515"/>
      <c r="B8" s="516"/>
      <c r="C8" s="3413" t="s">
        <v>2935</v>
      </c>
      <c r="D8" s="3414"/>
      <c r="E8" s="3413" t="s">
        <v>2935</v>
      </c>
      <c r="F8" s="3414"/>
      <c r="G8" s="3409" t="s">
        <v>2935</v>
      </c>
      <c r="H8" s="3410"/>
      <c r="I8" s="3409" t="s">
        <v>2935</v>
      </c>
      <c r="J8" s="3410"/>
      <c r="K8" s="514" t="s">
        <v>528</v>
      </c>
      <c r="L8" s="2119"/>
      <c r="M8" s="2118"/>
      <c r="N8" s="2118"/>
      <c r="O8" s="2120"/>
      <c r="P8" s="3401"/>
      <c r="Q8" s="3402"/>
      <c r="R8" s="3405"/>
      <c r="S8" s="3406"/>
      <c r="T8" s="3407"/>
      <c r="U8" s="3408"/>
      <c r="V8" s="3390"/>
      <c r="W8" s="3390"/>
      <c r="X8" s="3211"/>
      <c r="Y8" s="3407"/>
      <c r="Z8" s="3408"/>
      <c r="AA8" s="3394"/>
      <c r="AB8" s="3394"/>
      <c r="AC8" s="3394"/>
    </row>
    <row r="9" spans="1:30" s="1216" customFormat="1" ht="21" thickBot="1">
      <c r="A9" s="2868"/>
      <c r="B9" s="2875" t="s">
        <v>529</v>
      </c>
      <c r="C9" s="2867">
        <f>'数据-取费表'!B2</f>
        <v>43712</v>
      </c>
      <c r="D9" s="520">
        <v>100</v>
      </c>
      <c r="E9" s="521" t="str">
        <f>Sheet5!H8</f>
        <v>2017-08-28</v>
      </c>
      <c r="F9" s="522">
        <f>SUMIF(72:72,YEAR(E9)&amp;"-"&amp;INT((MONTH(E9)+2)/3),73:73)</f>
        <v>96</v>
      </c>
      <c r="G9" s="523" t="str">
        <f>Sheet5!$H$6</f>
        <v>2017-10-20</v>
      </c>
      <c r="H9" s="520">
        <f>SUMIF(72:72,YEAR(G9)&amp;"-"&amp;INT((MONTH(G9)+2)/3),73:73)</f>
        <v>96.5</v>
      </c>
      <c r="I9" s="523" t="str">
        <f>Sheet5!$H$7</f>
        <v>2017-10-20</v>
      </c>
      <c r="J9" s="520">
        <f>SUMIF(72:72,YEAR(I9)&amp;"-"&amp;INT((MONTH(I9)+2)/3),73:73)</f>
        <v>96.5</v>
      </c>
      <c r="K9" s="524"/>
      <c r="L9" s="2121"/>
      <c r="M9" s="2118"/>
      <c r="N9" s="2118"/>
      <c r="O9" s="2122"/>
      <c r="P9" s="3420" t="s">
        <v>530</v>
      </c>
      <c r="Q9" s="3422"/>
      <c r="R9" s="1555" t="s">
        <v>8</v>
      </c>
      <c r="S9" s="1556">
        <f t="shared" ref="S9:S17" si="0">F9</f>
        <v>96</v>
      </c>
      <c r="T9" s="1555" t="s">
        <v>8</v>
      </c>
      <c r="U9" s="1556">
        <f t="shared" ref="U9:U17" si="1">H9</f>
        <v>96.5</v>
      </c>
      <c r="V9" s="1555" t="s">
        <v>8</v>
      </c>
      <c r="W9" s="1556">
        <f t="shared" ref="W9:W17" si="2">J9</f>
        <v>96.5</v>
      </c>
      <c r="X9" s="1557"/>
      <c r="Y9" s="3420" t="s">
        <v>530</v>
      </c>
      <c r="Z9" s="3421"/>
      <c r="AA9" s="1558">
        <f>D9/F9</f>
        <v>1.0416666666666667</v>
      </c>
      <c r="AB9" s="1558">
        <f>D9/H9</f>
        <v>1.0362694300518134</v>
      </c>
      <c r="AC9" s="1558">
        <f>D9/J9</f>
        <v>1.0362694300518134</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20" t="s">
        <v>533</v>
      </c>
      <c r="Q10" s="3421"/>
      <c r="R10" s="1555" t="s">
        <v>8</v>
      </c>
      <c r="S10" s="1556">
        <f t="shared" si="0"/>
        <v>100</v>
      </c>
      <c r="T10" s="1555" t="s">
        <v>8</v>
      </c>
      <c r="U10" s="1556">
        <f t="shared" si="1"/>
        <v>100</v>
      </c>
      <c r="V10" s="1555" t="s">
        <v>8</v>
      </c>
      <c r="W10" s="1556">
        <f t="shared" si="2"/>
        <v>100</v>
      </c>
      <c r="X10" s="1557"/>
      <c r="Y10" s="3420" t="s">
        <v>533</v>
      </c>
      <c r="Z10" s="3421"/>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9" t="s">
        <v>535</v>
      </c>
      <c r="Q11" s="3208" t="str">
        <f t="shared" ref="Q11:Q17" si="6">B11</f>
        <v>用途</v>
      </c>
      <c r="R11" s="1555" t="s">
        <v>8</v>
      </c>
      <c r="S11" s="1556">
        <f t="shared" si="0"/>
        <v>100</v>
      </c>
      <c r="T11" s="1555" t="s">
        <v>8</v>
      </c>
      <c r="U11" s="1556">
        <f t="shared" si="1"/>
        <v>100</v>
      </c>
      <c r="V11" s="1555" t="s">
        <v>8</v>
      </c>
      <c r="W11" s="1556">
        <f t="shared" si="2"/>
        <v>100</v>
      </c>
      <c r="X11" s="1557"/>
      <c r="Y11" s="3335" t="s">
        <v>536</v>
      </c>
      <c r="Z11" s="3207"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9"/>
      <c r="Q12" s="3208" t="str">
        <f t="shared" si="6"/>
        <v>土地使用年限（年）</v>
      </c>
      <c r="R12" s="1555" t="s">
        <v>8</v>
      </c>
      <c r="S12" s="1556">
        <f t="shared" si="0"/>
        <v>101</v>
      </c>
      <c r="T12" s="1555" t="s">
        <v>8</v>
      </c>
      <c r="U12" s="1556">
        <f t="shared" si="1"/>
        <v>101</v>
      </c>
      <c r="V12" s="1555" t="s">
        <v>8</v>
      </c>
      <c r="W12" s="1556">
        <f t="shared" si="2"/>
        <v>101</v>
      </c>
      <c r="X12" s="1557"/>
      <c r="Y12" s="3335"/>
      <c r="Z12" s="3207"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4</v>
      </c>
      <c r="F13" s="255">
        <f>LOOKUP(E13,82:82,83:83)-LOOKUP(C13,82:82,83:83)+100</f>
        <v>95</v>
      </c>
      <c r="G13" s="534">
        <v>3</v>
      </c>
      <c r="H13" s="255">
        <f>LOOKUP(G13,82:82,83:83)-LOOKUP(C13,82:82,83:83)+100</f>
        <v>100</v>
      </c>
      <c r="I13" s="533">
        <v>2.5</v>
      </c>
      <c r="J13" s="255">
        <f>LOOKUP(I13,82:82,83:83)-LOOKUP(C13,82:82,83:83)+100</f>
        <v>105</v>
      </c>
      <c r="K13" s="3196">
        <v>5</v>
      </c>
      <c r="L13" s="2126"/>
      <c r="M13" s="2118"/>
      <c r="N13" s="2118"/>
      <c r="O13" s="2127"/>
      <c r="P13" s="3389"/>
      <c r="Q13" s="3208" t="str">
        <f t="shared" si="6"/>
        <v>容积率</v>
      </c>
      <c r="R13" s="1555" t="s">
        <v>8</v>
      </c>
      <c r="S13" s="1556">
        <f t="shared" si="0"/>
        <v>95</v>
      </c>
      <c r="T13" s="1555" t="s">
        <v>8</v>
      </c>
      <c r="U13" s="1556">
        <f t="shared" si="1"/>
        <v>100</v>
      </c>
      <c r="V13" s="1555" t="s">
        <v>8</v>
      </c>
      <c r="W13" s="1556">
        <f t="shared" si="2"/>
        <v>105</v>
      </c>
      <c r="X13" s="1557"/>
      <c r="Y13" s="3335"/>
      <c r="Z13" s="3207" t="str">
        <f t="shared" si="7"/>
        <v>容积率</v>
      </c>
      <c r="AA13" s="1558">
        <f t="shared" si="3"/>
        <v>1.0526315789473684</v>
      </c>
      <c r="AB13" s="1558">
        <f t="shared" si="4"/>
        <v>1</v>
      </c>
      <c r="AC13" s="1558">
        <f t="shared" si="5"/>
        <v>0.95238095238095233</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9"/>
      <c r="Q14" s="3208" t="str">
        <f t="shared" si="6"/>
        <v>配建</v>
      </c>
      <c r="R14" s="1555" t="s">
        <v>8</v>
      </c>
      <c r="S14" s="1556">
        <f t="shared" si="0"/>
        <v>100</v>
      </c>
      <c r="T14" s="1555" t="s">
        <v>8</v>
      </c>
      <c r="U14" s="1556">
        <f t="shared" si="1"/>
        <v>100</v>
      </c>
      <c r="V14" s="1555" t="s">
        <v>8</v>
      </c>
      <c r="W14" s="1556">
        <f t="shared" si="2"/>
        <v>100</v>
      </c>
      <c r="X14" s="1557"/>
      <c r="Y14" s="3335"/>
      <c r="Z14" s="3207" t="str">
        <f t="shared" si="7"/>
        <v>配建</v>
      </c>
      <c r="AA14" s="1558">
        <f>D14/F14</f>
        <v>1</v>
      </c>
      <c r="AB14" s="1558">
        <f>D14/H14</f>
        <v>1</v>
      </c>
      <c r="AC14" s="1558">
        <f>D14/J14</f>
        <v>1</v>
      </c>
    </row>
    <row r="15" spans="1:30" ht="22.9" customHeight="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9"/>
      <c r="Q15" s="3208">
        <f t="shared" si="6"/>
        <v>111</v>
      </c>
      <c r="R15" s="1555" t="s">
        <v>8</v>
      </c>
      <c r="S15" s="1556">
        <f t="shared" si="0"/>
        <v>100</v>
      </c>
      <c r="T15" s="1555" t="s">
        <v>8</v>
      </c>
      <c r="U15" s="1556">
        <f t="shared" si="1"/>
        <v>100</v>
      </c>
      <c r="V15" s="1555" t="s">
        <v>8</v>
      </c>
      <c r="W15" s="1556">
        <f t="shared" si="2"/>
        <v>100</v>
      </c>
      <c r="X15" s="1557"/>
      <c r="Y15" s="3335"/>
      <c r="Z15" s="3207">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9"/>
      <c r="Q16" s="3208">
        <f t="shared" si="6"/>
        <v>111</v>
      </c>
      <c r="R16" s="1555" t="s">
        <v>8</v>
      </c>
      <c r="S16" s="1556">
        <f t="shared" si="0"/>
        <v>100</v>
      </c>
      <c r="T16" s="1555" t="s">
        <v>8</v>
      </c>
      <c r="U16" s="1556">
        <f t="shared" si="1"/>
        <v>100</v>
      </c>
      <c r="V16" s="1555" t="s">
        <v>8</v>
      </c>
      <c r="W16" s="1556">
        <f t="shared" si="2"/>
        <v>100</v>
      </c>
      <c r="X16" s="1557"/>
      <c r="Y16" s="3335"/>
      <c r="Z16" s="3207">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23" t="s">
        <v>540</v>
      </c>
      <c r="Q17" s="3209" t="str">
        <f t="shared" si="6"/>
        <v>居住社区成熟度</v>
      </c>
      <c r="R17" s="1560" t="s">
        <v>8</v>
      </c>
      <c r="S17" s="1561">
        <f t="shared" si="0"/>
        <v>100</v>
      </c>
      <c r="T17" s="1560" t="s">
        <v>8</v>
      </c>
      <c r="U17" s="1561">
        <f t="shared" si="1"/>
        <v>100</v>
      </c>
      <c r="V17" s="1560" t="s">
        <v>8</v>
      </c>
      <c r="W17" s="1561">
        <f t="shared" si="2"/>
        <v>100</v>
      </c>
      <c r="X17" s="3211"/>
      <c r="Y17" s="3423" t="s">
        <v>540</v>
      </c>
      <c r="Z17" s="3210" t="str">
        <f t="shared" si="7"/>
        <v>居住社区成熟度</v>
      </c>
      <c r="AA17" s="3213">
        <f t="shared" si="3"/>
        <v>1</v>
      </c>
      <c r="AB17" s="3213">
        <f t="shared" si="4"/>
        <v>1</v>
      </c>
      <c r="AC17" s="3213">
        <f t="shared" si="5"/>
        <v>1</v>
      </c>
    </row>
    <row r="18" spans="1:29" ht="20.25" hidden="1">
      <c r="A18" s="532"/>
      <c r="B18" s="553"/>
      <c r="C18" s="554" t="s">
        <v>3084</v>
      </c>
      <c r="D18" s="557"/>
      <c r="E18" s="558" t="s">
        <v>3161</v>
      </c>
      <c r="F18" s="555"/>
      <c r="G18" s="556" t="s">
        <v>3084</v>
      </c>
      <c r="H18" s="559"/>
      <c r="I18" s="558" t="s">
        <v>3084</v>
      </c>
      <c r="J18" s="555"/>
      <c r="K18" s="531"/>
      <c r="L18" s="2128"/>
      <c r="M18" s="2118"/>
      <c r="N18" s="2118"/>
      <c r="O18" s="2127"/>
      <c r="P18" s="3424"/>
      <c r="Q18" s="3209"/>
      <c r="R18" s="1560"/>
      <c r="S18" s="1561"/>
      <c r="T18" s="1560"/>
      <c r="U18" s="1561"/>
      <c r="V18" s="1560"/>
      <c r="W18" s="1561"/>
      <c r="X18" s="3211"/>
      <c r="Y18" s="3424"/>
      <c r="Z18" s="3210"/>
      <c r="AA18" s="3213">
        <v>1</v>
      </c>
      <c r="AB18" s="3213">
        <v>1</v>
      </c>
      <c r="AC18" s="321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24"/>
      <c r="Q19" s="3209" t="str">
        <f>B19</f>
        <v>商业繁华度</v>
      </c>
      <c r="R19" s="1560" t="s">
        <v>8</v>
      </c>
      <c r="S19" s="1561">
        <f>F19</f>
        <v>100</v>
      </c>
      <c r="T19" s="1560" t="s">
        <v>8</v>
      </c>
      <c r="U19" s="1561">
        <f>H19</f>
        <v>100</v>
      </c>
      <c r="V19" s="1560" t="s">
        <v>8</v>
      </c>
      <c r="W19" s="1561">
        <f>J19</f>
        <v>100</v>
      </c>
      <c r="X19" s="3211"/>
      <c r="Y19" s="3424"/>
      <c r="Z19" s="3210" t="str">
        <f>Q19</f>
        <v>商业繁华度</v>
      </c>
      <c r="AA19" s="3213">
        <f t="shared" si="3"/>
        <v>1</v>
      </c>
      <c r="AB19" s="3213">
        <f t="shared" si="4"/>
        <v>1</v>
      </c>
      <c r="AC19" s="321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24"/>
      <c r="Q20" s="3209"/>
      <c r="R20" s="1560"/>
      <c r="S20" s="1561"/>
      <c r="T20" s="1560"/>
      <c r="U20" s="1561"/>
      <c r="V20" s="1560"/>
      <c r="W20" s="1561"/>
      <c r="X20" s="3211"/>
      <c r="Y20" s="3424"/>
      <c r="Z20" s="3210"/>
      <c r="AA20" s="3213">
        <v>1</v>
      </c>
      <c r="AB20" s="3213">
        <v>1</v>
      </c>
      <c r="AC20" s="321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4"/>
      <c r="Q21" s="3209" t="str">
        <f>B21</f>
        <v>办公集聚程度</v>
      </c>
      <c r="R21" s="1560" t="s">
        <v>8</v>
      </c>
      <c r="S21" s="1561">
        <f>F21</f>
        <v>100</v>
      </c>
      <c r="T21" s="1560" t="s">
        <v>8</v>
      </c>
      <c r="U21" s="1561">
        <f>H21</f>
        <v>100</v>
      </c>
      <c r="V21" s="1560" t="s">
        <v>8</v>
      </c>
      <c r="W21" s="1561">
        <f>J21</f>
        <v>100</v>
      </c>
      <c r="X21" s="3211"/>
      <c r="Y21" s="3424"/>
      <c r="Z21" s="3210" t="str">
        <f>Q21</f>
        <v>办公集聚程度</v>
      </c>
      <c r="AA21" s="3213">
        <f t="shared" si="3"/>
        <v>1</v>
      </c>
      <c r="AB21" s="3213">
        <f t="shared" si="4"/>
        <v>1</v>
      </c>
      <c r="AC21" s="3213">
        <f t="shared" si="5"/>
        <v>1</v>
      </c>
    </row>
    <row r="22" spans="1:29" ht="20.25" hidden="1">
      <c r="A22" s="532"/>
      <c r="B22" s="566"/>
      <c r="C22" s="554"/>
      <c r="D22" s="557"/>
      <c r="E22" s="558"/>
      <c r="F22" s="555"/>
      <c r="G22" s="556"/>
      <c r="H22" s="555"/>
      <c r="I22" s="558"/>
      <c r="J22" s="555"/>
      <c r="K22" s="531"/>
      <c r="L22" s="2128"/>
      <c r="M22" s="2118"/>
      <c r="N22" s="2118"/>
      <c r="O22" s="2127"/>
      <c r="P22" s="3424"/>
      <c r="Q22" s="3209"/>
      <c r="R22" s="1560"/>
      <c r="S22" s="1561"/>
      <c r="T22" s="1560"/>
      <c r="U22" s="1561"/>
      <c r="V22" s="1560"/>
      <c r="W22" s="1561"/>
      <c r="X22" s="3211"/>
      <c r="Y22" s="3424"/>
      <c r="Z22" s="3210"/>
      <c r="AA22" s="3213">
        <v>1</v>
      </c>
      <c r="AB22" s="3213">
        <v>1</v>
      </c>
      <c r="AC22" s="321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100</v>
      </c>
      <c r="I23" s="564"/>
      <c r="J23" s="559">
        <f>SUMIF(96:96,I24,97:97)-SUMIF(96:96,C24,97:97)+100</f>
        <v>100</v>
      </c>
      <c r="K23" s="535">
        <v>5</v>
      </c>
      <c r="L23" s="2128"/>
      <c r="M23" s="2118"/>
      <c r="N23" s="2118"/>
      <c r="O23" s="2127"/>
      <c r="P23" s="3424"/>
      <c r="Q23" s="3209" t="str">
        <f>B23</f>
        <v>交通便捷度</v>
      </c>
      <c r="R23" s="1560" t="s">
        <v>8</v>
      </c>
      <c r="S23" s="1561">
        <f>F23</f>
        <v>105</v>
      </c>
      <c r="T23" s="1560" t="s">
        <v>8</v>
      </c>
      <c r="U23" s="1561">
        <f>H23</f>
        <v>100</v>
      </c>
      <c r="V23" s="1560" t="s">
        <v>8</v>
      </c>
      <c r="W23" s="1561">
        <f>J23</f>
        <v>100</v>
      </c>
      <c r="X23" s="3211"/>
      <c r="Y23" s="3424"/>
      <c r="Z23" s="3210" t="str">
        <f>Q23</f>
        <v>交通便捷度</v>
      </c>
      <c r="AA23" s="3213">
        <f t="shared" si="3"/>
        <v>0.95238095238095233</v>
      </c>
      <c r="AB23" s="3213">
        <f t="shared" si="4"/>
        <v>1</v>
      </c>
      <c r="AC23" s="3213">
        <f t="shared" si="5"/>
        <v>1</v>
      </c>
    </row>
    <row r="24" spans="1:29" ht="20.25">
      <c r="A24" s="532"/>
      <c r="B24" s="578"/>
      <c r="C24" s="554" t="s">
        <v>3084</v>
      </c>
      <c r="D24" s="557"/>
      <c r="E24" s="558" t="s">
        <v>3080</v>
      </c>
      <c r="F24" s="555"/>
      <c r="G24" s="556" t="s">
        <v>3084</v>
      </c>
      <c r="H24" s="555"/>
      <c r="I24" s="558" t="s">
        <v>3084</v>
      </c>
      <c r="J24" s="555"/>
      <c r="K24" s="531"/>
      <c r="L24" s="2128"/>
      <c r="M24" s="2118"/>
      <c r="N24" s="2118"/>
      <c r="O24" s="2127"/>
      <c r="P24" s="3424"/>
      <c r="Q24" s="3209"/>
      <c r="R24" s="1560"/>
      <c r="S24" s="1561"/>
      <c r="T24" s="1560"/>
      <c r="U24" s="1561"/>
      <c r="V24" s="1560"/>
      <c r="W24" s="1561"/>
      <c r="X24" s="3211"/>
      <c r="Y24" s="3424"/>
      <c r="Z24" s="3210"/>
      <c r="AA24" s="3213">
        <v>1</v>
      </c>
      <c r="AB24" s="3213">
        <v>1</v>
      </c>
      <c r="AC24" s="321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24"/>
      <c r="Q25" s="3209" t="str">
        <f t="shared" ref="Q25:Q39" si="8">B25</f>
        <v>区域土地利用方向</v>
      </c>
      <c r="R25" s="1560" t="s">
        <v>8</v>
      </c>
      <c r="S25" s="1561">
        <f>F25</f>
        <v>100</v>
      </c>
      <c r="T25" s="1560" t="s">
        <v>8</v>
      </c>
      <c r="U25" s="1561">
        <f>H25</f>
        <v>100</v>
      </c>
      <c r="V25" s="1560" t="s">
        <v>8</v>
      </c>
      <c r="W25" s="1561">
        <f>J25</f>
        <v>100</v>
      </c>
      <c r="X25" s="3211"/>
      <c r="Y25" s="3424"/>
      <c r="Z25" s="3210" t="str">
        <f>Q25</f>
        <v>区域土地利用方向</v>
      </c>
      <c r="AA25" s="3213">
        <f t="shared" si="3"/>
        <v>1</v>
      </c>
      <c r="AB25" s="3213">
        <f t="shared" si="4"/>
        <v>1</v>
      </c>
      <c r="AC25" s="321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4"/>
      <c r="Q26" s="3209"/>
      <c r="R26" s="1560"/>
      <c r="S26" s="1561"/>
      <c r="T26" s="1560"/>
      <c r="U26" s="1561"/>
      <c r="V26" s="1560"/>
      <c r="W26" s="1561"/>
      <c r="X26" s="3211"/>
      <c r="Y26" s="3424"/>
      <c r="Z26" s="3210"/>
      <c r="AA26" s="3213"/>
      <c r="AB26" s="3213"/>
      <c r="AC26" s="321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424"/>
      <c r="Q27" s="3209" t="str">
        <f t="shared" si="8"/>
        <v>自然及人文环境状况</v>
      </c>
      <c r="R27" s="1560" t="s">
        <v>8</v>
      </c>
      <c r="S27" s="1561">
        <f>F27</f>
        <v>100</v>
      </c>
      <c r="T27" s="1560" t="s">
        <v>8</v>
      </c>
      <c r="U27" s="1561">
        <f>H27</f>
        <v>100</v>
      </c>
      <c r="V27" s="1560" t="s">
        <v>8</v>
      </c>
      <c r="W27" s="1561">
        <f>J27</f>
        <v>100</v>
      </c>
      <c r="X27" s="3211"/>
      <c r="Y27" s="3424"/>
      <c r="Z27" s="3210" t="str">
        <f>Q27</f>
        <v>自然及人文环境状况</v>
      </c>
      <c r="AA27" s="3213">
        <f t="shared" si="3"/>
        <v>1</v>
      </c>
      <c r="AB27" s="3213">
        <f t="shared" si="4"/>
        <v>1</v>
      </c>
      <c r="AC27" s="321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24"/>
      <c r="Q28" s="3209"/>
      <c r="R28" s="1560"/>
      <c r="S28" s="1561"/>
      <c r="T28" s="1560"/>
      <c r="U28" s="1561"/>
      <c r="V28" s="1560"/>
      <c r="W28" s="1561"/>
      <c r="X28" s="3211"/>
      <c r="Y28" s="3424"/>
      <c r="Z28" s="3210"/>
      <c r="AA28" s="3213">
        <v>1</v>
      </c>
      <c r="AB28" s="3213">
        <v>1</v>
      </c>
      <c r="AC28" s="321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100</v>
      </c>
      <c r="I29" s="564"/>
      <c r="J29" s="559">
        <f>SUMIF(102:102,I30,103:103)-SUMIF(102:102,C30,103:103)+100</f>
        <v>100</v>
      </c>
      <c r="K29" s="3196">
        <v>5</v>
      </c>
      <c r="L29" s="2121"/>
      <c r="M29" s="2118"/>
      <c r="N29" s="2118"/>
      <c r="O29" s="2123"/>
      <c r="P29" s="3424"/>
      <c r="Q29" s="3208" t="str">
        <f t="shared" si="8"/>
        <v>公共配套设施</v>
      </c>
      <c r="R29" s="1555" t="s">
        <v>8</v>
      </c>
      <c r="S29" s="1556">
        <f>F29</f>
        <v>105</v>
      </c>
      <c r="T29" s="1555" t="s">
        <v>8</v>
      </c>
      <c r="U29" s="1556">
        <f>H29</f>
        <v>100</v>
      </c>
      <c r="V29" s="1555" t="s">
        <v>8</v>
      </c>
      <c r="W29" s="1556">
        <f>J29</f>
        <v>100</v>
      </c>
      <c r="X29" s="1557"/>
      <c r="Y29" s="3424"/>
      <c r="Z29" s="3207" t="str">
        <f>Q29</f>
        <v>公共配套设施</v>
      </c>
      <c r="AA29" s="3213">
        <f>D29/F29</f>
        <v>0.95238095238095233</v>
      </c>
      <c r="AB29" s="3213">
        <f>D29/H29</f>
        <v>1</v>
      </c>
      <c r="AC29" s="3213">
        <f>D29/J29</f>
        <v>1</v>
      </c>
    </row>
    <row r="30" spans="1:29" s="1216" customFormat="1" ht="20.25">
      <c r="A30" s="577"/>
      <c r="B30" s="566"/>
      <c r="C30" s="579" t="s">
        <v>3084</v>
      </c>
      <c r="D30" s="557"/>
      <c r="E30" s="576" t="s">
        <v>3080</v>
      </c>
      <c r="F30" s="555"/>
      <c r="G30" s="554" t="s">
        <v>3084</v>
      </c>
      <c r="H30" s="555"/>
      <c r="I30" s="576" t="s">
        <v>3084</v>
      </c>
      <c r="J30" s="555"/>
      <c r="K30" s="531"/>
      <c r="L30" s="2121"/>
      <c r="M30" s="2118"/>
      <c r="N30" s="2118"/>
      <c r="O30" s="2123"/>
      <c r="P30" s="3424"/>
      <c r="Q30" s="3208"/>
      <c r="R30" s="1555"/>
      <c r="S30" s="1556"/>
      <c r="T30" s="1555"/>
      <c r="U30" s="1556"/>
      <c r="V30" s="1555"/>
      <c r="W30" s="1556"/>
      <c r="X30" s="1557"/>
      <c r="Y30" s="3424"/>
      <c r="Z30" s="3207"/>
      <c r="AA30" s="3213">
        <v>1</v>
      </c>
      <c r="AB30" s="3213">
        <v>1</v>
      </c>
      <c r="AC30" s="321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24"/>
      <c r="Q31" s="3208" t="str">
        <f t="shared" ref="Q31" si="9">B31</f>
        <v>基础设施水平</v>
      </c>
      <c r="R31" s="1555" t="s">
        <v>8</v>
      </c>
      <c r="S31" s="1556">
        <f>F31</f>
        <v>100</v>
      </c>
      <c r="T31" s="1555" t="s">
        <v>8</v>
      </c>
      <c r="U31" s="1556">
        <f>H31</f>
        <v>100</v>
      </c>
      <c r="V31" s="1555" t="s">
        <v>8</v>
      </c>
      <c r="W31" s="1556">
        <f>J31</f>
        <v>100</v>
      </c>
      <c r="X31" s="1557"/>
      <c r="Y31" s="3424"/>
      <c r="Z31" s="3207" t="str">
        <f>Q31</f>
        <v>基础设施水平</v>
      </c>
      <c r="AA31" s="3213">
        <f>D31/F31</f>
        <v>1</v>
      </c>
      <c r="AB31" s="3213">
        <f>D31/H31</f>
        <v>1</v>
      </c>
      <c r="AC31" s="321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24"/>
      <c r="Q32" s="3208"/>
      <c r="R32" s="1555"/>
      <c r="S32" s="1556"/>
      <c r="T32" s="1555"/>
      <c r="U32" s="1556"/>
      <c r="V32" s="1555"/>
      <c r="W32" s="1556"/>
      <c r="X32" s="1557"/>
      <c r="Y32" s="3424"/>
      <c r="Z32" s="3207"/>
      <c r="AA32" s="3213">
        <v>1</v>
      </c>
      <c r="AB32" s="3213">
        <v>1</v>
      </c>
      <c r="AC32" s="321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4"/>
      <c r="Q33" s="3209" t="str">
        <f t="shared" si="8"/>
        <v>临街状况</v>
      </c>
      <c r="R33" s="1560" t="s">
        <v>8</v>
      </c>
      <c r="S33" s="1561">
        <f t="shared" ref="S33:S47" si="10">F33</f>
        <v>100</v>
      </c>
      <c r="T33" s="1560" t="s">
        <v>8</v>
      </c>
      <c r="U33" s="1561">
        <f t="shared" ref="U33:U47" si="11">H33</f>
        <v>100</v>
      </c>
      <c r="V33" s="1560" t="s">
        <v>8</v>
      </c>
      <c r="W33" s="1561">
        <f t="shared" ref="W33:W47" si="12">J33</f>
        <v>100</v>
      </c>
      <c r="X33" s="3211"/>
      <c r="Y33" s="3424"/>
      <c r="Z33" s="3210" t="str">
        <f t="shared" ref="Z33:Z47" si="13">Q33</f>
        <v>临街状况</v>
      </c>
      <c r="AA33" s="3213">
        <f t="shared" si="3"/>
        <v>1</v>
      </c>
      <c r="AB33" s="3213">
        <f t="shared" si="4"/>
        <v>1</v>
      </c>
      <c r="AC33" s="321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4"/>
      <c r="Q34" s="3209" t="str">
        <f t="shared" si="8"/>
        <v>毗邻道路的类型与等级</v>
      </c>
      <c r="R34" s="1560" t="s">
        <v>8</v>
      </c>
      <c r="S34" s="1561">
        <f t="shared" si="10"/>
        <v>100</v>
      </c>
      <c r="T34" s="1560" t="s">
        <v>8</v>
      </c>
      <c r="U34" s="1561">
        <f t="shared" si="11"/>
        <v>100</v>
      </c>
      <c r="V34" s="1560" t="s">
        <v>8</v>
      </c>
      <c r="W34" s="1561">
        <f t="shared" si="12"/>
        <v>100</v>
      </c>
      <c r="X34" s="3211"/>
      <c r="Y34" s="3424"/>
      <c r="Z34" s="3210" t="str">
        <f t="shared" si="13"/>
        <v>毗邻道路的类型与等级</v>
      </c>
      <c r="AA34" s="3213">
        <f t="shared" si="3"/>
        <v>1</v>
      </c>
      <c r="AB34" s="3213">
        <f t="shared" si="4"/>
        <v>1</v>
      </c>
      <c r="AC34" s="3213">
        <f t="shared" si="5"/>
        <v>1</v>
      </c>
    </row>
    <row r="35" spans="1:29" ht="20.25">
      <c r="A35" s="532"/>
      <c r="B35" s="566"/>
      <c r="C35" s="554"/>
      <c r="D35" s="557"/>
      <c r="E35" s="576"/>
      <c r="F35" s="555"/>
      <c r="G35" s="554"/>
      <c r="H35" s="555"/>
      <c r="I35" s="576"/>
      <c r="J35" s="555"/>
      <c r="K35" s="581"/>
      <c r="L35" s="2128"/>
      <c r="M35" s="2118"/>
      <c r="N35" s="2118"/>
      <c r="O35" s="2127"/>
      <c r="P35" s="3424"/>
      <c r="Q35" s="3209"/>
      <c r="R35" s="1560"/>
      <c r="S35" s="1561"/>
      <c r="T35" s="1560"/>
      <c r="U35" s="1561"/>
      <c r="V35" s="1560"/>
      <c r="W35" s="1561"/>
      <c r="X35" s="3211"/>
      <c r="Y35" s="3424"/>
      <c r="Z35" s="3210"/>
      <c r="AA35" s="3213">
        <v>1</v>
      </c>
      <c r="AB35" s="3213">
        <v>1</v>
      </c>
      <c r="AC35" s="321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4"/>
      <c r="Q36" s="3209" t="str">
        <f t="shared" si="8"/>
        <v>土地级别</v>
      </c>
      <c r="R36" s="1560" t="s">
        <v>8</v>
      </c>
      <c r="S36" s="1561">
        <f t="shared" si="10"/>
        <v>100</v>
      </c>
      <c r="T36" s="1560" t="s">
        <v>8</v>
      </c>
      <c r="U36" s="1561">
        <f t="shared" si="11"/>
        <v>100</v>
      </c>
      <c r="V36" s="1560" t="s">
        <v>8</v>
      </c>
      <c r="W36" s="1561">
        <f t="shared" si="12"/>
        <v>100</v>
      </c>
      <c r="X36" s="3211"/>
      <c r="Y36" s="3424"/>
      <c r="Z36" s="3210" t="str">
        <f t="shared" si="13"/>
        <v>土地级别</v>
      </c>
      <c r="AA36" s="3213">
        <f t="shared" si="3"/>
        <v>1</v>
      </c>
      <c r="AB36" s="3213">
        <f t="shared" si="4"/>
        <v>1</v>
      </c>
      <c r="AC36" s="321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4"/>
      <c r="Q37" s="3209">
        <f t="shared" si="8"/>
        <v>111</v>
      </c>
      <c r="R37" s="1560" t="s">
        <v>8</v>
      </c>
      <c r="S37" s="1561">
        <f t="shared" si="10"/>
        <v>100</v>
      </c>
      <c r="T37" s="1560" t="s">
        <v>8</v>
      </c>
      <c r="U37" s="1561">
        <f t="shared" si="11"/>
        <v>100</v>
      </c>
      <c r="V37" s="1560" t="s">
        <v>8</v>
      </c>
      <c r="W37" s="1561">
        <f t="shared" si="12"/>
        <v>100</v>
      </c>
      <c r="X37" s="3211"/>
      <c r="Y37" s="3424"/>
      <c r="Z37" s="3210">
        <f t="shared" si="13"/>
        <v>111</v>
      </c>
      <c r="AA37" s="3213">
        <f t="shared" si="3"/>
        <v>1</v>
      </c>
      <c r="AB37" s="3213">
        <f t="shared" si="4"/>
        <v>1</v>
      </c>
      <c r="AC37" s="321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5" t="s">
        <v>550</v>
      </c>
      <c r="Q38" s="3209">
        <f t="shared" si="8"/>
        <v>111</v>
      </c>
      <c r="R38" s="1560" t="s">
        <v>8</v>
      </c>
      <c r="S38" s="1561">
        <f t="shared" si="10"/>
        <v>100</v>
      </c>
      <c r="T38" s="1560" t="s">
        <v>8</v>
      </c>
      <c r="U38" s="1561">
        <f t="shared" si="11"/>
        <v>100</v>
      </c>
      <c r="V38" s="1560" t="s">
        <v>8</v>
      </c>
      <c r="W38" s="1561">
        <f t="shared" si="12"/>
        <v>100</v>
      </c>
      <c r="X38" s="3211"/>
      <c r="Y38" s="3426" t="s">
        <v>550</v>
      </c>
      <c r="Z38" s="3210">
        <f t="shared" si="13"/>
        <v>111</v>
      </c>
      <c r="AA38" s="3213">
        <f t="shared" si="3"/>
        <v>1</v>
      </c>
      <c r="AB38" s="3213">
        <f t="shared" si="4"/>
        <v>1</v>
      </c>
      <c r="AC38" s="321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6"/>
      <c r="Q39" s="3209">
        <f t="shared" si="8"/>
        <v>111</v>
      </c>
      <c r="R39" s="1564" t="s">
        <v>8</v>
      </c>
      <c r="S39" s="1565">
        <f t="shared" si="10"/>
        <v>100</v>
      </c>
      <c r="T39" s="1564" t="s">
        <v>8</v>
      </c>
      <c r="U39" s="1565">
        <f t="shared" si="11"/>
        <v>100</v>
      </c>
      <c r="V39" s="1564" t="s">
        <v>8</v>
      </c>
      <c r="W39" s="1565">
        <f t="shared" si="12"/>
        <v>100</v>
      </c>
      <c r="X39" s="1566"/>
      <c r="Y39" s="3426"/>
      <c r="Z39" s="1567">
        <f t="shared" si="13"/>
        <v>111</v>
      </c>
      <c r="AA39" s="3213">
        <f t="shared" si="3"/>
        <v>1</v>
      </c>
      <c r="AB39" s="3213">
        <f t="shared" si="4"/>
        <v>1</v>
      </c>
      <c r="AC39" s="3213">
        <f t="shared" si="5"/>
        <v>1</v>
      </c>
    </row>
    <row r="40" spans="1:29" ht="20.25">
      <c r="A40" s="2863" t="s">
        <v>2755</v>
      </c>
      <c r="B40" s="595" t="s">
        <v>552</v>
      </c>
      <c r="C40" s="596">
        <f>'数据-基础表'!A3</f>
        <v>107481.21</v>
      </c>
      <c r="D40" s="597">
        <v>100</v>
      </c>
      <c r="E40" s="596">
        <f>Sheet5!D8</f>
        <v>4437.12</v>
      </c>
      <c r="F40" s="597">
        <f>LOOKUP(E40,119:119,120:120)-LOOKUP(C40,119:119,120:120)+100</f>
        <v>99</v>
      </c>
      <c r="G40" s="596">
        <f>Sheet5!$D$6</f>
        <v>107481.21</v>
      </c>
      <c r="H40" s="597">
        <f>LOOKUP(G40,119:119,120:120)-LOOKUP(C40,119:119,120:120)+100</f>
        <v>100</v>
      </c>
      <c r="I40" s="598">
        <f>Sheet5!$D$7</f>
        <v>97358.74</v>
      </c>
      <c r="J40" s="597">
        <f>LOOKUP(I40,119:119,120:120)-LOOKUP(C40,119:119,120:120)+100</f>
        <v>99</v>
      </c>
      <c r="K40" s="581"/>
      <c r="L40" s="2128"/>
      <c r="M40" s="2118"/>
      <c r="N40" s="2118"/>
      <c r="O40" s="2127"/>
      <c r="P40" s="3426"/>
      <c r="Q40" s="3209" t="str">
        <f>B40</f>
        <v>宗地面积</v>
      </c>
      <c r="R40" s="1560" t="s">
        <v>8</v>
      </c>
      <c r="S40" s="1561">
        <f t="shared" si="10"/>
        <v>99</v>
      </c>
      <c r="T40" s="1560" t="s">
        <v>8</v>
      </c>
      <c r="U40" s="1561">
        <f t="shared" si="11"/>
        <v>100</v>
      </c>
      <c r="V40" s="1560" t="s">
        <v>8</v>
      </c>
      <c r="W40" s="1561">
        <f t="shared" si="12"/>
        <v>99</v>
      </c>
      <c r="X40" s="3211"/>
      <c r="Y40" s="3426"/>
      <c r="Z40" s="3210" t="str">
        <f t="shared" si="13"/>
        <v>宗地面积</v>
      </c>
      <c r="AA40" s="3213">
        <f t="shared" si="3"/>
        <v>1.0101010101010102</v>
      </c>
      <c r="AB40" s="3213">
        <f t="shared" si="4"/>
        <v>1</v>
      </c>
      <c r="AC40" s="321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6"/>
      <c r="Q41" s="3209" t="str">
        <f t="shared" ref="Q41:Q47" si="14">B41</f>
        <v>宗地形状</v>
      </c>
      <c r="R41" s="1560" t="s">
        <v>8</v>
      </c>
      <c r="S41" s="1561">
        <f t="shared" si="10"/>
        <v>100</v>
      </c>
      <c r="T41" s="1560" t="s">
        <v>8</v>
      </c>
      <c r="U41" s="1561">
        <f t="shared" si="11"/>
        <v>100</v>
      </c>
      <c r="V41" s="1560" t="s">
        <v>8</v>
      </c>
      <c r="W41" s="1561">
        <f t="shared" si="12"/>
        <v>100</v>
      </c>
      <c r="X41" s="3211"/>
      <c r="Y41" s="3426"/>
      <c r="Z41" s="3210" t="str">
        <f t="shared" si="13"/>
        <v>宗地形状</v>
      </c>
      <c r="AA41" s="3213">
        <f t="shared" si="3"/>
        <v>1</v>
      </c>
      <c r="AB41" s="3213">
        <f t="shared" si="4"/>
        <v>1</v>
      </c>
      <c r="AC41" s="321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6"/>
      <c r="Q42" s="3209" t="str">
        <f t="shared" si="14"/>
        <v>临街宽度及深度</v>
      </c>
      <c r="R42" s="1560" t="s">
        <v>8</v>
      </c>
      <c r="S42" s="1561">
        <f t="shared" si="10"/>
        <v>100</v>
      </c>
      <c r="T42" s="1560" t="s">
        <v>8</v>
      </c>
      <c r="U42" s="1561">
        <f t="shared" si="11"/>
        <v>100</v>
      </c>
      <c r="V42" s="1560" t="s">
        <v>8</v>
      </c>
      <c r="W42" s="1561">
        <f t="shared" si="12"/>
        <v>100</v>
      </c>
      <c r="X42" s="3211"/>
      <c r="Y42" s="3426"/>
      <c r="Z42" s="3210" t="str">
        <f t="shared" si="13"/>
        <v>临街宽度及深度</v>
      </c>
      <c r="AA42" s="3213">
        <f t="shared" si="3"/>
        <v>1</v>
      </c>
      <c r="AB42" s="3213">
        <f t="shared" si="4"/>
        <v>1</v>
      </c>
      <c r="AC42" s="3213">
        <f t="shared" si="5"/>
        <v>1</v>
      </c>
    </row>
    <row r="43" spans="1:29" s="1216" customFormat="1" ht="20.25">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26"/>
      <c r="Q43" s="3209" t="str">
        <f t="shared" si="14"/>
        <v>宗地开发程度</v>
      </c>
      <c r="R43" s="1555" t="s">
        <v>8</v>
      </c>
      <c r="S43" s="1556">
        <f t="shared" si="10"/>
        <v>100</v>
      </c>
      <c r="T43" s="1555" t="s">
        <v>8</v>
      </c>
      <c r="U43" s="1556">
        <f t="shared" si="11"/>
        <v>100</v>
      </c>
      <c r="V43" s="1555" t="s">
        <v>8</v>
      </c>
      <c r="W43" s="1556">
        <f t="shared" si="12"/>
        <v>100</v>
      </c>
      <c r="X43" s="1557"/>
      <c r="Y43" s="3426"/>
      <c r="Z43" s="3207"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6" t="s">
        <v>550</v>
      </c>
      <c r="Q44" s="3209" t="str">
        <f t="shared" si="14"/>
        <v>工程地质条件</v>
      </c>
      <c r="R44" s="1560" t="s">
        <v>8</v>
      </c>
      <c r="S44" s="1561">
        <f t="shared" si="10"/>
        <v>100</v>
      </c>
      <c r="T44" s="1560" t="s">
        <v>8</v>
      </c>
      <c r="U44" s="1561">
        <f t="shared" si="11"/>
        <v>100</v>
      </c>
      <c r="V44" s="1560" t="s">
        <v>8</v>
      </c>
      <c r="W44" s="1561">
        <f t="shared" si="12"/>
        <v>100</v>
      </c>
      <c r="X44" s="3211"/>
      <c r="Y44" s="3426" t="s">
        <v>550</v>
      </c>
      <c r="Z44" s="3210" t="str">
        <f t="shared" si="13"/>
        <v>工程地质条件</v>
      </c>
      <c r="AA44" s="3213">
        <f t="shared" si="3"/>
        <v>1</v>
      </c>
      <c r="AB44" s="3213">
        <f t="shared" si="4"/>
        <v>1</v>
      </c>
      <c r="AC44" s="321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6"/>
      <c r="Q45" s="3209">
        <f t="shared" si="14"/>
        <v>111</v>
      </c>
      <c r="R45" s="1560" t="s">
        <v>8</v>
      </c>
      <c r="S45" s="1561">
        <f t="shared" si="10"/>
        <v>100</v>
      </c>
      <c r="T45" s="1560" t="s">
        <v>8</v>
      </c>
      <c r="U45" s="1561">
        <f t="shared" si="11"/>
        <v>100</v>
      </c>
      <c r="V45" s="1560" t="s">
        <v>8</v>
      </c>
      <c r="W45" s="1561">
        <f t="shared" si="12"/>
        <v>100</v>
      </c>
      <c r="X45" s="3211"/>
      <c r="Y45" s="3426"/>
      <c r="Z45" s="3210">
        <f t="shared" si="13"/>
        <v>111</v>
      </c>
      <c r="AA45" s="3213">
        <f t="shared" si="3"/>
        <v>1</v>
      </c>
      <c r="AB45" s="3213">
        <f t="shared" si="4"/>
        <v>1</v>
      </c>
      <c r="AC45" s="321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6"/>
      <c r="Q46" s="3209">
        <f t="shared" si="14"/>
        <v>111</v>
      </c>
      <c r="R46" s="1560" t="s">
        <v>8</v>
      </c>
      <c r="S46" s="1561">
        <f t="shared" si="10"/>
        <v>100</v>
      </c>
      <c r="T46" s="1560" t="s">
        <v>8</v>
      </c>
      <c r="U46" s="1561">
        <f t="shared" si="11"/>
        <v>100</v>
      </c>
      <c r="V46" s="1560" t="s">
        <v>8</v>
      </c>
      <c r="W46" s="1561">
        <f t="shared" si="12"/>
        <v>100</v>
      </c>
      <c r="X46" s="3211"/>
      <c r="Y46" s="3426"/>
      <c r="Z46" s="3210">
        <f t="shared" si="13"/>
        <v>111</v>
      </c>
      <c r="AA46" s="3213">
        <f t="shared" si="3"/>
        <v>1</v>
      </c>
      <c r="AB46" s="3213">
        <f t="shared" si="4"/>
        <v>1</v>
      </c>
      <c r="AC46" s="321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6"/>
      <c r="Q47" s="3209">
        <f t="shared" si="14"/>
        <v>111</v>
      </c>
      <c r="R47" s="1564" t="s">
        <v>8</v>
      </c>
      <c r="S47" s="1565">
        <f t="shared" si="10"/>
        <v>100</v>
      </c>
      <c r="T47" s="1564" t="s">
        <v>8</v>
      </c>
      <c r="U47" s="1565">
        <f t="shared" si="11"/>
        <v>100</v>
      </c>
      <c r="V47" s="1564" t="s">
        <v>8</v>
      </c>
      <c r="W47" s="1565">
        <f t="shared" si="12"/>
        <v>100</v>
      </c>
      <c r="X47" s="1566"/>
      <c r="Y47" s="3426"/>
      <c r="Z47" s="1567">
        <f t="shared" si="13"/>
        <v>111</v>
      </c>
      <c r="AA47" s="3213">
        <f t="shared" si="3"/>
        <v>1</v>
      </c>
      <c r="AB47" s="3213">
        <f t="shared" si="4"/>
        <v>1</v>
      </c>
      <c r="AC47" s="3213">
        <f t="shared" si="5"/>
        <v>1</v>
      </c>
    </row>
    <row r="48" spans="1:29" ht="20.25">
      <c r="A48" s="607" t="s">
        <v>556</v>
      </c>
      <c r="B48" s="608" t="s">
        <v>3085</v>
      </c>
      <c r="C48" s="609" t="s">
        <v>1</v>
      </c>
      <c r="D48" s="610"/>
      <c r="E48" s="611">
        <v>412</v>
      </c>
      <c r="F48" s="612"/>
      <c r="G48" s="613">
        <f>Sheet5!$K$6</f>
        <v>600</v>
      </c>
      <c r="H48" s="614"/>
      <c r="I48" s="611">
        <f>Sheet5!$K$7</f>
        <v>720</v>
      </c>
      <c r="J48" s="614"/>
      <c r="K48" s="1336"/>
      <c r="L48" s="2130"/>
      <c r="M48" s="2118"/>
      <c r="N48" s="2118"/>
      <c r="O48" s="2131"/>
      <c r="P48" s="3389" t="str">
        <f>A48</f>
        <v>成交单价</v>
      </c>
      <c r="Q48" s="3389"/>
      <c r="R48" s="3390">
        <f>E48</f>
        <v>412</v>
      </c>
      <c r="S48" s="3390"/>
      <c r="T48" s="3390">
        <f>G48</f>
        <v>600</v>
      </c>
      <c r="U48" s="3390"/>
      <c r="V48" s="3390">
        <f>I48</f>
        <v>720</v>
      </c>
      <c r="W48" s="3390"/>
      <c r="X48" s="1546"/>
      <c r="Y48" s="1568"/>
      <c r="Z48" s="1546"/>
      <c r="AA48" s="1546"/>
      <c r="AB48" s="1546"/>
      <c r="AC48" s="1546"/>
    </row>
    <row r="49" spans="1:29" ht="21" thickBot="1">
      <c r="A49" s="615" t="s">
        <v>2693</v>
      </c>
      <c r="B49" s="616"/>
      <c r="C49" s="617">
        <f>R50</f>
        <v>579</v>
      </c>
      <c r="D49" s="618"/>
      <c r="E49" s="617">
        <f>R49</f>
        <v>410</v>
      </c>
      <c r="F49" s="619"/>
      <c r="G49" s="620">
        <f>T49</f>
        <v>616</v>
      </c>
      <c r="H49" s="618"/>
      <c r="I49" s="617">
        <f>V49</f>
        <v>711</v>
      </c>
      <c r="J49" s="618"/>
      <c r="K49" s="1337"/>
      <c r="L49" s="2130"/>
      <c r="M49" s="2118"/>
      <c r="N49" s="2118"/>
      <c r="O49" s="2131"/>
      <c r="P49" s="3389" t="str">
        <f>A49</f>
        <v>比较价格（元/平方米）</v>
      </c>
      <c r="Q49" s="3389"/>
      <c r="R49" s="3391">
        <f>ROUND(PRODUCT(R48,AA9:AA47),0)</f>
        <v>410</v>
      </c>
      <c r="S49" s="3391"/>
      <c r="T49" s="3391">
        <f>ROUND(PRODUCT(T48,AB9:AB47),0)</f>
        <v>616</v>
      </c>
      <c r="U49" s="3391"/>
      <c r="V49" s="3391">
        <f>ROUND(PRODUCT(V48,AC9:AC47),0)</f>
        <v>711</v>
      </c>
      <c r="W49" s="3391"/>
      <c r="X49" s="1546"/>
      <c r="Y49" s="1546"/>
      <c r="Z49" s="1546"/>
      <c r="AA49" s="1546"/>
      <c r="AB49" s="1546"/>
      <c r="AC49" s="1546"/>
    </row>
    <row r="50" spans="1:29" ht="21" thickBot="1">
      <c r="A50" s="621" t="s">
        <v>2937</v>
      </c>
      <c r="B50" s="622"/>
      <c r="C50" s="623">
        <f>R50</f>
        <v>579</v>
      </c>
      <c r="D50" s="623"/>
      <c r="E50" s="623"/>
      <c r="F50" s="623"/>
      <c r="G50" s="623"/>
      <c r="H50" s="623"/>
      <c r="I50" s="623"/>
      <c r="J50" s="623"/>
      <c r="K50" s="1338"/>
      <c r="L50" s="2130"/>
      <c r="M50" s="2118"/>
      <c r="N50" s="2118"/>
      <c r="O50" s="2131"/>
      <c r="P50" s="3386" t="str">
        <f>A50</f>
        <v>估价对象XX用房的比较价格（楼面单价，元/平方米）</v>
      </c>
      <c r="Q50" s="3387"/>
      <c r="R50" s="3388">
        <f>ROUND(AVERAGE(R49:V49),0)</f>
        <v>579</v>
      </c>
      <c r="S50" s="3388"/>
      <c r="T50" s="3388"/>
      <c r="U50" s="3388"/>
      <c r="V50" s="3388"/>
      <c r="W50" s="338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4.8780487804878092E-3</v>
      </c>
      <c r="F53" s="627" t="str">
        <f>IF(OR(E53&gt;=0.3,E53&lt;=-0.3),"超过30%","")</f>
        <v/>
      </c>
      <c r="G53" s="626">
        <f>IF(G48&lt;G49,G49/G48-1,G48/G49-1)</f>
        <v>2.6666666666666616E-2</v>
      </c>
      <c r="H53" s="627" t="str">
        <f>IF(OR(G53&gt;=0.3,G53&lt;=-0.3),"超过30%","")</f>
        <v/>
      </c>
      <c r="I53" s="626">
        <f>IF(I48&lt;I49,I49/I48-1,I48/I49-1)</f>
        <v>1.2658227848101333E-2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0.5024390243902439</v>
      </c>
      <c r="F54" s="627" t="str">
        <f>IF(OR(E54&gt;=0.2,E54&lt;=-0.2),"超过20%","")</f>
        <v>超过20%</v>
      </c>
      <c r="G54" s="626">
        <f>IF(G49&lt;I49,I49/G49-1,G49/I49-1)</f>
        <v>0.15422077922077926</v>
      </c>
      <c r="H54" s="627" t="str">
        <f>IF(OR(G54&gt;=0.2,G54&lt;=-0.2),"超过20%","")</f>
        <v/>
      </c>
      <c r="I54" s="626">
        <f>IF(I49&lt;E49,E49/I49-1,I49/E49-1)</f>
        <v>0.73414634146341462</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0.4563106796116505</v>
      </c>
      <c r="F55" s="627" t="str">
        <f>IF(OR(E55&gt;=0.3,E55&lt;=-0.3),"超过30%","")</f>
        <v>超过30%</v>
      </c>
      <c r="G55" s="626">
        <f>IF(G48&lt;I48,I48/G48-1,G48/I48-1)</f>
        <v>0.19999999999999996</v>
      </c>
      <c r="H55" s="627" t="str">
        <f>IF(OR(G55&gt;=0.3,G55&lt;=-0.3),"超过30%","")</f>
        <v/>
      </c>
      <c r="I55" s="626">
        <f>IF(I48&lt;E48,E48/I48-1,I48/E48-1)</f>
        <v>0.74757281553398047</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5" t="s">
        <v>2281</v>
      </c>
      <c r="H57" s="341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579</v>
      </c>
      <c r="C58" s="635">
        <v>1</v>
      </c>
      <c r="D58" s="2214">
        <v>1</v>
      </c>
      <c r="E58" s="635">
        <f>'数据-汇总表'!E8+'数据-汇总表'!E9</f>
        <v>322443.63</v>
      </c>
      <c r="F58" s="636">
        <f t="shared" ref="F58:F67" si="15">ROUND(B58*E58/10000,0)</f>
        <v>18669</v>
      </c>
      <c r="G58" s="3417"/>
      <c r="H58" s="341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3212"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212"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18669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7"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3180</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topLeftCell="D1" workbookViewId="0">
      <selection activeCell="P29" sqref="F28:P29"/>
    </sheetView>
  </sheetViews>
  <sheetFormatPr defaultRowHeight="13.5"/>
  <cols>
    <col min="1" max="1" width="45.625" style="2895" customWidth="1"/>
    <col min="2" max="2" width="6.25" style="2895" customWidth="1"/>
    <col min="3" max="3" width="11.75" style="2895" customWidth="1"/>
    <col min="4" max="5" width="13.875" style="2895" customWidth="1"/>
    <col min="6" max="6" width="28.5" style="2895" customWidth="1"/>
    <col min="7" max="7" width="7.875" style="2895" customWidth="1"/>
    <col min="8" max="8" width="14.375" style="2895" customWidth="1"/>
    <col min="9" max="10" width="10.625" style="2895" customWidth="1"/>
    <col min="11" max="11" width="9.875" style="2895" customWidth="1"/>
    <col min="12" max="12" width="6.25" style="2895" customWidth="1"/>
    <col min="13" max="13" width="32.75" style="2895" customWidth="1"/>
    <col min="14" max="14" width="7.875" style="2895" customWidth="1"/>
    <col min="15" max="256" width="9" style="2895"/>
    <col min="257" max="257" width="76.5" style="2895" customWidth="1"/>
    <col min="258" max="258" width="6.25" style="2895" customWidth="1"/>
    <col min="259" max="259" width="11.75" style="2895" customWidth="1"/>
    <col min="260" max="261" width="13.875" style="2895" customWidth="1"/>
    <col min="262" max="262" width="24"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2.75" style="2895" customWidth="1"/>
    <col min="270" max="270" width="7.875" style="2895" customWidth="1"/>
    <col min="271" max="512" width="9" style="2895"/>
    <col min="513" max="513" width="76.5" style="2895" customWidth="1"/>
    <col min="514" max="514" width="6.25" style="2895" customWidth="1"/>
    <col min="515" max="515" width="11.75" style="2895" customWidth="1"/>
    <col min="516" max="517" width="13.875" style="2895" customWidth="1"/>
    <col min="518" max="518" width="24"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2.75" style="2895" customWidth="1"/>
    <col min="526" max="526" width="7.875" style="2895" customWidth="1"/>
    <col min="527" max="768" width="9" style="2895"/>
    <col min="769" max="769" width="76.5" style="2895" customWidth="1"/>
    <col min="770" max="770" width="6.25" style="2895" customWidth="1"/>
    <col min="771" max="771" width="11.75" style="2895" customWidth="1"/>
    <col min="772" max="773" width="13.875" style="2895" customWidth="1"/>
    <col min="774" max="774" width="24"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2.75" style="2895" customWidth="1"/>
    <col min="782" max="782" width="7.875" style="2895" customWidth="1"/>
    <col min="783" max="1024" width="9" style="2895"/>
    <col min="1025" max="1025" width="76.5" style="2895" customWidth="1"/>
    <col min="1026" max="1026" width="6.25" style="2895" customWidth="1"/>
    <col min="1027" max="1027" width="11.75" style="2895" customWidth="1"/>
    <col min="1028" max="1029" width="13.875" style="2895" customWidth="1"/>
    <col min="1030" max="1030" width="24"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2.75" style="2895" customWidth="1"/>
    <col min="1038" max="1038" width="7.875" style="2895" customWidth="1"/>
    <col min="1039" max="1280" width="9" style="2895"/>
    <col min="1281" max="1281" width="76.5" style="2895" customWidth="1"/>
    <col min="1282" max="1282" width="6.25" style="2895" customWidth="1"/>
    <col min="1283" max="1283" width="11.75" style="2895" customWidth="1"/>
    <col min="1284" max="1285" width="13.875" style="2895" customWidth="1"/>
    <col min="1286" max="1286" width="24"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2.75" style="2895" customWidth="1"/>
    <col min="1294" max="1294" width="7.875" style="2895" customWidth="1"/>
    <col min="1295" max="1536" width="9" style="2895"/>
    <col min="1537" max="1537" width="76.5" style="2895" customWidth="1"/>
    <col min="1538" max="1538" width="6.25" style="2895" customWidth="1"/>
    <col min="1539" max="1539" width="11.75" style="2895" customWidth="1"/>
    <col min="1540" max="1541" width="13.875" style="2895" customWidth="1"/>
    <col min="1542" max="1542" width="24"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2.75" style="2895" customWidth="1"/>
    <col min="1550" max="1550" width="7.875" style="2895" customWidth="1"/>
    <col min="1551" max="1792" width="9" style="2895"/>
    <col min="1793" max="1793" width="76.5" style="2895" customWidth="1"/>
    <col min="1794" max="1794" width="6.25" style="2895" customWidth="1"/>
    <col min="1795" max="1795" width="11.75" style="2895" customWidth="1"/>
    <col min="1796" max="1797" width="13.875" style="2895" customWidth="1"/>
    <col min="1798" max="1798" width="24"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2.75" style="2895" customWidth="1"/>
    <col min="1806" max="1806" width="7.875" style="2895" customWidth="1"/>
    <col min="1807" max="2048" width="9" style="2895"/>
    <col min="2049" max="2049" width="76.5" style="2895" customWidth="1"/>
    <col min="2050" max="2050" width="6.25" style="2895" customWidth="1"/>
    <col min="2051" max="2051" width="11.75" style="2895" customWidth="1"/>
    <col min="2052" max="2053" width="13.875" style="2895" customWidth="1"/>
    <col min="2054" max="2054" width="24"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2.75" style="2895" customWidth="1"/>
    <col min="2062" max="2062" width="7.875" style="2895" customWidth="1"/>
    <col min="2063" max="2304" width="9" style="2895"/>
    <col min="2305" max="2305" width="76.5" style="2895" customWidth="1"/>
    <col min="2306" max="2306" width="6.25" style="2895" customWidth="1"/>
    <col min="2307" max="2307" width="11.75" style="2895" customWidth="1"/>
    <col min="2308" max="2309" width="13.875" style="2895" customWidth="1"/>
    <col min="2310" max="2310" width="24"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2.75" style="2895" customWidth="1"/>
    <col min="2318" max="2318" width="7.875" style="2895" customWidth="1"/>
    <col min="2319" max="2560" width="9" style="2895"/>
    <col min="2561" max="2561" width="76.5" style="2895" customWidth="1"/>
    <col min="2562" max="2562" width="6.25" style="2895" customWidth="1"/>
    <col min="2563" max="2563" width="11.75" style="2895" customWidth="1"/>
    <col min="2564" max="2565" width="13.875" style="2895" customWidth="1"/>
    <col min="2566" max="2566" width="24"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2.75" style="2895" customWidth="1"/>
    <col min="2574" max="2574" width="7.875" style="2895" customWidth="1"/>
    <col min="2575" max="2816" width="9" style="2895"/>
    <col min="2817" max="2817" width="76.5" style="2895" customWidth="1"/>
    <col min="2818" max="2818" width="6.25" style="2895" customWidth="1"/>
    <col min="2819" max="2819" width="11.75" style="2895" customWidth="1"/>
    <col min="2820" max="2821" width="13.875" style="2895" customWidth="1"/>
    <col min="2822" max="2822" width="24"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2.75" style="2895" customWidth="1"/>
    <col min="2830" max="2830" width="7.875" style="2895" customWidth="1"/>
    <col min="2831" max="3072" width="9" style="2895"/>
    <col min="3073" max="3073" width="76.5" style="2895" customWidth="1"/>
    <col min="3074" max="3074" width="6.25" style="2895" customWidth="1"/>
    <col min="3075" max="3075" width="11.75" style="2895" customWidth="1"/>
    <col min="3076" max="3077" width="13.875" style="2895" customWidth="1"/>
    <col min="3078" max="3078" width="24"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2.75" style="2895" customWidth="1"/>
    <col min="3086" max="3086" width="7.875" style="2895" customWidth="1"/>
    <col min="3087" max="3328" width="9" style="2895"/>
    <col min="3329" max="3329" width="76.5" style="2895" customWidth="1"/>
    <col min="3330" max="3330" width="6.25" style="2895" customWidth="1"/>
    <col min="3331" max="3331" width="11.75" style="2895" customWidth="1"/>
    <col min="3332" max="3333" width="13.875" style="2895" customWidth="1"/>
    <col min="3334" max="3334" width="24"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2.75" style="2895" customWidth="1"/>
    <col min="3342" max="3342" width="7.875" style="2895" customWidth="1"/>
    <col min="3343" max="3584" width="9" style="2895"/>
    <col min="3585" max="3585" width="76.5" style="2895" customWidth="1"/>
    <col min="3586" max="3586" width="6.25" style="2895" customWidth="1"/>
    <col min="3587" max="3587" width="11.75" style="2895" customWidth="1"/>
    <col min="3588" max="3589" width="13.875" style="2895" customWidth="1"/>
    <col min="3590" max="3590" width="24"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2.75" style="2895" customWidth="1"/>
    <col min="3598" max="3598" width="7.875" style="2895" customWidth="1"/>
    <col min="3599" max="3840" width="9" style="2895"/>
    <col min="3841" max="3841" width="76.5" style="2895" customWidth="1"/>
    <col min="3842" max="3842" width="6.25" style="2895" customWidth="1"/>
    <col min="3843" max="3843" width="11.75" style="2895" customWidth="1"/>
    <col min="3844" max="3845" width="13.875" style="2895" customWidth="1"/>
    <col min="3846" max="3846" width="24"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2.75" style="2895" customWidth="1"/>
    <col min="3854" max="3854" width="7.875" style="2895" customWidth="1"/>
    <col min="3855" max="4096" width="9" style="2895"/>
    <col min="4097" max="4097" width="76.5" style="2895" customWidth="1"/>
    <col min="4098" max="4098" width="6.25" style="2895" customWidth="1"/>
    <col min="4099" max="4099" width="11.75" style="2895" customWidth="1"/>
    <col min="4100" max="4101" width="13.875" style="2895" customWidth="1"/>
    <col min="4102" max="4102" width="24"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2.75" style="2895" customWidth="1"/>
    <col min="4110" max="4110" width="7.875" style="2895" customWidth="1"/>
    <col min="4111" max="4352" width="9" style="2895"/>
    <col min="4353" max="4353" width="76.5" style="2895" customWidth="1"/>
    <col min="4354" max="4354" width="6.25" style="2895" customWidth="1"/>
    <col min="4355" max="4355" width="11.75" style="2895" customWidth="1"/>
    <col min="4356" max="4357" width="13.875" style="2895" customWidth="1"/>
    <col min="4358" max="4358" width="24"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2.75" style="2895" customWidth="1"/>
    <col min="4366" max="4366" width="7.875" style="2895" customWidth="1"/>
    <col min="4367" max="4608" width="9" style="2895"/>
    <col min="4609" max="4609" width="76.5" style="2895" customWidth="1"/>
    <col min="4610" max="4610" width="6.25" style="2895" customWidth="1"/>
    <col min="4611" max="4611" width="11.75" style="2895" customWidth="1"/>
    <col min="4612" max="4613" width="13.875" style="2895" customWidth="1"/>
    <col min="4614" max="4614" width="24"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2.75" style="2895" customWidth="1"/>
    <col min="4622" max="4622" width="7.875" style="2895" customWidth="1"/>
    <col min="4623" max="4864" width="9" style="2895"/>
    <col min="4865" max="4865" width="76.5" style="2895" customWidth="1"/>
    <col min="4866" max="4866" width="6.25" style="2895" customWidth="1"/>
    <col min="4867" max="4867" width="11.75" style="2895" customWidth="1"/>
    <col min="4868" max="4869" width="13.875" style="2895" customWidth="1"/>
    <col min="4870" max="4870" width="24"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2.75" style="2895" customWidth="1"/>
    <col min="4878" max="4878" width="7.875" style="2895" customWidth="1"/>
    <col min="4879" max="5120" width="9" style="2895"/>
    <col min="5121" max="5121" width="76.5" style="2895" customWidth="1"/>
    <col min="5122" max="5122" width="6.25" style="2895" customWidth="1"/>
    <col min="5123" max="5123" width="11.75" style="2895" customWidth="1"/>
    <col min="5124" max="5125" width="13.875" style="2895" customWidth="1"/>
    <col min="5126" max="5126" width="24"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2.75" style="2895" customWidth="1"/>
    <col min="5134" max="5134" width="7.875" style="2895" customWidth="1"/>
    <col min="5135" max="5376" width="9" style="2895"/>
    <col min="5377" max="5377" width="76.5" style="2895" customWidth="1"/>
    <col min="5378" max="5378" width="6.25" style="2895" customWidth="1"/>
    <col min="5379" max="5379" width="11.75" style="2895" customWidth="1"/>
    <col min="5380" max="5381" width="13.875" style="2895" customWidth="1"/>
    <col min="5382" max="5382" width="24"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2.75" style="2895" customWidth="1"/>
    <col min="5390" max="5390" width="7.875" style="2895" customWidth="1"/>
    <col min="5391" max="5632" width="9" style="2895"/>
    <col min="5633" max="5633" width="76.5" style="2895" customWidth="1"/>
    <col min="5634" max="5634" width="6.25" style="2895" customWidth="1"/>
    <col min="5635" max="5635" width="11.75" style="2895" customWidth="1"/>
    <col min="5636" max="5637" width="13.875" style="2895" customWidth="1"/>
    <col min="5638" max="5638" width="24"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2.75" style="2895" customWidth="1"/>
    <col min="5646" max="5646" width="7.875" style="2895" customWidth="1"/>
    <col min="5647" max="5888" width="9" style="2895"/>
    <col min="5889" max="5889" width="76.5" style="2895" customWidth="1"/>
    <col min="5890" max="5890" width="6.25" style="2895" customWidth="1"/>
    <col min="5891" max="5891" width="11.75" style="2895" customWidth="1"/>
    <col min="5892" max="5893" width="13.875" style="2895" customWidth="1"/>
    <col min="5894" max="5894" width="24"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2.75" style="2895" customWidth="1"/>
    <col min="5902" max="5902" width="7.875" style="2895" customWidth="1"/>
    <col min="5903" max="6144" width="9" style="2895"/>
    <col min="6145" max="6145" width="76.5" style="2895" customWidth="1"/>
    <col min="6146" max="6146" width="6.25" style="2895" customWidth="1"/>
    <col min="6147" max="6147" width="11.75" style="2895" customWidth="1"/>
    <col min="6148" max="6149" width="13.875" style="2895" customWidth="1"/>
    <col min="6150" max="6150" width="24"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2.75" style="2895" customWidth="1"/>
    <col min="6158" max="6158" width="7.875" style="2895" customWidth="1"/>
    <col min="6159" max="6400" width="9" style="2895"/>
    <col min="6401" max="6401" width="76.5" style="2895" customWidth="1"/>
    <col min="6402" max="6402" width="6.25" style="2895" customWidth="1"/>
    <col min="6403" max="6403" width="11.75" style="2895" customWidth="1"/>
    <col min="6404" max="6405" width="13.875" style="2895" customWidth="1"/>
    <col min="6406" max="6406" width="24"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2.75" style="2895" customWidth="1"/>
    <col min="6414" max="6414" width="7.875" style="2895" customWidth="1"/>
    <col min="6415" max="6656" width="9" style="2895"/>
    <col min="6657" max="6657" width="76.5" style="2895" customWidth="1"/>
    <col min="6658" max="6658" width="6.25" style="2895" customWidth="1"/>
    <col min="6659" max="6659" width="11.75" style="2895" customWidth="1"/>
    <col min="6660" max="6661" width="13.875" style="2895" customWidth="1"/>
    <col min="6662" max="6662" width="24"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2.75" style="2895" customWidth="1"/>
    <col min="6670" max="6670" width="7.875" style="2895" customWidth="1"/>
    <col min="6671" max="6912" width="9" style="2895"/>
    <col min="6913" max="6913" width="76.5" style="2895" customWidth="1"/>
    <col min="6914" max="6914" width="6.25" style="2895" customWidth="1"/>
    <col min="6915" max="6915" width="11.75" style="2895" customWidth="1"/>
    <col min="6916" max="6917" width="13.875" style="2895" customWidth="1"/>
    <col min="6918" max="6918" width="24"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2.75" style="2895" customWidth="1"/>
    <col min="6926" max="6926" width="7.875" style="2895" customWidth="1"/>
    <col min="6927" max="7168" width="9" style="2895"/>
    <col min="7169" max="7169" width="76.5" style="2895" customWidth="1"/>
    <col min="7170" max="7170" width="6.25" style="2895" customWidth="1"/>
    <col min="7171" max="7171" width="11.75" style="2895" customWidth="1"/>
    <col min="7172" max="7173" width="13.875" style="2895" customWidth="1"/>
    <col min="7174" max="7174" width="24"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2.75" style="2895" customWidth="1"/>
    <col min="7182" max="7182" width="7.875" style="2895" customWidth="1"/>
    <col min="7183" max="7424" width="9" style="2895"/>
    <col min="7425" max="7425" width="76.5" style="2895" customWidth="1"/>
    <col min="7426" max="7426" width="6.25" style="2895" customWidth="1"/>
    <col min="7427" max="7427" width="11.75" style="2895" customWidth="1"/>
    <col min="7428" max="7429" width="13.875" style="2895" customWidth="1"/>
    <col min="7430" max="7430" width="24"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2.75" style="2895" customWidth="1"/>
    <col min="7438" max="7438" width="7.875" style="2895" customWidth="1"/>
    <col min="7439" max="7680" width="9" style="2895"/>
    <col min="7681" max="7681" width="76.5" style="2895" customWidth="1"/>
    <col min="7682" max="7682" width="6.25" style="2895" customWidth="1"/>
    <col min="7683" max="7683" width="11.75" style="2895" customWidth="1"/>
    <col min="7684" max="7685" width="13.875" style="2895" customWidth="1"/>
    <col min="7686" max="7686" width="24"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2.75" style="2895" customWidth="1"/>
    <col min="7694" max="7694" width="7.875" style="2895" customWidth="1"/>
    <col min="7695" max="7936" width="9" style="2895"/>
    <col min="7937" max="7937" width="76.5" style="2895" customWidth="1"/>
    <col min="7938" max="7938" width="6.25" style="2895" customWidth="1"/>
    <col min="7939" max="7939" width="11.75" style="2895" customWidth="1"/>
    <col min="7940" max="7941" width="13.875" style="2895" customWidth="1"/>
    <col min="7942" max="7942" width="24"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2.75" style="2895" customWidth="1"/>
    <col min="7950" max="7950" width="7.875" style="2895" customWidth="1"/>
    <col min="7951" max="8192" width="9" style="2895"/>
    <col min="8193" max="8193" width="76.5" style="2895" customWidth="1"/>
    <col min="8194" max="8194" width="6.25" style="2895" customWidth="1"/>
    <col min="8195" max="8195" width="11.75" style="2895" customWidth="1"/>
    <col min="8196" max="8197" width="13.875" style="2895" customWidth="1"/>
    <col min="8198" max="8198" width="24"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2.75" style="2895" customWidth="1"/>
    <col min="8206" max="8206" width="7.875" style="2895" customWidth="1"/>
    <col min="8207" max="8448" width="9" style="2895"/>
    <col min="8449" max="8449" width="76.5" style="2895" customWidth="1"/>
    <col min="8450" max="8450" width="6.25" style="2895" customWidth="1"/>
    <col min="8451" max="8451" width="11.75" style="2895" customWidth="1"/>
    <col min="8452" max="8453" width="13.875" style="2895" customWidth="1"/>
    <col min="8454" max="8454" width="24"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2.75" style="2895" customWidth="1"/>
    <col min="8462" max="8462" width="7.875" style="2895" customWidth="1"/>
    <col min="8463" max="8704" width="9" style="2895"/>
    <col min="8705" max="8705" width="76.5" style="2895" customWidth="1"/>
    <col min="8706" max="8706" width="6.25" style="2895" customWidth="1"/>
    <col min="8707" max="8707" width="11.75" style="2895" customWidth="1"/>
    <col min="8708" max="8709" width="13.875" style="2895" customWidth="1"/>
    <col min="8710" max="8710" width="24"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2.75" style="2895" customWidth="1"/>
    <col min="8718" max="8718" width="7.875" style="2895" customWidth="1"/>
    <col min="8719" max="8960" width="9" style="2895"/>
    <col min="8961" max="8961" width="76.5" style="2895" customWidth="1"/>
    <col min="8962" max="8962" width="6.25" style="2895" customWidth="1"/>
    <col min="8963" max="8963" width="11.75" style="2895" customWidth="1"/>
    <col min="8964" max="8965" width="13.875" style="2895" customWidth="1"/>
    <col min="8966" max="8966" width="24"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2.75" style="2895" customWidth="1"/>
    <col min="8974" max="8974" width="7.875" style="2895" customWidth="1"/>
    <col min="8975" max="9216" width="9" style="2895"/>
    <col min="9217" max="9217" width="76.5" style="2895" customWidth="1"/>
    <col min="9218" max="9218" width="6.25" style="2895" customWidth="1"/>
    <col min="9219" max="9219" width="11.75" style="2895" customWidth="1"/>
    <col min="9220" max="9221" width="13.875" style="2895" customWidth="1"/>
    <col min="9222" max="9222" width="24"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2.75" style="2895" customWidth="1"/>
    <col min="9230" max="9230" width="7.875" style="2895" customWidth="1"/>
    <col min="9231" max="9472" width="9" style="2895"/>
    <col min="9473" max="9473" width="76.5" style="2895" customWidth="1"/>
    <col min="9474" max="9474" width="6.25" style="2895" customWidth="1"/>
    <col min="9475" max="9475" width="11.75" style="2895" customWidth="1"/>
    <col min="9476" max="9477" width="13.875" style="2895" customWidth="1"/>
    <col min="9478" max="9478" width="24"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2.75" style="2895" customWidth="1"/>
    <col min="9486" max="9486" width="7.875" style="2895" customWidth="1"/>
    <col min="9487" max="9728" width="9" style="2895"/>
    <col min="9729" max="9729" width="76.5" style="2895" customWidth="1"/>
    <col min="9730" max="9730" width="6.25" style="2895" customWidth="1"/>
    <col min="9731" max="9731" width="11.75" style="2895" customWidth="1"/>
    <col min="9732" max="9733" width="13.875" style="2895" customWidth="1"/>
    <col min="9734" max="9734" width="24"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2.75" style="2895" customWidth="1"/>
    <col min="9742" max="9742" width="7.875" style="2895" customWidth="1"/>
    <col min="9743" max="9984" width="9" style="2895"/>
    <col min="9985" max="9985" width="76.5" style="2895" customWidth="1"/>
    <col min="9986" max="9986" width="6.25" style="2895" customWidth="1"/>
    <col min="9987" max="9987" width="11.75" style="2895" customWidth="1"/>
    <col min="9988" max="9989" width="13.875" style="2895" customWidth="1"/>
    <col min="9990" max="9990" width="24"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2.75" style="2895" customWidth="1"/>
    <col min="9998" max="9998" width="7.875" style="2895" customWidth="1"/>
    <col min="9999" max="10240" width="9" style="2895"/>
    <col min="10241" max="10241" width="76.5" style="2895" customWidth="1"/>
    <col min="10242" max="10242" width="6.25" style="2895" customWidth="1"/>
    <col min="10243" max="10243" width="11.75" style="2895" customWidth="1"/>
    <col min="10244" max="10245" width="13.875" style="2895" customWidth="1"/>
    <col min="10246" max="10246" width="24"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2.75" style="2895" customWidth="1"/>
    <col min="10254" max="10254" width="7.875" style="2895" customWidth="1"/>
    <col min="10255" max="10496" width="9" style="2895"/>
    <col min="10497" max="10497" width="76.5" style="2895" customWidth="1"/>
    <col min="10498" max="10498" width="6.25" style="2895" customWidth="1"/>
    <col min="10499" max="10499" width="11.75" style="2895" customWidth="1"/>
    <col min="10500" max="10501" width="13.875" style="2895" customWidth="1"/>
    <col min="10502" max="10502" width="24"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2.75" style="2895" customWidth="1"/>
    <col min="10510" max="10510" width="7.875" style="2895" customWidth="1"/>
    <col min="10511" max="10752" width="9" style="2895"/>
    <col min="10753" max="10753" width="76.5" style="2895" customWidth="1"/>
    <col min="10754" max="10754" width="6.25" style="2895" customWidth="1"/>
    <col min="10755" max="10755" width="11.75" style="2895" customWidth="1"/>
    <col min="10756" max="10757" width="13.875" style="2895" customWidth="1"/>
    <col min="10758" max="10758" width="24"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2.75" style="2895" customWidth="1"/>
    <col min="10766" max="10766" width="7.875" style="2895" customWidth="1"/>
    <col min="10767" max="11008" width="9" style="2895"/>
    <col min="11009" max="11009" width="76.5" style="2895" customWidth="1"/>
    <col min="11010" max="11010" width="6.25" style="2895" customWidth="1"/>
    <col min="11011" max="11011" width="11.75" style="2895" customWidth="1"/>
    <col min="11012" max="11013" width="13.875" style="2895" customWidth="1"/>
    <col min="11014" max="11014" width="24"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2.75" style="2895" customWidth="1"/>
    <col min="11022" max="11022" width="7.875" style="2895" customWidth="1"/>
    <col min="11023" max="11264" width="9" style="2895"/>
    <col min="11265" max="11265" width="76.5" style="2895" customWidth="1"/>
    <col min="11266" max="11266" width="6.25" style="2895" customWidth="1"/>
    <col min="11267" max="11267" width="11.75" style="2895" customWidth="1"/>
    <col min="11268" max="11269" width="13.875" style="2895" customWidth="1"/>
    <col min="11270" max="11270" width="24"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2.75" style="2895" customWidth="1"/>
    <col min="11278" max="11278" width="7.875" style="2895" customWidth="1"/>
    <col min="11279" max="11520" width="9" style="2895"/>
    <col min="11521" max="11521" width="76.5" style="2895" customWidth="1"/>
    <col min="11522" max="11522" width="6.25" style="2895" customWidth="1"/>
    <col min="11523" max="11523" width="11.75" style="2895" customWidth="1"/>
    <col min="11524" max="11525" width="13.875" style="2895" customWidth="1"/>
    <col min="11526" max="11526" width="24"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2.75" style="2895" customWidth="1"/>
    <col min="11534" max="11534" width="7.875" style="2895" customWidth="1"/>
    <col min="11535" max="11776" width="9" style="2895"/>
    <col min="11777" max="11777" width="76.5" style="2895" customWidth="1"/>
    <col min="11778" max="11778" width="6.25" style="2895" customWidth="1"/>
    <col min="11779" max="11779" width="11.75" style="2895" customWidth="1"/>
    <col min="11780" max="11781" width="13.875" style="2895" customWidth="1"/>
    <col min="11782" max="11782" width="24"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2.75" style="2895" customWidth="1"/>
    <col min="11790" max="11790" width="7.875" style="2895" customWidth="1"/>
    <col min="11791" max="12032" width="9" style="2895"/>
    <col min="12033" max="12033" width="76.5" style="2895" customWidth="1"/>
    <col min="12034" max="12034" width="6.25" style="2895" customWidth="1"/>
    <col min="12035" max="12035" width="11.75" style="2895" customWidth="1"/>
    <col min="12036" max="12037" width="13.875" style="2895" customWidth="1"/>
    <col min="12038" max="12038" width="24"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2.75" style="2895" customWidth="1"/>
    <col min="12046" max="12046" width="7.875" style="2895" customWidth="1"/>
    <col min="12047" max="12288" width="9" style="2895"/>
    <col min="12289" max="12289" width="76.5" style="2895" customWidth="1"/>
    <col min="12290" max="12290" width="6.25" style="2895" customWidth="1"/>
    <col min="12291" max="12291" width="11.75" style="2895" customWidth="1"/>
    <col min="12292" max="12293" width="13.875" style="2895" customWidth="1"/>
    <col min="12294" max="12294" width="24"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2.75" style="2895" customWidth="1"/>
    <col min="12302" max="12302" width="7.875" style="2895" customWidth="1"/>
    <col min="12303" max="12544" width="9" style="2895"/>
    <col min="12545" max="12545" width="76.5" style="2895" customWidth="1"/>
    <col min="12546" max="12546" width="6.25" style="2895" customWidth="1"/>
    <col min="12547" max="12547" width="11.75" style="2895" customWidth="1"/>
    <col min="12548" max="12549" width="13.875" style="2895" customWidth="1"/>
    <col min="12550" max="12550" width="24"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2.75" style="2895" customWidth="1"/>
    <col min="12558" max="12558" width="7.875" style="2895" customWidth="1"/>
    <col min="12559" max="12800" width="9" style="2895"/>
    <col min="12801" max="12801" width="76.5" style="2895" customWidth="1"/>
    <col min="12802" max="12802" width="6.25" style="2895" customWidth="1"/>
    <col min="12803" max="12803" width="11.75" style="2895" customWidth="1"/>
    <col min="12804" max="12805" width="13.875" style="2895" customWidth="1"/>
    <col min="12806" max="12806" width="24"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2.75" style="2895" customWidth="1"/>
    <col min="12814" max="12814" width="7.875" style="2895" customWidth="1"/>
    <col min="12815" max="13056" width="9" style="2895"/>
    <col min="13057" max="13057" width="76.5" style="2895" customWidth="1"/>
    <col min="13058" max="13058" width="6.25" style="2895" customWidth="1"/>
    <col min="13059" max="13059" width="11.75" style="2895" customWidth="1"/>
    <col min="13060" max="13061" width="13.875" style="2895" customWidth="1"/>
    <col min="13062" max="13062" width="24"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2.75" style="2895" customWidth="1"/>
    <col min="13070" max="13070" width="7.875" style="2895" customWidth="1"/>
    <col min="13071" max="13312" width="9" style="2895"/>
    <col min="13313" max="13313" width="76.5" style="2895" customWidth="1"/>
    <col min="13314" max="13314" width="6.25" style="2895" customWidth="1"/>
    <col min="13315" max="13315" width="11.75" style="2895" customWidth="1"/>
    <col min="13316" max="13317" width="13.875" style="2895" customWidth="1"/>
    <col min="13318" max="13318" width="24"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2.75" style="2895" customWidth="1"/>
    <col min="13326" max="13326" width="7.875" style="2895" customWidth="1"/>
    <col min="13327" max="13568" width="9" style="2895"/>
    <col min="13569" max="13569" width="76.5" style="2895" customWidth="1"/>
    <col min="13570" max="13570" width="6.25" style="2895" customWidth="1"/>
    <col min="13571" max="13571" width="11.75" style="2895" customWidth="1"/>
    <col min="13572" max="13573" width="13.875" style="2895" customWidth="1"/>
    <col min="13574" max="13574" width="24"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2.75" style="2895" customWidth="1"/>
    <col min="13582" max="13582" width="7.875" style="2895" customWidth="1"/>
    <col min="13583" max="13824" width="9" style="2895"/>
    <col min="13825" max="13825" width="76.5" style="2895" customWidth="1"/>
    <col min="13826" max="13826" width="6.25" style="2895" customWidth="1"/>
    <col min="13827" max="13827" width="11.75" style="2895" customWidth="1"/>
    <col min="13828" max="13829" width="13.875" style="2895" customWidth="1"/>
    <col min="13830" max="13830" width="24"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2.75" style="2895" customWidth="1"/>
    <col min="13838" max="13838" width="7.875" style="2895" customWidth="1"/>
    <col min="13839" max="14080" width="9" style="2895"/>
    <col min="14081" max="14081" width="76.5" style="2895" customWidth="1"/>
    <col min="14082" max="14082" width="6.25" style="2895" customWidth="1"/>
    <col min="14083" max="14083" width="11.75" style="2895" customWidth="1"/>
    <col min="14084" max="14085" width="13.875" style="2895" customWidth="1"/>
    <col min="14086" max="14086" width="24"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2.75" style="2895" customWidth="1"/>
    <col min="14094" max="14094" width="7.875" style="2895" customWidth="1"/>
    <col min="14095" max="14336" width="9" style="2895"/>
    <col min="14337" max="14337" width="76.5" style="2895" customWidth="1"/>
    <col min="14338" max="14338" width="6.25" style="2895" customWidth="1"/>
    <col min="14339" max="14339" width="11.75" style="2895" customWidth="1"/>
    <col min="14340" max="14341" width="13.875" style="2895" customWidth="1"/>
    <col min="14342" max="14342" width="24"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2.75" style="2895" customWidth="1"/>
    <col min="14350" max="14350" width="7.875" style="2895" customWidth="1"/>
    <col min="14351" max="14592" width="9" style="2895"/>
    <col min="14593" max="14593" width="76.5" style="2895" customWidth="1"/>
    <col min="14594" max="14594" width="6.25" style="2895" customWidth="1"/>
    <col min="14595" max="14595" width="11.75" style="2895" customWidth="1"/>
    <col min="14596" max="14597" width="13.875" style="2895" customWidth="1"/>
    <col min="14598" max="14598" width="24"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2.75" style="2895" customWidth="1"/>
    <col min="14606" max="14606" width="7.875" style="2895" customWidth="1"/>
    <col min="14607" max="14848" width="9" style="2895"/>
    <col min="14849" max="14849" width="76.5" style="2895" customWidth="1"/>
    <col min="14850" max="14850" width="6.25" style="2895" customWidth="1"/>
    <col min="14851" max="14851" width="11.75" style="2895" customWidth="1"/>
    <col min="14852" max="14853" width="13.875" style="2895" customWidth="1"/>
    <col min="14854" max="14854" width="24"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2.75" style="2895" customWidth="1"/>
    <col min="14862" max="14862" width="7.875" style="2895" customWidth="1"/>
    <col min="14863" max="15104" width="9" style="2895"/>
    <col min="15105" max="15105" width="76.5" style="2895" customWidth="1"/>
    <col min="15106" max="15106" width="6.25" style="2895" customWidth="1"/>
    <col min="15107" max="15107" width="11.75" style="2895" customWidth="1"/>
    <col min="15108" max="15109" width="13.875" style="2895" customWidth="1"/>
    <col min="15110" max="15110" width="24"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2.75" style="2895" customWidth="1"/>
    <col min="15118" max="15118" width="7.875" style="2895" customWidth="1"/>
    <col min="15119" max="15360" width="9" style="2895"/>
    <col min="15361" max="15361" width="76.5" style="2895" customWidth="1"/>
    <col min="15362" max="15362" width="6.25" style="2895" customWidth="1"/>
    <col min="15363" max="15363" width="11.75" style="2895" customWidth="1"/>
    <col min="15364" max="15365" width="13.875" style="2895" customWidth="1"/>
    <col min="15366" max="15366" width="24"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 style="2895" customWidth="1"/>
    <col min="15619" max="15619" width="11.75" style="2895" customWidth="1"/>
    <col min="15620" max="15621" width="13.875" style="2895" customWidth="1"/>
    <col min="15622" max="15622" width="24"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2.75" style="2895" customWidth="1"/>
    <col min="15630" max="15630" width="7.875" style="2895" customWidth="1"/>
    <col min="15631" max="15872" width="9" style="2895"/>
    <col min="15873" max="15873" width="76.5" style="2895" customWidth="1"/>
    <col min="15874" max="15874" width="6.25" style="2895" customWidth="1"/>
    <col min="15875" max="15875" width="11.75" style="2895" customWidth="1"/>
    <col min="15876" max="15877" width="13.875" style="2895" customWidth="1"/>
    <col min="15878" max="15878" width="24"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2.75" style="2895" customWidth="1"/>
    <col min="15886" max="15886" width="7.875" style="2895" customWidth="1"/>
    <col min="15887" max="16128" width="9" style="2895"/>
    <col min="16129" max="16129" width="76.5" style="2895" customWidth="1"/>
    <col min="16130" max="16130" width="6.25" style="2895" customWidth="1"/>
    <col min="16131" max="16131" width="11.75" style="2895" customWidth="1"/>
    <col min="16132" max="16133" width="13.875" style="2895" customWidth="1"/>
    <col min="16134" max="16134" width="24"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2.75" style="2895" customWidth="1"/>
    <col min="16142" max="16142" width="7.875" style="2895" customWidth="1"/>
    <col min="16143" max="16384" width="9" style="2895"/>
  </cols>
  <sheetData>
    <row r="1" spans="1:15">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row>
    <row r="2" spans="1:15" s="3215" customFormat="1">
      <c r="A2" s="3215" t="s">
        <v>3110</v>
      </c>
      <c r="B2" s="3215" t="s">
        <v>3013</v>
      </c>
      <c r="C2" s="3215" t="s">
        <v>3111</v>
      </c>
      <c r="D2" s="3215">
        <v>3023.2</v>
      </c>
      <c r="E2" s="3215">
        <v>2418.56</v>
      </c>
      <c r="F2" s="3215" t="s">
        <v>3112</v>
      </c>
      <c r="G2" s="3215" t="s">
        <v>3016</v>
      </c>
      <c r="H2" s="3215" t="s">
        <v>3113</v>
      </c>
      <c r="I2" s="3215">
        <v>272.10000000000002</v>
      </c>
      <c r="J2" s="3215">
        <v>294.77</v>
      </c>
      <c r="K2" s="3215">
        <v>1218.81</v>
      </c>
      <c r="L2" s="3215">
        <v>8.34</v>
      </c>
      <c r="M2" s="3215" t="s">
        <v>3114</v>
      </c>
      <c r="N2" s="3215" t="s">
        <v>3115</v>
      </c>
      <c r="O2" s="3215">
        <f>J2/D2*10000</f>
        <v>975.02646202699123</v>
      </c>
    </row>
    <row r="3" spans="1:15" s="3215" customFormat="1">
      <c r="A3" s="3215" t="s">
        <v>3116</v>
      </c>
      <c r="B3" s="3215" t="s">
        <v>3013</v>
      </c>
      <c r="C3" s="3215" t="s">
        <v>3111</v>
      </c>
      <c r="D3" s="3215">
        <v>2000</v>
      </c>
      <c r="E3" s="3215">
        <v>1600</v>
      </c>
      <c r="F3" s="3215" t="s">
        <v>3112</v>
      </c>
      <c r="G3" s="3215" t="s">
        <v>3016</v>
      </c>
      <c r="H3" s="3215" t="s">
        <v>3113</v>
      </c>
      <c r="I3" s="3215">
        <v>180</v>
      </c>
      <c r="J3" s="3215">
        <v>198</v>
      </c>
      <c r="K3" s="3215">
        <v>1237.5</v>
      </c>
      <c r="L3" s="3215">
        <v>10</v>
      </c>
      <c r="M3" s="3215" t="s">
        <v>3117</v>
      </c>
      <c r="N3" s="3215" t="s">
        <v>3115</v>
      </c>
      <c r="O3" s="3215">
        <f t="shared" ref="O3:O18" si="0">J3/D3*10000</f>
        <v>990</v>
      </c>
    </row>
    <row r="4" spans="1:15" s="3185" customFormat="1">
      <c r="A4" s="3185" t="s">
        <v>3118</v>
      </c>
      <c r="B4" s="3185" t="s">
        <v>3013</v>
      </c>
      <c r="C4" s="3185" t="s">
        <v>3111</v>
      </c>
      <c r="D4" s="3185">
        <v>2753.4</v>
      </c>
      <c r="E4" s="3185">
        <v>2753.4</v>
      </c>
      <c r="F4" s="3185" t="s">
        <v>3119</v>
      </c>
      <c r="G4" s="3185" t="s">
        <v>3016</v>
      </c>
      <c r="H4" s="3185" t="s">
        <v>3030</v>
      </c>
      <c r="I4" s="3185">
        <v>247.8</v>
      </c>
      <c r="J4" s="3185">
        <v>289.10000000000002</v>
      </c>
      <c r="K4" s="3185">
        <v>1049.97</v>
      </c>
      <c r="L4" s="3185">
        <v>16.670000000000002</v>
      </c>
      <c r="M4" s="3185" t="s">
        <v>3120</v>
      </c>
      <c r="N4" s="3185" t="s">
        <v>3042</v>
      </c>
      <c r="O4" s="3185">
        <f t="shared" si="0"/>
        <v>1049.9745768867583</v>
      </c>
    </row>
    <row r="5" spans="1:15">
      <c r="A5" s="2895" t="s">
        <v>3121</v>
      </c>
      <c r="B5" s="2895" t="s">
        <v>3013</v>
      </c>
      <c r="C5" s="2895" t="s">
        <v>3111</v>
      </c>
      <c r="D5" s="2895">
        <v>3320.49</v>
      </c>
      <c r="E5" s="2895">
        <v>2656.39</v>
      </c>
      <c r="F5" s="2895" t="s">
        <v>3112</v>
      </c>
      <c r="G5" s="2895" t="s">
        <v>3016</v>
      </c>
      <c r="H5" s="2895" t="s">
        <v>3122</v>
      </c>
      <c r="I5" s="2895">
        <v>408.43</v>
      </c>
      <c r="J5" s="2895">
        <v>488.13</v>
      </c>
      <c r="K5" s="2895">
        <v>1837.6</v>
      </c>
      <c r="L5" s="2895">
        <v>19.510000000000002</v>
      </c>
      <c r="M5" s="2895" t="s">
        <v>3123</v>
      </c>
      <c r="N5" s="2895" t="s">
        <v>3042</v>
      </c>
      <c r="O5" s="2895">
        <f t="shared" si="0"/>
        <v>1470.0541185186526</v>
      </c>
    </row>
    <row r="6" spans="1:15" s="3214" customFormat="1">
      <c r="A6" s="3214" t="s">
        <v>3124</v>
      </c>
      <c r="B6" s="3214" t="s">
        <v>3013</v>
      </c>
      <c r="C6" s="3214" t="s">
        <v>3111</v>
      </c>
      <c r="D6" s="3214">
        <v>107481.21</v>
      </c>
      <c r="E6" s="3214">
        <v>322443.63</v>
      </c>
      <c r="F6" s="3214" t="s">
        <v>3028</v>
      </c>
      <c r="G6" s="3214" t="s">
        <v>3016</v>
      </c>
      <c r="H6" s="3214" t="s">
        <v>3125</v>
      </c>
      <c r="I6" s="3214" t="s">
        <v>2818</v>
      </c>
      <c r="J6" s="3214">
        <v>19346.63</v>
      </c>
      <c r="K6" s="3214">
        <v>600</v>
      </c>
      <c r="L6" s="3214" t="s">
        <v>2818</v>
      </c>
      <c r="M6" s="3214" t="s">
        <v>3126</v>
      </c>
      <c r="N6" s="3214" t="s">
        <v>3024</v>
      </c>
      <c r="O6" s="3214">
        <f t="shared" si="0"/>
        <v>1800.0011350821226</v>
      </c>
    </row>
    <row r="7" spans="1:15" s="3214" customFormat="1">
      <c r="A7" s="3214" t="s">
        <v>3127</v>
      </c>
      <c r="B7" s="3214" t="s">
        <v>3013</v>
      </c>
      <c r="C7" s="3214" t="s">
        <v>3111</v>
      </c>
      <c r="D7" s="3214">
        <v>97358.74</v>
      </c>
      <c r="E7" s="3214">
        <v>243396.85</v>
      </c>
      <c r="F7" s="3214" t="s">
        <v>3021</v>
      </c>
      <c r="G7" s="3214" t="s">
        <v>3016</v>
      </c>
      <c r="H7" s="3214" t="s">
        <v>3125</v>
      </c>
      <c r="I7" s="3214" t="s">
        <v>2818</v>
      </c>
      <c r="J7" s="3214">
        <v>17524.560000000001</v>
      </c>
      <c r="K7" s="3214">
        <v>720</v>
      </c>
      <c r="L7" s="3214" t="s">
        <v>2818</v>
      </c>
      <c r="M7" s="3214" t="s">
        <v>3128</v>
      </c>
      <c r="N7" s="3214" t="s">
        <v>3024</v>
      </c>
      <c r="O7" s="3214">
        <f t="shared" si="0"/>
        <v>1799.9986441895203</v>
      </c>
    </row>
    <row r="8" spans="1:15" s="3214" customFormat="1">
      <c r="A8" s="3214" t="s">
        <v>3129</v>
      </c>
      <c r="B8" s="3214" t="s">
        <v>3013</v>
      </c>
      <c r="C8" s="3214" t="s">
        <v>3111</v>
      </c>
      <c r="D8" s="3214">
        <v>4437.12</v>
      </c>
      <c r="E8" s="3214">
        <v>17748.48</v>
      </c>
      <c r="F8" s="3214" t="s">
        <v>3130</v>
      </c>
      <c r="G8" s="3214" t="s">
        <v>3016</v>
      </c>
      <c r="H8" s="3214" t="s">
        <v>3131</v>
      </c>
      <c r="I8" s="3214">
        <v>732.15</v>
      </c>
      <c r="J8" s="3214">
        <v>732.15</v>
      </c>
      <c r="K8" s="3214">
        <v>412.51</v>
      </c>
      <c r="L8" s="3214">
        <v>0</v>
      </c>
      <c r="M8" s="3214" t="s">
        <v>3132</v>
      </c>
      <c r="N8" s="3214" t="s">
        <v>3024</v>
      </c>
      <c r="O8" s="3214">
        <f t="shared" si="0"/>
        <v>1650.0567935958461</v>
      </c>
    </row>
    <row r="9" spans="1:15">
      <c r="A9" s="2895" t="s">
        <v>3133</v>
      </c>
      <c r="B9" s="2895" t="s">
        <v>3013</v>
      </c>
      <c r="C9" s="2895" t="s">
        <v>3111</v>
      </c>
      <c r="D9" s="2895">
        <v>4647.12</v>
      </c>
      <c r="E9" s="2895">
        <v>3717.7</v>
      </c>
      <c r="F9" s="2895" t="s">
        <v>3112</v>
      </c>
      <c r="G9" s="2895" t="s">
        <v>3016</v>
      </c>
      <c r="H9" s="2895" t="s">
        <v>3131</v>
      </c>
      <c r="I9" s="2895">
        <v>1394.2</v>
      </c>
      <c r="J9" s="2895">
        <v>1415.1</v>
      </c>
      <c r="K9" s="2895">
        <v>3806.4</v>
      </c>
      <c r="L9" s="2895">
        <v>1.5</v>
      </c>
      <c r="M9" s="2895" t="s">
        <v>3134</v>
      </c>
      <c r="N9" s="2895" t="s">
        <v>3024</v>
      </c>
      <c r="O9" s="2895">
        <f t="shared" si="0"/>
        <v>3045.1118111862829</v>
      </c>
    </row>
    <row r="10" spans="1:15" s="3185" customFormat="1">
      <c r="A10" s="3185" t="s">
        <v>3135</v>
      </c>
      <c r="B10" s="3185" t="s">
        <v>3013</v>
      </c>
      <c r="C10" s="3185" t="s">
        <v>3111</v>
      </c>
      <c r="D10" s="3185">
        <v>408.38</v>
      </c>
      <c r="E10" s="3185">
        <v>1020.95</v>
      </c>
      <c r="F10" s="3185" t="s">
        <v>3136</v>
      </c>
      <c r="G10" s="3185" t="s">
        <v>3016</v>
      </c>
      <c r="H10" s="3185" t="s">
        <v>3137</v>
      </c>
      <c r="I10" s="3185">
        <v>42.9</v>
      </c>
      <c r="J10" s="3185">
        <v>42.9</v>
      </c>
      <c r="K10" s="3185">
        <v>420.29</v>
      </c>
      <c r="L10" s="3185">
        <v>0</v>
      </c>
      <c r="M10" s="3185" t="s">
        <v>3138</v>
      </c>
      <c r="N10" s="3185" t="s">
        <v>3042</v>
      </c>
      <c r="O10" s="3185">
        <f t="shared" si="0"/>
        <v>1050.492188647828</v>
      </c>
    </row>
    <row r="11" spans="1:15">
      <c r="A11" s="2895" t="s">
        <v>3139</v>
      </c>
      <c r="B11" s="2895" t="s">
        <v>3013</v>
      </c>
      <c r="C11" s="2895" t="s">
        <v>3111</v>
      </c>
      <c r="D11" s="2895">
        <v>3473.07</v>
      </c>
      <c r="E11" s="2895">
        <v>6946.14</v>
      </c>
      <c r="F11" s="2895" t="s">
        <v>3140</v>
      </c>
      <c r="G11" s="2895" t="s">
        <v>3016</v>
      </c>
      <c r="H11" s="2895" t="s">
        <v>3141</v>
      </c>
      <c r="I11" s="2895">
        <v>270.92</v>
      </c>
      <c r="J11" s="2895">
        <v>270.92</v>
      </c>
      <c r="K11" s="2895">
        <v>390.02</v>
      </c>
      <c r="L11" s="2895">
        <v>0</v>
      </c>
      <c r="M11" s="2895" t="s">
        <v>3142</v>
      </c>
      <c r="N11" s="2895" t="s">
        <v>3024</v>
      </c>
      <c r="O11" s="2895">
        <f t="shared" si="0"/>
        <v>780.05914076019201</v>
      </c>
    </row>
    <row r="12" spans="1:15">
      <c r="A12" s="2895" t="s">
        <v>3139</v>
      </c>
      <c r="B12" s="2895" t="s">
        <v>3013</v>
      </c>
      <c r="C12" s="2895" t="s">
        <v>3111</v>
      </c>
      <c r="D12" s="2895">
        <v>4515.1499999999996</v>
      </c>
      <c r="E12" s="2895">
        <v>9030.2999999999993</v>
      </c>
      <c r="F12" s="2895" t="s">
        <v>3140</v>
      </c>
      <c r="G12" s="2895" t="s">
        <v>3016</v>
      </c>
      <c r="H12" s="2895" t="s">
        <v>3141</v>
      </c>
      <c r="I12" s="2895">
        <v>352.19</v>
      </c>
      <c r="J12" s="2895">
        <v>352.19</v>
      </c>
      <c r="K12" s="2895">
        <v>390.01</v>
      </c>
      <c r="L12" s="2895">
        <v>0</v>
      </c>
      <c r="M12" s="2895" t="s">
        <v>3143</v>
      </c>
      <c r="N12" s="2895" t="s">
        <v>3024</v>
      </c>
      <c r="O12" s="2895">
        <f t="shared" si="0"/>
        <v>780.01838255650421</v>
      </c>
    </row>
    <row r="13" spans="1:15">
      <c r="A13" s="2895" t="s">
        <v>3144</v>
      </c>
      <c r="B13" s="2895" t="s">
        <v>3013</v>
      </c>
      <c r="C13" s="2895" t="s">
        <v>3111</v>
      </c>
      <c r="D13" s="2895">
        <v>22331.85</v>
      </c>
      <c r="E13" s="2895">
        <v>44663.7</v>
      </c>
      <c r="F13" s="2895" t="s">
        <v>3140</v>
      </c>
      <c r="G13" s="2895" t="s">
        <v>3016</v>
      </c>
      <c r="H13" s="2895" t="s">
        <v>3145</v>
      </c>
      <c r="I13" s="2895">
        <v>368.48</v>
      </c>
      <c r="J13" s="2895">
        <v>368.48</v>
      </c>
      <c r="K13" s="2895">
        <v>82.5</v>
      </c>
      <c r="L13" s="2895">
        <v>0</v>
      </c>
      <c r="M13" s="2895" t="s">
        <v>3146</v>
      </c>
      <c r="N13" s="2895" t="s">
        <v>3042</v>
      </c>
      <c r="O13" s="2895">
        <f t="shared" si="0"/>
        <v>165.00200386443578</v>
      </c>
    </row>
    <row r="14" spans="1:15">
      <c r="A14" s="2895" t="s">
        <v>3147</v>
      </c>
      <c r="B14" s="2895" t="s">
        <v>3013</v>
      </c>
      <c r="C14" s="2895" t="s">
        <v>3111</v>
      </c>
      <c r="D14" s="2895">
        <v>18010.52</v>
      </c>
      <c r="E14" s="2895">
        <v>28816.83</v>
      </c>
      <c r="F14" s="2895" t="s">
        <v>3148</v>
      </c>
      <c r="G14" s="2895" t="s">
        <v>3016</v>
      </c>
      <c r="H14" s="2895" t="s">
        <v>3149</v>
      </c>
      <c r="I14" s="2895">
        <v>1215.72</v>
      </c>
      <c r="J14" s="2895">
        <v>1215.72</v>
      </c>
      <c r="K14" s="2895">
        <v>421.87</v>
      </c>
      <c r="L14" s="2895">
        <v>0</v>
      </c>
      <c r="M14" s="2895" t="s">
        <v>3150</v>
      </c>
      <c r="N14" s="2895" t="s">
        <v>3024</v>
      </c>
      <c r="O14" s="2895">
        <f t="shared" si="0"/>
        <v>675.00549678743323</v>
      </c>
    </row>
    <row r="15" spans="1:15">
      <c r="A15" s="2895" t="s">
        <v>3151</v>
      </c>
      <c r="B15" s="2895" t="s">
        <v>3013</v>
      </c>
      <c r="C15" s="2895" t="s">
        <v>3111</v>
      </c>
      <c r="D15" s="2895">
        <v>16667.18</v>
      </c>
      <c r="E15" s="2895">
        <v>50001.54</v>
      </c>
      <c r="F15" s="2895" t="s">
        <v>3028</v>
      </c>
      <c r="G15" s="2895" t="s">
        <v>3016</v>
      </c>
      <c r="H15" s="2895" t="s">
        <v>3152</v>
      </c>
      <c r="I15" s="2895">
        <v>2000</v>
      </c>
      <c r="J15" s="2895">
        <v>2150</v>
      </c>
      <c r="K15" s="2895">
        <v>429.99</v>
      </c>
      <c r="L15" s="2895">
        <v>7.5</v>
      </c>
      <c r="M15" s="2895" t="s">
        <v>3153</v>
      </c>
      <c r="N15" s="2895" t="s">
        <v>3024</v>
      </c>
      <c r="O15" s="2895">
        <f t="shared" si="0"/>
        <v>1289.9602692237077</v>
      </c>
    </row>
    <row r="16" spans="1:15">
      <c r="A16" s="2895" t="s">
        <v>3154</v>
      </c>
      <c r="B16" s="2895" t="s">
        <v>3013</v>
      </c>
      <c r="C16" s="2895" t="s">
        <v>3111</v>
      </c>
      <c r="D16" s="2895">
        <v>100789</v>
      </c>
      <c r="E16" s="2895">
        <v>403156</v>
      </c>
      <c r="F16" s="2895" t="s">
        <v>3061</v>
      </c>
      <c r="G16" s="2895" t="s">
        <v>3016</v>
      </c>
      <c r="H16" s="2895" t="s">
        <v>3155</v>
      </c>
      <c r="I16" s="2895">
        <v>22677.59</v>
      </c>
      <c r="J16" s="2895">
        <v>22677.59</v>
      </c>
      <c r="K16" s="2895">
        <v>562.5</v>
      </c>
      <c r="L16" s="2895">
        <v>0</v>
      </c>
      <c r="M16" s="2895" t="s">
        <v>3156</v>
      </c>
      <c r="N16" s="2895" t="s">
        <v>3024</v>
      </c>
      <c r="O16" s="2895">
        <f t="shared" si="0"/>
        <v>2250.0064491164712</v>
      </c>
    </row>
    <row r="17" spans="1:15">
      <c r="A17" s="2895" t="s">
        <v>3157</v>
      </c>
      <c r="B17" s="2895" t="s">
        <v>3013</v>
      </c>
      <c r="C17" s="2895" t="s">
        <v>3111</v>
      </c>
      <c r="D17" s="2895">
        <v>1653.14</v>
      </c>
      <c r="E17" s="2895">
        <v>1653.14</v>
      </c>
      <c r="F17" s="2895" t="s">
        <v>3158</v>
      </c>
      <c r="G17" s="2895" t="s">
        <v>3016</v>
      </c>
      <c r="H17" s="2895" t="s">
        <v>3159</v>
      </c>
      <c r="I17" s="2895">
        <v>74.400000000000006</v>
      </c>
      <c r="J17" s="2895">
        <v>89.28</v>
      </c>
      <c r="K17" s="2895">
        <v>540.04999999999995</v>
      </c>
      <c r="L17" s="2895">
        <v>20</v>
      </c>
      <c r="M17" s="2895" t="s">
        <v>3160</v>
      </c>
      <c r="N17" s="2895" t="s">
        <v>3042</v>
      </c>
      <c r="O17" s="2895">
        <f t="shared" si="0"/>
        <v>540.06315254606386</v>
      </c>
    </row>
    <row r="18" spans="1:15">
      <c r="A18" s="2895" t="s">
        <v>3157</v>
      </c>
      <c r="B18" s="2895" t="s">
        <v>3013</v>
      </c>
      <c r="C18" s="2895" t="s">
        <v>3111</v>
      </c>
      <c r="D18" s="2895">
        <v>302.66000000000003</v>
      </c>
      <c r="E18" s="2895">
        <v>302.66000000000003</v>
      </c>
      <c r="F18" s="2895" t="s">
        <v>3158</v>
      </c>
      <c r="G18" s="2895" t="s">
        <v>3016</v>
      </c>
      <c r="H18" s="2895" t="s">
        <v>3159</v>
      </c>
      <c r="I18" s="2895">
        <v>13.61</v>
      </c>
      <c r="J18" s="2895">
        <v>16.329999999999998</v>
      </c>
      <c r="K18" s="2895">
        <v>539.87</v>
      </c>
      <c r="L18" s="2895">
        <v>19.97</v>
      </c>
      <c r="M18" s="2895" t="s">
        <v>3160</v>
      </c>
      <c r="N18" s="2895" t="s">
        <v>3042</v>
      </c>
      <c r="O18" s="2895">
        <f t="shared" si="0"/>
        <v>539.54932928038056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26784</v>
      </c>
      <c r="C2" s="2090"/>
      <c r="D2" s="2090"/>
      <c r="E2" s="2090"/>
      <c r="F2" s="2090"/>
      <c r="G2" s="2090"/>
      <c r="H2" s="2090"/>
      <c r="I2" s="2090"/>
      <c r="J2" s="2090"/>
      <c r="K2" s="2090"/>
    </row>
    <row r="3" spans="1:31" s="2027" customFormat="1" ht="18" customHeight="1">
      <c r="A3" s="2092" t="s">
        <v>1684</v>
      </c>
      <c r="B3" s="2093">
        <f ca="1">ROUND(B2*10000/IF(B1="",'数据-汇总表'!E3,INDIRECT("'数据-取费表'!K"&amp;$K$1)),0)</f>
        <v>831</v>
      </c>
      <c r="C3" s="2090"/>
      <c r="D3" s="2090"/>
      <c r="E3" s="2090"/>
      <c r="F3" s="2090"/>
      <c r="G3" s="2090"/>
      <c r="H3" s="2090"/>
      <c r="I3" s="2090"/>
      <c r="J3" s="2090"/>
      <c r="K3" s="2090"/>
    </row>
    <row r="4" spans="1:31" s="2027" customFormat="1" ht="18" customHeight="1">
      <c r="A4" s="426" t="s">
        <v>468</v>
      </c>
      <c r="B4" s="427">
        <f ca="1">ROUND(B2*10000/IF(B1="",'数据-汇总表'!D3,INDIRECT("'数据-取费表'!R"&amp;$K$1)),0)</f>
        <v>2492</v>
      </c>
      <c r="C4" s="428"/>
      <c r="D4" s="422"/>
      <c r="E4" s="422"/>
      <c r="F4" s="422"/>
      <c r="G4" s="422"/>
      <c r="H4" s="422"/>
      <c r="I4" s="422"/>
      <c r="J4" s="422"/>
      <c r="K4" s="422"/>
    </row>
    <row r="5" spans="1:31" s="2027" customFormat="1" ht="18" customHeight="1" thickBot="1">
      <c r="A5" s="429"/>
      <c r="B5" s="430">
        <f ca="1">ROUND(B2/(IF(B1="",'数据-汇总表'!D3,INDIRECT("'数据-取费表'!R"&amp;$K$1))/666.67),0)</f>
        <v>166</v>
      </c>
      <c r="C5" s="431" t="s">
        <v>469</v>
      </c>
      <c r="D5" s="422"/>
      <c r="E5" s="422"/>
      <c r="F5" s="422"/>
      <c r="G5" s="422"/>
      <c r="H5" s="422"/>
      <c r="I5" s="422"/>
      <c r="J5" s="422"/>
      <c r="K5" s="422"/>
    </row>
    <row r="6" spans="1:31" s="2097" customFormat="1" ht="16.5" customHeight="1">
      <c r="A6" s="2784" t="s">
        <v>1842</v>
      </c>
      <c r="B6" s="2785"/>
      <c r="C6" s="2786">
        <f ca="1">SUM(C10:K10)</f>
        <v>146628</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4420</v>
      </c>
      <c r="D8" s="2790">
        <f ca="1">不动产收益法!B3</f>
        <v>4602</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96733.09</v>
      </c>
      <c r="D9" s="441">
        <f>SUMIF('数据-汇总表'!$C19:$C33,'剩余法-待开发'!D7,'数据-汇总表'!$E19:$E33)</f>
        <v>225710.54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42756</v>
      </c>
      <c r="D10" s="2982">
        <f ca="1">不动产收益法!B2</f>
        <v>103872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62554</v>
      </c>
      <c r="D13" s="2800"/>
      <c r="E13" s="2801"/>
      <c r="F13" s="2802"/>
      <c r="G13" s="2768"/>
      <c r="H13" s="2769"/>
      <c r="I13" s="2769"/>
      <c r="J13" s="2769"/>
      <c r="K13" s="2770"/>
    </row>
    <row r="14" spans="1:31" s="2102" customFormat="1" ht="13.5" customHeight="1">
      <c r="A14" s="2798" t="s">
        <v>1849</v>
      </c>
      <c r="B14" s="2799" t="s">
        <v>480</v>
      </c>
      <c r="C14" s="53">
        <f ca="1">ROUND(C13*F14,0)</f>
        <v>3128</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871</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6449</v>
      </c>
      <c r="D16" s="2800">
        <f ca="1">IF(B1="",'数据-汇总表'!E3,INDIRECT("'数据-取费表'!K"&amp;$K$1)+INDIRECT("'数据-取费表'!S"&amp;$K$1))</f>
        <v>322443.63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73940</v>
      </c>
      <c r="D18" s="2809"/>
      <c r="E18" s="468"/>
      <c r="F18" s="468"/>
      <c r="G18" s="2772" t="s">
        <v>2430</v>
      </c>
      <c r="H18" s="2773"/>
      <c r="I18" s="2773"/>
      <c r="J18" s="2773"/>
      <c r="K18" s="2774"/>
    </row>
    <row r="19" spans="1:14" s="2102" customFormat="1" ht="13.5" customHeight="1">
      <c r="A19" s="2806" t="s">
        <v>1854</v>
      </c>
      <c r="B19" s="2807" t="s">
        <v>488</v>
      </c>
      <c r="C19" s="2764">
        <f ca="1">ROUND(D19*E19/10000,0)</f>
        <v>3224</v>
      </c>
      <c r="D19" s="2810">
        <f ca="1">D16</f>
        <v>322443.63</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613</v>
      </c>
      <c r="D20" s="2810"/>
      <c r="E20" s="2764"/>
      <c r="F20" s="2811"/>
      <c r="G20" s="3041"/>
      <c r="H20" s="2766"/>
      <c r="I20" s="2767" t="s">
        <v>2651</v>
      </c>
      <c r="J20" s="2773"/>
      <c r="K20" s="2774"/>
    </row>
    <row r="21" spans="1:14" s="2102" customFormat="1" ht="13.5" customHeight="1">
      <c r="A21" s="2798" t="s">
        <v>1856</v>
      </c>
      <c r="B21" s="2799" t="s">
        <v>491</v>
      </c>
      <c r="C21" s="53">
        <f ca="1">ROUND(D21*E21/10000,0)</f>
        <v>184</v>
      </c>
      <c r="D21" s="2800">
        <f ca="1">IF(B1="",'数据-汇总表'!E5,IF(INDIRECT("'数据-取费表'!c"&amp;$K$1)="住宅",INDIRECT("'数据-取费表'!k"&amp;$K$1),0))</f>
        <v>96733.09</v>
      </c>
      <c r="E21" s="53">
        <f>'数据-取费表'!B27</f>
        <v>19</v>
      </c>
      <c r="F21" s="2803"/>
      <c r="G21" s="26"/>
      <c r="H21" s="51"/>
      <c r="I21" s="51"/>
      <c r="J21" s="51"/>
      <c r="K21" s="2775"/>
    </row>
    <row r="22" spans="1:14" s="2102" customFormat="1" ht="13.5" customHeight="1">
      <c r="A22" s="2798" t="s">
        <v>1857</v>
      </c>
      <c r="B22" s="2799" t="s">
        <v>492</v>
      </c>
      <c r="C22" s="53">
        <f ca="1">ROUND(D22*E22/10000,0)</f>
        <v>429</v>
      </c>
      <c r="D22" s="2800">
        <f ca="1">IF(B1="",'数据-汇总表'!E6,IF(INDIRECT("'数据-取费表'!c"&amp;$K$1)="住宅",INDIRECT("'数据-取费表'!s"&amp;$K$1),INDIRECT("'数据-取费表'!k"&amp;$K$1)+INDIRECT("'数据-取费表'!s"&amp;$K$1)))</f>
        <v>225710.54</v>
      </c>
      <c r="E22" s="53">
        <f>'数据-取费表'!B28</f>
        <v>19</v>
      </c>
      <c r="F22" s="2803"/>
      <c r="G22" s="26"/>
      <c r="H22" s="51"/>
      <c r="I22" s="51"/>
      <c r="J22" s="51"/>
      <c r="K22" s="2775"/>
    </row>
    <row r="23" spans="1:14" s="2102" customFormat="1" ht="13.5" customHeight="1">
      <c r="A23" s="2806" t="s">
        <v>1858</v>
      </c>
      <c r="B23" s="2988" t="s">
        <v>2834</v>
      </c>
      <c r="C23" s="2808">
        <f ca="1">ROUND((C18+C19+C20)*F23,0)</f>
        <v>1556</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3666</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4957</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4957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7820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95776</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95776</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14940</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14940</v>
      </c>
      <c r="D35" s="1615"/>
      <c r="E35" s="2820"/>
      <c r="F35" s="1616"/>
      <c r="G35" s="2778"/>
      <c r="H35" s="2779"/>
      <c r="I35" s="2779"/>
      <c r="J35" s="2779"/>
      <c r="K35" s="2780"/>
    </row>
    <row r="36" spans="1:11" s="2071" customFormat="1" ht="13.5" customHeight="1" thickBot="1">
      <c r="A36" s="284" t="s">
        <v>1844</v>
      </c>
      <c r="B36" s="2782"/>
      <c r="C36" s="2821">
        <f ca="1">ROUND((C6-C30-C33)/(1+D30+D33),0)</f>
        <v>26784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62554</v>
      </c>
      <c r="D13" s="451"/>
      <c r="E13" s="365"/>
      <c r="F13" s="452"/>
      <c r="G13" s="444"/>
      <c r="H13" s="447"/>
      <c r="I13" s="447"/>
      <c r="J13" s="447"/>
      <c r="K13" s="448"/>
    </row>
    <row r="14" spans="1:41" s="2102" customFormat="1" ht="13.5" customHeight="1">
      <c r="A14" s="1619" t="s">
        <v>1849</v>
      </c>
      <c r="B14" s="449" t="s">
        <v>480</v>
      </c>
      <c r="C14" s="53">
        <f ca="1">ROUND(C13*F14,0)</f>
        <v>3128</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871</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6449</v>
      </c>
      <c r="D16" s="451">
        <f ca="1">IF(B1="",'数据-汇总表'!E3,INDIRECT("'数据-取费表'!K"&amp;$K$1)+INDIRECT("'数据-取费表'!S"&amp;$K$1))</f>
        <v>322443.63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73940</v>
      </c>
      <c r="D18" s="461"/>
      <c r="E18" s="462"/>
      <c r="F18" s="462"/>
      <c r="G18" s="1323" t="s">
        <v>2432</v>
      </c>
      <c r="H18" s="447"/>
      <c r="I18" s="447"/>
      <c r="J18" s="447"/>
      <c r="K18" s="448"/>
    </row>
    <row r="19" spans="1:14" s="2105" customFormat="1" ht="13.5" customHeight="1">
      <c r="A19" s="1620" t="s">
        <v>1854</v>
      </c>
      <c r="B19" s="459" t="s">
        <v>493</v>
      </c>
      <c r="C19" s="460">
        <f ca="1">ROUND(C18*F19,0)</f>
        <v>1479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4504</v>
      </c>
      <c r="D21" s="467">
        <f ca="1">C23</f>
        <v>1.5E-3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4504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1.5E-3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13575</v>
      </c>
      <c r="D24" s="489">
        <f ca="1">C26</f>
        <v>4.4999999999999997E-3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13575</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102105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5" t="s">
        <v>522</v>
      </c>
      <c r="D6" s="3396"/>
      <c r="E6" s="3431" t="s">
        <v>523</v>
      </c>
      <c r="F6" s="3432"/>
      <c r="G6" s="3395" t="s">
        <v>524</v>
      </c>
      <c r="H6" s="3396"/>
      <c r="I6" s="3395" t="s">
        <v>525</v>
      </c>
      <c r="J6" s="3396"/>
      <c r="K6" s="514" t="s">
        <v>526</v>
      </c>
      <c r="L6" s="2119"/>
      <c r="M6" s="2120"/>
      <c r="N6" s="2120"/>
      <c r="O6" s="2120"/>
      <c r="P6" s="3397" t="s">
        <v>527</v>
      </c>
      <c r="Q6" s="3398"/>
      <c r="R6" s="3403" t="s">
        <v>523</v>
      </c>
      <c r="S6" s="3404"/>
      <c r="T6" s="3403" t="s">
        <v>524</v>
      </c>
      <c r="U6" s="3404"/>
      <c r="V6" s="3390" t="s">
        <v>525</v>
      </c>
      <c r="W6" s="3390"/>
      <c r="X6" s="1554"/>
      <c r="Y6" s="3403" t="s">
        <v>527</v>
      </c>
      <c r="Z6" s="3404"/>
      <c r="AA6" s="3392" t="s">
        <v>523</v>
      </c>
      <c r="AB6" s="3393" t="s">
        <v>524</v>
      </c>
      <c r="AC6" s="3392" t="s">
        <v>525</v>
      </c>
    </row>
    <row r="7" spans="1:29" ht="15">
      <c r="A7" s="515"/>
      <c r="B7" s="516"/>
      <c r="C7" s="3411" t="s">
        <v>2931</v>
      </c>
      <c r="D7" s="3412"/>
      <c r="E7" s="3433" t="s">
        <v>2932</v>
      </c>
      <c r="F7" s="3434"/>
      <c r="G7" s="3411" t="s">
        <v>2933</v>
      </c>
      <c r="H7" s="3412"/>
      <c r="I7" s="3411" t="s">
        <v>2934</v>
      </c>
      <c r="J7" s="3412"/>
      <c r="K7" s="514"/>
      <c r="L7" s="2119"/>
      <c r="M7" s="2120"/>
      <c r="N7" s="2120"/>
      <c r="O7" s="2120"/>
      <c r="P7" s="3399"/>
      <c r="Q7" s="3400"/>
      <c r="R7" s="3405"/>
      <c r="S7" s="3406"/>
      <c r="T7" s="3405"/>
      <c r="U7" s="3406"/>
      <c r="V7" s="3390"/>
      <c r="W7" s="3390"/>
      <c r="X7" s="1554"/>
      <c r="Y7" s="3405"/>
      <c r="Z7" s="3406"/>
      <c r="AA7" s="3393"/>
      <c r="AB7" s="3393"/>
      <c r="AC7" s="3393"/>
    </row>
    <row r="8" spans="1:29" ht="15.75" thickBot="1">
      <c r="A8" s="517"/>
      <c r="B8" s="518"/>
      <c r="C8" s="3409" t="s">
        <v>2935</v>
      </c>
      <c r="D8" s="3410"/>
      <c r="E8" s="3429" t="s">
        <v>2935</v>
      </c>
      <c r="F8" s="3430"/>
      <c r="G8" s="3409" t="s">
        <v>2935</v>
      </c>
      <c r="H8" s="3410"/>
      <c r="I8" s="3409" t="s">
        <v>2935</v>
      </c>
      <c r="J8" s="3410"/>
      <c r="K8" s="514" t="s">
        <v>528</v>
      </c>
      <c r="L8" s="2119"/>
      <c r="M8" s="2120"/>
      <c r="N8" s="2120"/>
      <c r="O8" s="2120"/>
      <c r="P8" s="3401"/>
      <c r="Q8" s="3402"/>
      <c r="R8" s="3405"/>
      <c r="S8" s="3406"/>
      <c r="T8" s="3407"/>
      <c r="U8" s="3408"/>
      <c r="V8" s="3390"/>
      <c r="W8" s="3390"/>
      <c r="X8" s="1554"/>
      <c r="Y8" s="3407"/>
      <c r="Z8" s="3408"/>
      <c r="AA8" s="3394"/>
      <c r="AB8" s="3394"/>
      <c r="AC8" s="3394"/>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0" t="s">
        <v>530</v>
      </c>
      <c r="Q9" s="3422"/>
      <c r="R9" s="1555" t="s">
        <v>8</v>
      </c>
      <c r="S9" s="1556">
        <f t="shared" ref="S9:S17" si="0">F9</f>
        <v>0</v>
      </c>
      <c r="T9" s="1555" t="s">
        <v>8</v>
      </c>
      <c r="U9" s="1556">
        <f t="shared" ref="U9:U17" si="1">H9</f>
        <v>0</v>
      </c>
      <c r="V9" s="1555" t="s">
        <v>8</v>
      </c>
      <c r="W9" s="1556">
        <f t="shared" ref="W9:W17" si="2">J9</f>
        <v>0</v>
      </c>
      <c r="X9" s="1557"/>
      <c r="Y9" s="3420" t="s">
        <v>530</v>
      </c>
      <c r="Z9" s="342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0" t="s">
        <v>533</v>
      </c>
      <c r="Q10" s="3421"/>
      <c r="R10" s="1555" t="s">
        <v>8</v>
      </c>
      <c r="S10" s="1556">
        <f t="shared" si="0"/>
        <v>0</v>
      </c>
      <c r="T10" s="1555" t="s">
        <v>8</v>
      </c>
      <c r="U10" s="1556">
        <f t="shared" si="1"/>
        <v>0</v>
      </c>
      <c r="V10" s="1555" t="s">
        <v>8</v>
      </c>
      <c r="W10" s="1556">
        <f t="shared" si="2"/>
        <v>0</v>
      </c>
      <c r="X10" s="1557"/>
      <c r="Y10" s="3420" t="s">
        <v>533</v>
      </c>
      <c r="Z10" s="342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9" t="s">
        <v>535</v>
      </c>
      <c r="Q11" s="1147" t="str">
        <f t="shared" ref="Q11:Q17" si="6">B11</f>
        <v>用途</v>
      </c>
      <c r="R11" s="1555" t="s">
        <v>8</v>
      </c>
      <c r="S11" s="1556">
        <f t="shared" si="0"/>
        <v>100</v>
      </c>
      <c r="T11" s="1555" t="s">
        <v>8</v>
      </c>
      <c r="U11" s="1556">
        <f t="shared" si="1"/>
        <v>100</v>
      </c>
      <c r="V11" s="1555" t="s">
        <v>8</v>
      </c>
      <c r="W11" s="1556">
        <f t="shared" si="2"/>
        <v>100</v>
      </c>
      <c r="X11" s="1557"/>
      <c r="Y11" s="333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89"/>
      <c r="Q12" s="1147" t="str">
        <f t="shared" si="6"/>
        <v>土地使用年限（年）</v>
      </c>
      <c r="R12" s="1555" t="s">
        <v>8</v>
      </c>
      <c r="S12" s="1556">
        <f t="shared" si="0"/>
        <v>101</v>
      </c>
      <c r="T12" s="1555" t="s">
        <v>8</v>
      </c>
      <c r="U12" s="1556">
        <f t="shared" si="1"/>
        <v>101</v>
      </c>
      <c r="V12" s="1555" t="s">
        <v>8</v>
      </c>
      <c r="W12" s="1556">
        <f t="shared" si="2"/>
        <v>101</v>
      </c>
      <c r="X12" s="1557"/>
      <c r="Y12" s="3335"/>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9"/>
      <c r="Q13" s="1147" t="str">
        <f t="shared" si="6"/>
        <v>容积率</v>
      </c>
      <c r="R13" s="1555" t="s">
        <v>8</v>
      </c>
      <c r="S13" s="1556" t="e">
        <f t="shared" si="0"/>
        <v>#N/A</v>
      </c>
      <c r="T13" s="1555" t="s">
        <v>8</v>
      </c>
      <c r="U13" s="1556" t="e">
        <f t="shared" si="1"/>
        <v>#N/A</v>
      </c>
      <c r="V13" s="1555" t="s">
        <v>8</v>
      </c>
      <c r="W13" s="1556" t="e">
        <f t="shared" si="2"/>
        <v>#N/A</v>
      </c>
      <c r="X13" s="1557"/>
      <c r="Y13" s="333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9"/>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9"/>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9"/>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3" t="s">
        <v>540</v>
      </c>
      <c r="Q17" s="1559" t="str">
        <f t="shared" si="6"/>
        <v>产业集聚程度</v>
      </c>
      <c r="R17" s="1560" t="s">
        <v>8</v>
      </c>
      <c r="S17" s="1561">
        <f t="shared" si="0"/>
        <v>100</v>
      </c>
      <c r="T17" s="1560" t="s">
        <v>8</v>
      </c>
      <c r="U17" s="1561">
        <f t="shared" si="1"/>
        <v>100</v>
      </c>
      <c r="V17" s="1560" t="s">
        <v>8</v>
      </c>
      <c r="W17" s="1561">
        <f t="shared" si="2"/>
        <v>100</v>
      </c>
      <c r="X17" s="1554"/>
      <c r="Y17" s="342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4"/>
      <c r="Q18" s="1559"/>
      <c r="R18" s="1560"/>
      <c r="S18" s="1561"/>
      <c r="T18" s="1560"/>
      <c r="U18" s="1561"/>
      <c r="V18" s="1560"/>
      <c r="W18" s="1561"/>
      <c r="X18" s="1554"/>
      <c r="Y18" s="342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4"/>
      <c r="Q19" s="1559" t="str">
        <f>B19</f>
        <v>交通便捷度</v>
      </c>
      <c r="R19" s="1560" t="s">
        <v>8</v>
      </c>
      <c r="S19" s="1561">
        <f>F19</f>
        <v>100</v>
      </c>
      <c r="T19" s="1560" t="s">
        <v>8</v>
      </c>
      <c r="U19" s="1561">
        <f>H19</f>
        <v>100</v>
      </c>
      <c r="V19" s="1560" t="s">
        <v>8</v>
      </c>
      <c r="W19" s="1561">
        <f>J19</f>
        <v>100</v>
      </c>
      <c r="X19" s="1554"/>
      <c r="Y19" s="342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4"/>
      <c r="Q20" s="1559"/>
      <c r="R20" s="1560"/>
      <c r="S20" s="1561"/>
      <c r="T20" s="1560"/>
      <c r="U20" s="1561"/>
      <c r="V20" s="1560"/>
      <c r="W20" s="1561"/>
      <c r="X20" s="1554"/>
      <c r="Y20" s="342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4"/>
      <c r="Q21" s="1559" t="str">
        <f t="shared" ref="Q21:Q35" si="8">B21</f>
        <v>区域土地利用方向</v>
      </c>
      <c r="R21" s="1560" t="s">
        <v>8</v>
      </c>
      <c r="S21" s="1561">
        <f>F21</f>
        <v>100</v>
      </c>
      <c r="T21" s="1560" t="s">
        <v>8</v>
      </c>
      <c r="U21" s="1561">
        <f>H21</f>
        <v>100</v>
      </c>
      <c r="V21" s="1560" t="s">
        <v>8</v>
      </c>
      <c r="W21" s="1561">
        <f>J21</f>
        <v>100</v>
      </c>
      <c r="X21" s="1554"/>
      <c r="Y21" s="342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4"/>
      <c r="Q22" s="1559"/>
      <c r="R22" s="1560"/>
      <c r="S22" s="1561"/>
      <c r="T22" s="1560"/>
      <c r="U22" s="1561"/>
      <c r="V22" s="1560"/>
      <c r="W22" s="1561"/>
      <c r="X22" s="1554"/>
      <c r="Y22" s="342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4"/>
      <c r="Q23" s="1559" t="str">
        <f t="shared" si="8"/>
        <v>环境状况</v>
      </c>
      <c r="R23" s="1560" t="s">
        <v>8</v>
      </c>
      <c r="S23" s="1561">
        <f>F23</f>
        <v>100</v>
      </c>
      <c r="T23" s="1560" t="s">
        <v>8</v>
      </c>
      <c r="U23" s="1561">
        <f>H23</f>
        <v>100</v>
      </c>
      <c r="V23" s="1560" t="s">
        <v>8</v>
      </c>
      <c r="W23" s="1561">
        <f>J23</f>
        <v>100</v>
      </c>
      <c r="X23" s="1554"/>
      <c r="Y23" s="342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4"/>
      <c r="Q24" s="1559"/>
      <c r="R24" s="1560"/>
      <c r="S24" s="1561"/>
      <c r="T24" s="1560"/>
      <c r="U24" s="1561"/>
      <c r="V24" s="1560"/>
      <c r="W24" s="1561"/>
      <c r="X24" s="1554"/>
      <c r="Y24" s="342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4"/>
      <c r="Q25" s="1147" t="str">
        <f t="shared" si="8"/>
        <v>公共配套设施</v>
      </c>
      <c r="R25" s="1555" t="s">
        <v>8</v>
      </c>
      <c r="S25" s="1556">
        <f>F25</f>
        <v>100</v>
      </c>
      <c r="T25" s="1555" t="s">
        <v>8</v>
      </c>
      <c r="U25" s="1556">
        <f>H25</f>
        <v>100</v>
      </c>
      <c r="V25" s="1555" t="s">
        <v>8</v>
      </c>
      <c r="W25" s="1556">
        <f>J25</f>
        <v>100</v>
      </c>
      <c r="X25" s="1557"/>
      <c r="Y25" s="342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4"/>
      <c r="Q26" s="1147"/>
      <c r="R26" s="1555"/>
      <c r="S26" s="1556"/>
      <c r="T26" s="1555"/>
      <c r="U26" s="1556"/>
      <c r="V26" s="1555"/>
      <c r="W26" s="1556"/>
      <c r="X26" s="1557"/>
      <c r="Y26" s="342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4"/>
      <c r="Q27" s="2543" t="str">
        <f t="shared" ref="Q27" si="9">B27</f>
        <v>基础设施水平</v>
      </c>
      <c r="R27" s="1555" t="s">
        <v>8</v>
      </c>
      <c r="S27" s="1556">
        <f>F27</f>
        <v>100</v>
      </c>
      <c r="T27" s="1555" t="s">
        <v>8</v>
      </c>
      <c r="U27" s="1556">
        <f>H27</f>
        <v>100</v>
      </c>
      <c r="V27" s="1555" t="s">
        <v>8</v>
      </c>
      <c r="W27" s="1556">
        <f>J27</f>
        <v>100</v>
      </c>
      <c r="X27" s="1557"/>
      <c r="Y27" s="342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4"/>
      <c r="Q28" s="2543"/>
      <c r="R28" s="1555"/>
      <c r="S28" s="1556"/>
      <c r="T28" s="1555"/>
      <c r="U28" s="1556"/>
      <c r="V28" s="1555"/>
      <c r="W28" s="1556"/>
      <c r="X28" s="1557"/>
      <c r="Y28" s="342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4"/>
      <c r="Q30" s="1559" t="str">
        <f t="shared" si="8"/>
        <v>毗邻道路的类型与等级</v>
      </c>
      <c r="R30" s="1560" t="s">
        <v>8</v>
      </c>
      <c r="S30" s="1561">
        <f t="shared" si="10"/>
        <v>100</v>
      </c>
      <c r="T30" s="1560" t="s">
        <v>8</v>
      </c>
      <c r="U30" s="1561">
        <f t="shared" si="11"/>
        <v>100</v>
      </c>
      <c r="V30" s="1560" t="s">
        <v>8</v>
      </c>
      <c r="W30" s="1561">
        <f t="shared" si="12"/>
        <v>100</v>
      </c>
      <c r="X30" s="1554"/>
      <c r="Y30" s="342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4"/>
      <c r="Q31" s="1559"/>
      <c r="R31" s="1560"/>
      <c r="S31" s="1561"/>
      <c r="T31" s="1560"/>
      <c r="U31" s="1561"/>
      <c r="V31" s="1560"/>
      <c r="W31" s="1561"/>
      <c r="X31" s="1554"/>
      <c r="Y31" s="342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4"/>
      <c r="Q32" s="1559" t="str">
        <f t="shared" si="8"/>
        <v>土地级别</v>
      </c>
      <c r="R32" s="1560" t="s">
        <v>8</v>
      </c>
      <c r="S32" s="1561">
        <f t="shared" si="10"/>
        <v>100</v>
      </c>
      <c r="T32" s="1560" t="s">
        <v>8</v>
      </c>
      <c r="U32" s="1561">
        <f t="shared" si="11"/>
        <v>100</v>
      </c>
      <c r="V32" s="1560" t="s">
        <v>8</v>
      </c>
      <c r="W32" s="1561">
        <f t="shared" si="12"/>
        <v>100</v>
      </c>
      <c r="X32" s="1554"/>
      <c r="Y32" s="342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4"/>
      <c r="Q33" s="1559">
        <f t="shared" si="8"/>
        <v>111</v>
      </c>
      <c r="R33" s="1560" t="s">
        <v>8</v>
      </c>
      <c r="S33" s="1561">
        <f t="shared" si="10"/>
        <v>100</v>
      </c>
      <c r="T33" s="1560" t="s">
        <v>8</v>
      </c>
      <c r="U33" s="1561">
        <f t="shared" si="11"/>
        <v>100</v>
      </c>
      <c r="V33" s="1560" t="s">
        <v>8</v>
      </c>
      <c r="W33" s="1561">
        <f t="shared" si="12"/>
        <v>100</v>
      </c>
      <c r="X33" s="1554"/>
      <c r="Y33" s="342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5" t="s">
        <v>550</v>
      </c>
      <c r="Q34" s="1559">
        <f t="shared" si="8"/>
        <v>111</v>
      </c>
      <c r="R34" s="1560" t="s">
        <v>8</v>
      </c>
      <c r="S34" s="1561">
        <f t="shared" si="10"/>
        <v>100</v>
      </c>
      <c r="T34" s="1560" t="s">
        <v>8</v>
      </c>
      <c r="U34" s="1561">
        <f t="shared" si="11"/>
        <v>100</v>
      </c>
      <c r="V34" s="1560" t="s">
        <v>8</v>
      </c>
      <c r="W34" s="1561">
        <f t="shared" si="12"/>
        <v>100</v>
      </c>
      <c r="X34" s="1554"/>
      <c r="Y34" s="342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6"/>
      <c r="Q35" s="1559">
        <f t="shared" si="8"/>
        <v>111</v>
      </c>
      <c r="R35" s="1564" t="s">
        <v>8</v>
      </c>
      <c r="S35" s="1565">
        <f t="shared" si="10"/>
        <v>100</v>
      </c>
      <c r="T35" s="1564" t="s">
        <v>8</v>
      </c>
      <c r="U35" s="1565">
        <f t="shared" si="11"/>
        <v>100</v>
      </c>
      <c r="V35" s="1564" t="s">
        <v>8</v>
      </c>
      <c r="W35" s="1565">
        <f t="shared" si="12"/>
        <v>100</v>
      </c>
      <c r="X35" s="1566"/>
      <c r="Y35" s="342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6"/>
      <c r="Q36" s="1559" t="str">
        <f>B36</f>
        <v>宗地面积</v>
      </c>
      <c r="R36" s="1560" t="s">
        <v>8</v>
      </c>
      <c r="S36" s="1561" t="e">
        <f t="shared" si="10"/>
        <v>#N/A</v>
      </c>
      <c r="T36" s="1560" t="s">
        <v>8</v>
      </c>
      <c r="U36" s="1561" t="e">
        <f t="shared" si="11"/>
        <v>#N/A</v>
      </c>
      <c r="V36" s="1560" t="s">
        <v>8</v>
      </c>
      <c r="W36" s="1561" t="e">
        <f t="shared" si="12"/>
        <v>#N/A</v>
      </c>
      <c r="X36" s="1554"/>
      <c r="Y36" s="342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6"/>
      <c r="Q37" s="1559" t="str">
        <f t="shared" ref="Q37:Q42" si="14">B37</f>
        <v>宗地形状</v>
      </c>
      <c r="R37" s="1560" t="s">
        <v>8</v>
      </c>
      <c r="S37" s="1561">
        <f t="shared" si="10"/>
        <v>100</v>
      </c>
      <c r="T37" s="1560" t="s">
        <v>8</v>
      </c>
      <c r="U37" s="1561">
        <f t="shared" si="11"/>
        <v>100</v>
      </c>
      <c r="V37" s="1560" t="s">
        <v>8</v>
      </c>
      <c r="W37" s="1561">
        <f t="shared" si="12"/>
        <v>100</v>
      </c>
      <c r="X37" s="1554"/>
      <c r="Y37" s="342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6"/>
      <c r="Q38" s="1559" t="str">
        <f t="shared" si="14"/>
        <v>宗地开发程度</v>
      </c>
      <c r="R38" s="1555" t="s">
        <v>8</v>
      </c>
      <c r="S38" s="1556">
        <f t="shared" si="10"/>
        <v>100</v>
      </c>
      <c r="T38" s="1555" t="s">
        <v>8</v>
      </c>
      <c r="U38" s="1556">
        <f t="shared" si="11"/>
        <v>100</v>
      </c>
      <c r="V38" s="1555" t="s">
        <v>8</v>
      </c>
      <c r="W38" s="1556">
        <f t="shared" si="12"/>
        <v>100</v>
      </c>
      <c r="X38" s="1557"/>
      <c r="Y38" s="342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6" t="s">
        <v>601</v>
      </c>
      <c r="Q39" s="1559" t="str">
        <f t="shared" si="14"/>
        <v>工程地质条件</v>
      </c>
      <c r="R39" s="1560" t="s">
        <v>8</v>
      </c>
      <c r="S39" s="1561">
        <f t="shared" si="10"/>
        <v>100</v>
      </c>
      <c r="T39" s="1560" t="s">
        <v>8</v>
      </c>
      <c r="U39" s="1561">
        <f t="shared" si="11"/>
        <v>100</v>
      </c>
      <c r="V39" s="1560" t="s">
        <v>8</v>
      </c>
      <c r="W39" s="1561">
        <f t="shared" si="12"/>
        <v>100</v>
      </c>
      <c r="X39" s="1554"/>
      <c r="Y39" s="342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6"/>
      <c r="Q40" s="1559">
        <f t="shared" si="14"/>
        <v>111</v>
      </c>
      <c r="R40" s="1560" t="s">
        <v>8</v>
      </c>
      <c r="S40" s="1561">
        <f t="shared" si="10"/>
        <v>100</v>
      </c>
      <c r="T40" s="1560" t="s">
        <v>8</v>
      </c>
      <c r="U40" s="1561">
        <f t="shared" si="11"/>
        <v>100</v>
      </c>
      <c r="V40" s="1560" t="s">
        <v>8</v>
      </c>
      <c r="W40" s="1561">
        <f t="shared" si="12"/>
        <v>100</v>
      </c>
      <c r="X40" s="1554"/>
      <c r="Y40" s="342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6"/>
      <c r="Q41" s="1559">
        <f t="shared" si="14"/>
        <v>111</v>
      </c>
      <c r="R41" s="1560" t="s">
        <v>8</v>
      </c>
      <c r="S41" s="1561">
        <f t="shared" si="10"/>
        <v>100</v>
      </c>
      <c r="T41" s="1560" t="s">
        <v>8</v>
      </c>
      <c r="U41" s="1561">
        <f t="shared" si="11"/>
        <v>100</v>
      </c>
      <c r="V41" s="1560" t="s">
        <v>8</v>
      </c>
      <c r="W41" s="1561">
        <f t="shared" si="12"/>
        <v>100</v>
      </c>
      <c r="X41" s="1554"/>
      <c r="Y41" s="342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6"/>
      <c r="Q42" s="1559">
        <f t="shared" si="14"/>
        <v>111</v>
      </c>
      <c r="R42" s="1564" t="s">
        <v>8</v>
      </c>
      <c r="S42" s="1565">
        <f t="shared" si="10"/>
        <v>100</v>
      </c>
      <c r="T42" s="1564" t="s">
        <v>8</v>
      </c>
      <c r="U42" s="1565">
        <f t="shared" si="11"/>
        <v>100</v>
      </c>
      <c r="V42" s="1564" t="s">
        <v>8</v>
      </c>
      <c r="W42" s="1565">
        <f t="shared" si="12"/>
        <v>100</v>
      </c>
      <c r="X42" s="1566"/>
      <c r="Y42" s="342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89" t="str">
        <f>A43</f>
        <v>成交单价</v>
      </c>
      <c r="Q43" s="3389"/>
      <c r="R43" s="3390">
        <f>E43</f>
        <v>0</v>
      </c>
      <c r="S43" s="3390"/>
      <c r="T43" s="3390">
        <f>G43</f>
        <v>0</v>
      </c>
      <c r="U43" s="3390"/>
      <c r="V43" s="3390">
        <f>I43</f>
        <v>0</v>
      </c>
      <c r="W43" s="339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9" t="str">
        <f>A44</f>
        <v>比较价格（元/平方米）</v>
      </c>
      <c r="Q44" s="3389"/>
      <c r="R44" s="3391" t="e">
        <f>ROUND(PRODUCT(R43,AA9:AA42),0)</f>
        <v>#DIV/0!</v>
      </c>
      <c r="S44" s="3391"/>
      <c r="T44" s="3391" t="e">
        <f>ROUND(PRODUCT(T43,AB9:AB42),0)</f>
        <v>#DIV/0!</v>
      </c>
      <c r="U44" s="3391"/>
      <c r="V44" s="3391" t="e">
        <f>ROUND(PRODUCT(V43,AC9:AC42),0)</f>
        <v>#DIV/0!</v>
      </c>
      <c r="W44" s="3391"/>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86" t="str">
        <f>A45</f>
        <v>估价对象XX用房的比较价格（楼面单价，元/平方米）</v>
      </c>
      <c r="Q45" s="3387"/>
      <c r="R45" s="3388" t="e">
        <f>ROUND(AVERAGE(R44:V44),0)</f>
        <v>#DIV/0!</v>
      </c>
      <c r="S45" s="3388"/>
      <c r="T45" s="3388"/>
      <c r="U45" s="3388"/>
      <c r="V45" s="3388"/>
      <c r="W45" s="338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5" t="s">
        <v>2284</v>
      </c>
      <c r="H52" s="343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322443.63</v>
      </c>
      <c r="F53" s="1936" t="e">
        <f t="shared" ref="F53:F62" si="15">ROUND(B53*E53/10000,0)</f>
        <v>#DIV/0!</v>
      </c>
      <c r="G53" s="3437"/>
      <c r="H53" s="343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107481.21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5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1" t="s">
        <v>2783</v>
      </c>
      <c r="X8" s="344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0"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4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1" t="s">
        <v>1838</v>
      </c>
      <c r="B16" s="1424" t="s">
        <v>950</v>
      </c>
      <c r="C16" s="1052" t="e">
        <f>ROUND(IF(F17="与级别开发程度一致",0,(G17-E17)/C17),0)</f>
        <v>#DIV/0!</v>
      </c>
      <c r="D16" s="3448" t="s">
        <v>954</v>
      </c>
      <c r="E16" s="3449"/>
      <c r="F16" s="3448" t="s">
        <v>951</v>
      </c>
      <c r="G16" s="3449"/>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6" t="s">
        <v>1633</v>
      </c>
      <c r="B90" s="3456"/>
      <c r="C90" s="3456"/>
      <c r="D90" s="3456"/>
      <c r="E90" s="3456"/>
      <c r="F90" s="3456"/>
      <c r="G90" s="3456"/>
      <c r="H90" s="3456"/>
      <c r="I90" s="3456"/>
      <c r="J90" s="3456"/>
      <c r="K90" s="2415"/>
      <c r="L90" s="2415"/>
      <c r="M90" s="2415"/>
      <c r="N90" s="2415"/>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4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4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4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4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4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4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44"/>
      <c r="B108" s="344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5"/>
      <c r="B109" s="344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7" t="s">
        <v>1007</v>
      </c>
      <c r="B18" s="1150" t="s">
        <v>1446</v>
      </c>
      <c r="C18" s="1127" t="s">
        <v>1447</v>
      </c>
      <c r="D18" s="1128"/>
      <c r="E18" s="1150">
        <v>1</v>
      </c>
      <c r="F18" s="1129" t="s">
        <v>1448</v>
      </c>
      <c r="G18" s="1130"/>
      <c r="H18" s="1101"/>
      <c r="I18" s="1101"/>
    </row>
    <row r="19" spans="1:9" s="1585" customFormat="1" ht="19.5" customHeight="1">
      <c r="A19" s="3457"/>
      <c r="B19" s="3457" t="s">
        <v>1449</v>
      </c>
      <c r="C19" s="1127" t="s">
        <v>1450</v>
      </c>
      <c r="D19" s="1128"/>
      <c r="E19" s="1150">
        <v>0.9</v>
      </c>
      <c r="F19" s="1129" t="s">
        <v>1451</v>
      </c>
      <c r="G19" s="1130"/>
      <c r="H19" s="1101"/>
      <c r="I19" s="1101"/>
    </row>
    <row r="20" spans="1:9" s="1585" customFormat="1" ht="19.5" customHeight="1">
      <c r="A20" s="3457"/>
      <c r="B20" s="3457"/>
      <c r="C20" s="1127" t="s">
        <v>1452</v>
      </c>
      <c r="D20" s="1128"/>
      <c r="E20" s="1150">
        <v>1.1000000000000001</v>
      </c>
      <c r="F20" s="1129" t="s">
        <v>1453</v>
      </c>
      <c r="G20" s="1130"/>
      <c r="H20" s="1101"/>
      <c r="I20" s="1101"/>
    </row>
    <row r="21" spans="1:9" s="1585" customFormat="1" ht="19.5" customHeight="1">
      <c r="A21" s="3457"/>
      <c r="B21" s="3457"/>
      <c r="C21" s="1127" t="s">
        <v>1454</v>
      </c>
      <c r="D21" s="1128"/>
      <c r="E21" s="1150">
        <v>0.8</v>
      </c>
      <c r="F21" s="1129" t="s">
        <v>1455</v>
      </c>
      <c r="G21" s="1130"/>
      <c r="H21" s="1101"/>
      <c r="I21" s="1101"/>
    </row>
    <row r="22" spans="1:9" s="1585" customFormat="1" ht="19.5" customHeight="1">
      <c r="A22" s="3457"/>
      <c r="B22" s="3457"/>
      <c r="C22" s="1127" t="s">
        <v>1456</v>
      </c>
      <c r="D22" s="1128"/>
      <c r="E22" s="1150">
        <v>0.5</v>
      </c>
      <c r="F22" s="1129"/>
      <c r="G22" s="1130"/>
      <c r="H22" s="1101"/>
      <c r="I22" s="1101"/>
    </row>
    <row r="23" spans="1:9" s="1585" customFormat="1" ht="19.5" customHeight="1">
      <c r="A23" s="3457" t="s">
        <v>1029</v>
      </c>
      <c r="B23" s="1150" t="s">
        <v>1446</v>
      </c>
      <c r="C23" s="1127" t="s">
        <v>1457</v>
      </c>
      <c r="D23" s="1128"/>
      <c r="E23" s="1150">
        <v>1</v>
      </c>
      <c r="F23" s="1129" t="s">
        <v>1458</v>
      </c>
      <c r="G23" s="1130"/>
      <c r="H23" s="1101"/>
      <c r="I23" s="1101"/>
    </row>
    <row r="24" spans="1:9" s="1585" customFormat="1" ht="19.5" customHeight="1">
      <c r="A24" s="3457"/>
      <c r="B24" s="3457" t="s">
        <v>1449</v>
      </c>
      <c r="C24" s="1127" t="s">
        <v>1459</v>
      </c>
      <c r="D24" s="1128"/>
      <c r="E24" s="1150">
        <v>0.5</v>
      </c>
      <c r="F24" s="1129"/>
      <c r="G24" s="1130"/>
      <c r="H24" s="1101"/>
      <c r="I24" s="1101"/>
    </row>
    <row r="25" spans="1:9" s="1585" customFormat="1" ht="19.5" customHeight="1">
      <c r="A25" s="3457"/>
      <c r="B25" s="3457"/>
      <c r="C25" s="1127" t="s">
        <v>1460</v>
      </c>
      <c r="D25" s="1128"/>
      <c r="E25" s="1150">
        <v>1.1000000000000001</v>
      </c>
      <c r="F25" s="1129"/>
      <c r="G25" s="1130"/>
      <c r="H25" s="1101"/>
      <c r="I25" s="1101"/>
    </row>
    <row r="26" spans="1:9" s="1585" customFormat="1" ht="19.5" customHeight="1">
      <c r="A26" s="3457"/>
      <c r="B26" s="3457"/>
      <c r="C26" s="1127" t="s">
        <v>1461</v>
      </c>
      <c r="D26" s="1128"/>
      <c r="E26" s="1150">
        <v>1.1000000000000001</v>
      </c>
      <c r="F26" s="1129"/>
      <c r="G26" s="1130"/>
      <c r="H26" s="1101"/>
      <c r="I26" s="1101"/>
    </row>
    <row r="27" spans="1:9" s="1585" customFormat="1" ht="19.5" customHeight="1">
      <c r="A27" s="3457"/>
      <c r="B27" s="3457"/>
      <c r="C27" s="1127" t="s">
        <v>1462</v>
      </c>
      <c r="D27" s="1128"/>
      <c r="E27" s="1150">
        <v>0.9</v>
      </c>
      <c r="F27" s="1129" t="s">
        <v>1463</v>
      </c>
      <c r="G27" s="1130"/>
      <c r="H27" s="1101"/>
      <c r="I27" s="1101"/>
    </row>
    <row r="28" spans="1:9" s="1585" customFormat="1" ht="19.5" customHeight="1">
      <c r="A28" s="3457"/>
      <c r="B28" s="3457"/>
      <c r="C28" s="1127" t="s">
        <v>1464</v>
      </c>
      <c r="D28" s="1128"/>
      <c r="E28" s="1150">
        <v>0.9</v>
      </c>
      <c r="F28" s="1129" t="s">
        <v>1465</v>
      </c>
      <c r="G28" s="1130"/>
      <c r="H28" s="1101"/>
      <c r="I28" s="1101"/>
    </row>
    <row r="29" spans="1:9" s="1585" customFormat="1" ht="19.5" customHeight="1">
      <c r="A29" s="3457"/>
      <c r="B29" s="3457"/>
      <c r="C29" s="1127" t="s">
        <v>1466</v>
      </c>
      <c r="D29" s="1128"/>
      <c r="E29" s="1150">
        <v>0.9</v>
      </c>
      <c r="F29" s="1129" t="s">
        <v>1467</v>
      </c>
      <c r="G29" s="1130"/>
      <c r="H29" s="1101"/>
      <c r="I29" s="1101"/>
    </row>
    <row r="30" spans="1:9" s="1585" customFormat="1" ht="19.5" customHeight="1">
      <c r="A30" s="3457"/>
      <c r="B30" s="3457"/>
      <c r="C30" s="1127" t="s">
        <v>1468</v>
      </c>
      <c r="D30" s="1128"/>
      <c r="E30" s="1150">
        <v>0.9</v>
      </c>
      <c r="F30" s="1129" t="s">
        <v>1469</v>
      </c>
      <c r="G30" s="1130"/>
      <c r="H30" s="1101"/>
      <c r="I30" s="1101"/>
    </row>
    <row r="31" spans="1:9" s="1585" customFormat="1" ht="19.5" customHeight="1">
      <c r="A31" s="3457"/>
      <c r="B31" s="3457"/>
      <c r="C31" s="1127" t="s">
        <v>1470</v>
      </c>
      <c r="D31" s="1128"/>
      <c r="E31" s="1150">
        <v>0.8</v>
      </c>
      <c r="F31" s="1129" t="s">
        <v>1471</v>
      </c>
      <c r="G31" s="1130"/>
      <c r="H31" s="1101"/>
      <c r="I31" s="1101"/>
    </row>
    <row r="32" spans="1:9" s="1585" customFormat="1" ht="19.5" customHeight="1">
      <c r="A32" s="3457"/>
      <c r="B32" s="3457"/>
      <c r="C32" s="1127" t="s">
        <v>1472</v>
      </c>
      <c r="D32" s="1128"/>
      <c r="E32" s="1150">
        <v>0.8</v>
      </c>
      <c r="F32" s="1129" t="s">
        <v>1473</v>
      </c>
      <c r="G32" s="1130"/>
      <c r="H32" s="1101"/>
      <c r="I32" s="1101"/>
    </row>
    <row r="33" spans="1:9" s="1585" customFormat="1" ht="19.5" customHeight="1">
      <c r="A33" s="3457" t="s">
        <v>1474</v>
      </c>
      <c r="B33" s="1150" t="s">
        <v>1446</v>
      </c>
      <c r="C33" s="1127" t="s">
        <v>1475</v>
      </c>
      <c r="D33" s="1128"/>
      <c r="E33" s="1150">
        <v>1</v>
      </c>
      <c r="F33" s="1129" t="s">
        <v>1476</v>
      </c>
      <c r="G33" s="1130"/>
      <c r="H33" s="1101"/>
      <c r="I33" s="1101"/>
    </row>
    <row r="34" spans="1:9" s="1585" customFormat="1" ht="19.5" customHeight="1">
      <c r="A34" s="3457"/>
      <c r="B34" s="1150" t="s">
        <v>1449</v>
      </c>
      <c r="C34" s="1127" t="s">
        <v>1477</v>
      </c>
      <c r="D34" s="1128"/>
      <c r="E34" s="1150">
        <v>1.5</v>
      </c>
      <c r="F34" s="1129" t="s">
        <v>1478</v>
      </c>
      <c r="G34" s="1130"/>
      <c r="H34" s="1101"/>
      <c r="I34" s="1101"/>
    </row>
    <row r="35" spans="1:9" s="1585" customFormat="1" ht="19.5" customHeight="1">
      <c r="A35" s="3457" t="s">
        <v>1432</v>
      </c>
      <c r="B35" s="1150" t="s">
        <v>1446</v>
      </c>
      <c r="C35" s="1127" t="s">
        <v>1479</v>
      </c>
      <c r="D35" s="1128"/>
      <c r="E35" s="1150">
        <v>1</v>
      </c>
      <c r="F35" s="1129" t="s">
        <v>1480</v>
      </c>
      <c r="G35" s="1130"/>
      <c r="H35" s="1101"/>
      <c r="I35" s="1101"/>
    </row>
    <row r="36" spans="1:9" s="1585" customFormat="1" ht="19.5" customHeight="1">
      <c r="A36" s="3457"/>
      <c r="B36" s="3457" t="s">
        <v>1449</v>
      </c>
      <c r="C36" s="1127" t="s">
        <v>1481</v>
      </c>
      <c r="D36" s="1128"/>
      <c r="E36" s="1150">
        <v>1</v>
      </c>
      <c r="F36" s="1129" t="s">
        <v>1482</v>
      </c>
      <c r="G36" s="1130"/>
      <c r="H36" s="1101"/>
      <c r="I36" s="1101"/>
    </row>
    <row r="37" spans="1:9" s="1585" customFormat="1" ht="19.5" customHeight="1">
      <c r="A37" s="3457"/>
      <c r="B37" s="3457"/>
      <c r="C37" s="1127" t="s">
        <v>1483</v>
      </c>
      <c r="D37" s="1128"/>
      <c r="E37" s="1150">
        <v>1.5</v>
      </c>
      <c r="F37" s="1129" t="s">
        <v>1484</v>
      </c>
      <c r="G37" s="1130"/>
      <c r="H37" s="1101"/>
      <c r="I37" s="1101"/>
    </row>
    <row r="38" spans="1:9" s="1585" customFormat="1" ht="19.5" customHeight="1">
      <c r="A38" s="3457"/>
      <c r="B38" s="3457"/>
      <c r="C38" s="1127" t="s">
        <v>1485</v>
      </c>
      <c r="D38" s="1128"/>
      <c r="E38" s="1150">
        <v>1</v>
      </c>
      <c r="F38" s="1129" t="s">
        <v>1486</v>
      </c>
      <c r="G38" s="1130"/>
      <c r="H38" s="1101"/>
      <c r="I38" s="1101"/>
    </row>
    <row r="39" spans="1:9" s="1585" customFormat="1" ht="19.5" customHeight="1">
      <c r="A39" s="3457"/>
      <c r="B39" s="345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61" t="s">
        <v>1039</v>
      </c>
      <c r="B1" s="3461"/>
      <c r="C1" s="3461"/>
      <c r="D1" s="3461"/>
      <c r="E1" s="3461"/>
      <c r="F1" s="346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2" t="s">
        <v>1052</v>
      </c>
      <c r="B2" s="3462"/>
      <c r="C2" s="3462"/>
      <c r="D2" s="3462"/>
      <c r="E2" s="3462"/>
      <c r="F2" s="346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65" t="s">
        <v>2079</v>
      </c>
      <c r="B1" s="346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3" t="s">
        <v>2576</v>
      </c>
      <c r="C1" s="3473"/>
      <c r="D1" s="3473"/>
      <c r="E1" s="3473"/>
      <c r="F1" s="3473"/>
      <c r="G1" s="3472" t="s">
        <v>2577</v>
      </c>
      <c r="H1" s="3472"/>
      <c r="I1" s="3472"/>
      <c r="J1" s="3472"/>
      <c r="K1" s="3472"/>
      <c r="L1" s="3472"/>
      <c r="N1" s="3472" t="s">
        <v>2578</v>
      </c>
      <c r="O1" s="3472"/>
      <c r="P1" s="3472"/>
      <c r="Q1" s="3472"/>
      <c r="R1" s="2619"/>
      <c r="S1" s="3472" t="s">
        <v>2579</v>
      </c>
      <c r="T1" s="3472"/>
      <c r="U1" s="3472"/>
      <c r="V1" s="3472"/>
      <c r="X1" s="3471" t="s">
        <v>2639</v>
      </c>
      <c r="Y1" s="3472"/>
      <c r="Z1" s="3472"/>
      <c r="AA1" s="3472"/>
      <c r="AB1" s="3472"/>
      <c r="AD1" s="3471" t="s">
        <v>2643</v>
      </c>
      <c r="AE1" s="3472"/>
      <c r="AF1" s="3472"/>
      <c r="AG1" s="3472"/>
      <c r="AH1" s="347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6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6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6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6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6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6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6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6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6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6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6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6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6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6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6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6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6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6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6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6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6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6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8" t="s">
        <v>2463</v>
      </c>
      <c r="C8" s="1811">
        <f ca="1">ROUND(F8*F10*F9*(1-F11)/10000,0)</f>
        <v>0</v>
      </c>
      <c r="D8" s="1808" t="s">
        <v>2534</v>
      </c>
      <c r="E8" s="61" t="s">
        <v>637</v>
      </c>
      <c r="F8" s="785">
        <f ca="1">INDIRECT("'数据-取费表'!u"&amp;$G$1)</f>
        <v>0</v>
      </c>
      <c r="G8" s="1579"/>
      <c r="H8" s="2469" t="s">
        <v>1824</v>
      </c>
      <c r="I8" s="3478" t="s">
        <v>2463</v>
      </c>
      <c r="J8" s="783">
        <f ca="1">ROUND(M8*M10*M9*(1-M11)/10000,0)</f>
        <v>0</v>
      </c>
      <c r="K8" s="341" t="s">
        <v>2534</v>
      </c>
      <c r="L8" s="784" t="s">
        <v>1738</v>
      </c>
      <c r="M8" s="785">
        <f ca="1">INDIRECT("'数据-取费表'!z"&amp;$G$1)</f>
        <v>0</v>
      </c>
    </row>
    <row r="9" spans="1:25" ht="18" customHeight="1">
      <c r="A9" s="2465"/>
      <c r="B9" s="3479"/>
      <c r="C9" s="1812"/>
      <c r="D9" s="1809"/>
      <c r="E9" s="61" t="s">
        <v>638</v>
      </c>
      <c r="F9" s="785">
        <f ca="1">IF(INDIRECT("'数据-取费表'!ah"&amp;$G$1)="",INDIRECT("'数据-取费表'!k"&amp;$G$1),INDIRECT("'数据-取费表'!ah"&amp;$G$1))</f>
        <v>0</v>
      </c>
      <c r="G9" s="1579"/>
      <c r="H9" s="2454"/>
      <c r="I9" s="3479"/>
      <c r="J9" s="788"/>
      <c r="K9" s="789"/>
      <c r="L9" s="784" t="s">
        <v>1739</v>
      </c>
      <c r="M9" s="785">
        <f ca="1">F9</f>
        <v>0</v>
      </c>
    </row>
    <row r="10" spans="1:25" ht="18" customHeight="1">
      <c r="A10" s="2458"/>
      <c r="B10" s="3480"/>
      <c r="C10" s="1812"/>
      <c r="D10" s="1809"/>
      <c r="E10" s="61" t="s">
        <v>639</v>
      </c>
      <c r="F10" s="785">
        <f ca="1">INDIRECT("'数据-取费表'!ai"&amp;$G$1)</f>
        <v>0</v>
      </c>
      <c r="G10" s="1579"/>
      <c r="H10" s="2454"/>
      <c r="I10" s="3480"/>
      <c r="J10" s="788"/>
      <c r="K10" s="789"/>
      <c r="L10" s="784" t="s">
        <v>1740</v>
      </c>
      <c r="M10" s="785">
        <f ca="1">INDIRECT("'数据-取费表'!ai"&amp;$G$1)</f>
        <v>0</v>
      </c>
    </row>
    <row r="11" spans="1:25" ht="18" customHeight="1">
      <c r="A11" s="786"/>
      <c r="B11" s="3481"/>
      <c r="C11" s="1812"/>
      <c r="D11" s="1809"/>
      <c r="E11" s="61" t="s">
        <v>640</v>
      </c>
      <c r="F11" s="794">
        <f ca="1">INDIRECT("'数据-取费表'!w"&amp;$G$1)</f>
        <v>0</v>
      </c>
      <c r="G11" s="1579"/>
      <c r="H11" s="2470"/>
      <c r="I11" s="348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1.5E-3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77"/>
      <c r="J36" s="2065"/>
      <c r="K36" s="2066"/>
      <c r="L36" s="2065"/>
      <c r="M36" s="2065"/>
    </row>
    <row r="37" spans="1:18" ht="18" customHeight="1">
      <c r="A37" s="815"/>
      <c r="B37" s="793"/>
      <c r="C37" s="69"/>
      <c r="D37" s="816"/>
      <c r="E37" s="784" t="s">
        <v>674</v>
      </c>
      <c r="F37" s="785">
        <f ca="1">INDIRECT("'数据-取费表'!r"&amp;$G$1)</f>
        <v>0</v>
      </c>
      <c r="G37" s="2048"/>
      <c r="H37" s="2051"/>
      <c r="I37" s="347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82"/>
      <c r="L54" s="3483"/>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35.82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103872</v>
      </c>
      <c r="C2" s="2043"/>
      <c r="D2" s="2041"/>
      <c r="E2" s="2042"/>
      <c r="F2" s="2042"/>
      <c r="G2" s="1577"/>
      <c r="H2" s="2043"/>
      <c r="I2" s="2043"/>
      <c r="J2" s="2043"/>
      <c r="K2" s="2044"/>
      <c r="L2" s="2043"/>
      <c r="M2" s="2043"/>
    </row>
    <row r="3" spans="1:33" ht="18" customHeight="1" thickBot="1">
      <c r="A3" s="833" t="s">
        <v>1727</v>
      </c>
      <c r="B3" s="834">
        <f ca="1">IF(ISERROR(B2*10000/F43),0,ROUND(B2*10000/F43,0))</f>
        <v>4602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7012</v>
      </c>
      <c r="D5" s="2461" t="s">
        <v>2461</v>
      </c>
      <c r="E5" s="2455"/>
      <c r="F5" s="2456"/>
      <c r="G5" s="1579"/>
      <c r="H5" s="781">
        <v>1</v>
      </c>
      <c r="I5" s="782" t="s">
        <v>2458</v>
      </c>
      <c r="J5" s="55">
        <f ca="1">J6+J10+J12</f>
        <v>0</v>
      </c>
      <c r="K5" s="2461" t="s">
        <v>2461</v>
      </c>
      <c r="L5" s="2455"/>
      <c r="M5" s="2456"/>
    </row>
    <row r="6" spans="1:33" ht="18" customHeight="1">
      <c r="A6" s="1816" t="s">
        <v>1824</v>
      </c>
      <c r="B6" s="3478" t="s">
        <v>2463</v>
      </c>
      <c r="C6" s="783">
        <f ca="1">ROUND(F6*F8*F7*(1-F9)/10000,0)</f>
        <v>7003</v>
      </c>
      <c r="D6" s="2462" t="s">
        <v>2462</v>
      </c>
      <c r="E6" s="784" t="s">
        <v>1738</v>
      </c>
      <c r="F6" s="785">
        <f ca="1">INDIRECT("'数据-取费表'!u"&amp;$G$1)</f>
        <v>1</v>
      </c>
      <c r="G6" s="1579"/>
      <c r="H6" s="2469" t="s">
        <v>2468</v>
      </c>
      <c r="I6" s="3478" t="s">
        <v>2463</v>
      </c>
      <c r="J6" s="783">
        <f ca="1">ROUND(M6*M8*M7*(1-M9)/10000,0)</f>
        <v>0</v>
      </c>
      <c r="K6" s="341" t="s">
        <v>1737</v>
      </c>
      <c r="L6" s="784" t="s">
        <v>1738</v>
      </c>
      <c r="M6" s="785">
        <f ca="1">INDIRECT("'数据-取费表'!z"&amp;$G$1)</f>
        <v>0</v>
      </c>
    </row>
    <row r="7" spans="1:33" ht="18" customHeight="1">
      <c r="A7" s="2465"/>
      <c r="B7" s="3479"/>
      <c r="C7" s="788"/>
      <c r="D7" s="789"/>
      <c r="E7" s="784" t="s">
        <v>1739</v>
      </c>
      <c r="F7" s="785">
        <f ca="1">IF(INDIRECT("'数据-取费表'!ah"&amp;$G$1)="",INDIRECT("'数据-取费表'!k"&amp;$G$1),INDIRECT("'数据-取费表'!ah"&amp;$G$1))</f>
        <v>225710.54</v>
      </c>
      <c r="G7" s="1579"/>
      <c r="H7" s="2454"/>
      <c r="I7" s="3479"/>
      <c r="J7" s="788"/>
      <c r="K7" s="789"/>
      <c r="L7" s="784" t="s">
        <v>1739</v>
      </c>
      <c r="M7" s="785">
        <f ca="1">F7</f>
        <v>225710.54</v>
      </c>
    </row>
    <row r="8" spans="1:33" ht="18" customHeight="1">
      <c r="A8" s="2458"/>
      <c r="B8" s="3480"/>
      <c r="C8" s="788"/>
      <c r="D8" s="789"/>
      <c r="E8" s="784" t="s">
        <v>1740</v>
      </c>
      <c r="F8" s="785">
        <f ca="1">INDIRECT("'数据-取费表'!ai"&amp;$G$1)</f>
        <v>365</v>
      </c>
      <c r="G8" s="1579"/>
      <c r="H8" s="2454"/>
      <c r="I8" s="3480"/>
      <c r="J8" s="788"/>
      <c r="K8" s="789"/>
      <c r="L8" s="784" t="s">
        <v>1740</v>
      </c>
      <c r="M8" s="785">
        <f ca="1">INDIRECT("'数据-取费表'!ai"&amp;$G$1)</f>
        <v>365</v>
      </c>
    </row>
    <row r="9" spans="1:33" ht="18" customHeight="1">
      <c r="A9" s="786"/>
      <c r="B9" s="3481"/>
      <c r="C9" s="788"/>
      <c r="D9" s="789"/>
      <c r="E9" s="784" t="s">
        <v>1741</v>
      </c>
      <c r="F9" s="794">
        <f ca="1">INDIRECT("'数据-取费表'!w"&amp;$G$1)</f>
        <v>0.15</v>
      </c>
      <c r="G9" s="1579"/>
      <c r="H9" s="2470"/>
      <c r="I9" s="3480"/>
      <c r="J9" s="788"/>
      <c r="K9" s="789"/>
      <c r="L9" s="795" t="s">
        <v>1741</v>
      </c>
      <c r="M9" s="796">
        <f ca="1">INDIRECT("'数据-取费表'!ab"&amp;$G$1)</f>
        <v>0</v>
      </c>
    </row>
    <row r="10" spans="1:33" ht="18" customHeight="1">
      <c r="A10" s="1816" t="s">
        <v>2466</v>
      </c>
      <c r="B10" s="2459" t="s">
        <v>2459</v>
      </c>
      <c r="C10" s="799">
        <f ca="1">ROUND(IF(F10="押一",C6/12*F11,IF(F10="押二",C6/12*2*F11,IF(F10="押三",C6/12*3*F11,C11*F11))),0)</f>
        <v>9</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73835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45142</v>
      </c>
      <c r="D14" s="1965" t="s">
        <v>1745</v>
      </c>
      <c r="E14" s="1966"/>
      <c r="F14" s="805"/>
      <c r="G14" s="1579"/>
      <c r="H14" s="1635" t="s">
        <v>1830</v>
      </c>
      <c r="I14" s="2217" t="s">
        <v>2826</v>
      </c>
      <c r="J14" s="53">
        <f ca="1">C29</f>
        <v>73835</v>
      </c>
      <c r="K14" s="26"/>
      <c r="L14" s="801"/>
      <c r="M14" s="802"/>
    </row>
    <row r="15" spans="1:33" s="2050" customFormat="1" ht="18" customHeight="1" thickBot="1">
      <c r="A15" s="1634" t="s">
        <v>1885</v>
      </c>
      <c r="B15" s="784" t="s">
        <v>647</v>
      </c>
      <c r="C15" s="53">
        <f ca="1">ROUND(C14*F15,0)</f>
        <v>2257</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7355</v>
      </c>
      <c r="K16" s="1807" t="s">
        <v>1750</v>
      </c>
      <c r="L16" s="2451"/>
      <c r="M16" s="2456"/>
    </row>
    <row r="17" spans="1:33" s="2050" customFormat="1" ht="18" customHeight="1">
      <c r="A17" s="1634" t="s">
        <v>1887</v>
      </c>
      <c r="B17" s="784" t="s">
        <v>653</v>
      </c>
      <c r="C17" s="53">
        <f ca="1">ROUND(F17*(F43+INDIRECT("'数据-取费表'!S"&amp;$G$1))/10000,0)</f>
        <v>4514</v>
      </c>
      <c r="D17" s="784" t="s">
        <v>1751</v>
      </c>
      <c r="E17" s="784" t="s">
        <v>1752</v>
      </c>
      <c r="F17" s="56">
        <f>'数据-取费表'!B35</f>
        <v>200</v>
      </c>
      <c r="G17" s="1580"/>
      <c r="H17" s="1635" t="s">
        <v>1830</v>
      </c>
      <c r="I17" s="784" t="s">
        <v>656</v>
      </c>
      <c r="J17" s="53">
        <f ca="1">ROUND(IF(项目基本情况!B11="自然人",J6*M17/(1+'数据-取费表'!C42),J18+J19+J20),0)</f>
        <v>6247</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677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52590</v>
      </c>
      <c r="D19" s="261" t="s">
        <v>1757</v>
      </c>
      <c r="E19" s="1968"/>
      <c r="F19" s="56"/>
      <c r="G19" s="1579"/>
      <c r="H19" s="1634" t="s">
        <v>1885</v>
      </c>
      <c r="I19" s="784" t="s">
        <v>1758</v>
      </c>
      <c r="J19" s="53">
        <f ca="1">IF(K19="按租金收入计税",ROUND(J6*M19/(1+'数据-取费表'!C42),1),ROUND(C29*F33*0.7,1))</f>
        <v>6202.1</v>
      </c>
      <c r="K19" s="811" t="s">
        <v>665</v>
      </c>
      <c r="L19" s="784" t="s">
        <v>1747</v>
      </c>
      <c r="M19" s="809">
        <f>IF(K19="按租金收入计税",'数据-取费表'!B51,'数据-取费表'!B50)</f>
        <v>1.2E-2</v>
      </c>
    </row>
    <row r="20" spans="1:33" s="2050" customFormat="1" ht="18" customHeight="1">
      <c r="A20" s="1635" t="s">
        <v>1889</v>
      </c>
      <c r="B20" s="784" t="s">
        <v>666</v>
      </c>
      <c r="C20" s="53">
        <f ca="1">ROUND(C19*F20,0)</f>
        <v>1052</v>
      </c>
      <c r="D20" s="812" t="s">
        <v>1759</v>
      </c>
      <c r="E20" s="784" t="s">
        <v>1747</v>
      </c>
      <c r="F20" s="809">
        <f>'数据-取费表'!B37</f>
        <v>0.02</v>
      </c>
      <c r="G20" s="1580"/>
      <c r="H20" s="1637" t="s">
        <v>1880</v>
      </c>
      <c r="I20" s="341" t="s">
        <v>1760</v>
      </c>
      <c r="J20" s="54">
        <f ca="1">ROUND(M20*M21/10000,0)</f>
        <v>45</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75236.850000000006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1108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3204</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1.5E-3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-7355</v>
      </c>
      <c r="K25" s="2513" t="s">
        <v>1777</v>
      </c>
      <c r="L25" s="2514"/>
      <c r="M25" s="2515"/>
    </row>
    <row r="26" spans="1:33" ht="18" customHeight="1">
      <c r="A26" s="1634" t="s">
        <v>1831</v>
      </c>
      <c r="B26" s="784" t="s">
        <v>2438</v>
      </c>
      <c r="C26" s="53">
        <f ca="1">ROUND((C19+C20)*F26,0)</f>
        <v>10728</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73835</v>
      </c>
      <c r="D29" s="2510"/>
      <c r="E29" s="2511"/>
      <c r="F29" s="2512"/>
      <c r="G29" s="1580"/>
      <c r="H29" s="823" t="s">
        <v>1787</v>
      </c>
      <c r="I29" s="824" t="s">
        <v>1788</v>
      </c>
      <c r="J29" s="825">
        <f ca="1">ROUND(J26/(1+F40)^F41,0)</f>
        <v>0</v>
      </c>
      <c r="K29" s="826" t="s">
        <v>1789</v>
      </c>
      <c r="L29" s="827"/>
      <c r="M29" s="828">
        <f ca="1">INDIRECT("'数据-取费表'!k"&amp;$G$1)</f>
        <v>225710.54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2507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1218.9000000000001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373.5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800.3</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45.1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75236.850000000006</v>
      </c>
      <c r="G35" s="2048"/>
      <c r="H35" s="2051"/>
      <c r="I35" s="837" t="s">
        <v>1814</v>
      </c>
      <c r="J35" s="838">
        <f ca="1">ROUND(C13*J36,0)</f>
        <v>6276</v>
      </c>
      <c r="K35" s="2064"/>
      <c r="L35" s="2063"/>
      <c r="M35" s="2063"/>
    </row>
    <row r="36" spans="1:18" ht="18" customHeight="1">
      <c r="A36" s="1635" t="s">
        <v>1889</v>
      </c>
      <c r="B36" s="784" t="s">
        <v>1802</v>
      </c>
      <c r="C36" s="53">
        <f ca="1">ROUND(C29*F36,1)</f>
        <v>1107.5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110.8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70.099999999999994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4505</v>
      </c>
      <c r="D39" s="2513" t="s">
        <v>1806</v>
      </c>
      <c r="E39" s="2514"/>
      <c r="F39" s="2515"/>
      <c r="G39" s="2048"/>
      <c r="H39" s="2063"/>
      <c r="I39" s="837" t="s">
        <v>1818</v>
      </c>
      <c r="J39" s="845">
        <f ca="1">ROUND(J35/C39,3)</f>
        <v>1.393</v>
      </c>
      <c r="K39" s="2069"/>
      <c r="L39" s="2063"/>
      <c r="M39" s="2063"/>
    </row>
    <row r="40" spans="1:18" ht="18" customHeight="1">
      <c r="A40" s="781" t="s">
        <v>1895</v>
      </c>
      <c r="B40" s="2218" t="s">
        <v>2301</v>
      </c>
      <c r="C40" s="783">
        <f ca="1">ROUND(C39*(1-((1+F42)/(1+F40))^F41)/(F40-F42),0)</f>
        <v>103872</v>
      </c>
      <c r="D40" s="814" t="s">
        <v>1807</v>
      </c>
      <c r="E40" s="784" t="s">
        <v>2419</v>
      </c>
      <c r="F40" s="794">
        <f ca="1">INDIRECT("'数据-取费表'!I"&amp;$G$1)</f>
        <v>5.5E-2</v>
      </c>
      <c r="G40" s="2048"/>
      <c r="H40" s="2048"/>
      <c r="I40" s="837" t="s">
        <v>1819</v>
      </c>
      <c r="J40" s="845">
        <f ca="1">1-J39</f>
        <v>-0.39300000000000002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35.82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0.71099999999999997</v>
      </c>
      <c r="K42" s="2068"/>
      <c r="L42" s="1974"/>
      <c r="M42" s="1974"/>
    </row>
    <row r="43" spans="1:18" ht="18" customHeight="1" thickBot="1">
      <c r="A43" s="823" t="s">
        <v>1787</v>
      </c>
      <c r="B43" s="824" t="s">
        <v>1810</v>
      </c>
      <c r="C43" s="825">
        <f ca="1">ROUND(C40*10000/F43,0)</f>
        <v>4602</v>
      </c>
      <c r="D43" s="826" t="s">
        <v>1811</v>
      </c>
      <c r="E43" s="827" t="s">
        <v>1812</v>
      </c>
      <c r="F43" s="828">
        <f ca="1">INDIRECT("'数据-取费表'!k"&amp;$G$1)</f>
        <v>225710.54</v>
      </c>
      <c r="G43" s="2048"/>
      <c r="H43" s="1974"/>
      <c r="I43" s="847" t="s">
        <v>1822</v>
      </c>
      <c r="J43" s="848">
        <f ca="1">1-J42</f>
        <v>0.28900000000000003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-123462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103872</v>
      </c>
      <c r="R48" s="2364" t="s">
        <v>2380</v>
      </c>
    </row>
    <row r="49" spans="1:18" s="2045" customFormat="1" ht="18" customHeight="1" thickBot="1">
      <c r="A49" s="786"/>
      <c r="B49" s="787"/>
      <c r="C49" s="788"/>
      <c r="D49" s="789"/>
      <c r="E49" s="784" t="s">
        <v>1739</v>
      </c>
      <c r="F49" s="785">
        <f ca="1">F7</f>
        <v>225710.54</v>
      </c>
      <c r="G49" s="2076"/>
      <c r="H49" s="2079"/>
      <c r="I49" s="3079" t="s">
        <v>2346</v>
      </c>
      <c r="J49" s="2348">
        <v>2022</v>
      </c>
      <c r="K49" s="3108" t="s">
        <v>2352</v>
      </c>
      <c r="L49" s="2349"/>
      <c r="O49" s="2363" t="s">
        <v>2381</v>
      </c>
      <c r="P49" s="2364" t="s">
        <v>2406</v>
      </c>
      <c r="Q49" s="2365">
        <f ca="1">J60</f>
        <v>1385</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73835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-29959</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35.82</v>
      </c>
      <c r="K53" s="3484" t="s">
        <v>2967</v>
      </c>
      <c r="L53" s="3485"/>
      <c r="O53" s="2366" t="s">
        <v>2388</v>
      </c>
      <c r="P53" s="2364" t="s">
        <v>2389</v>
      </c>
      <c r="Q53" s="2365">
        <f ca="1">J53</f>
        <v>35.82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105257</v>
      </c>
      <c r="R54" s="2368" t="s">
        <v>2392</v>
      </c>
    </row>
    <row r="55" spans="1:18" s="2045" customFormat="1" ht="18" customHeight="1" thickTop="1" thickBot="1">
      <c r="A55" s="797">
        <v>2</v>
      </c>
      <c r="B55" s="798" t="s">
        <v>644</v>
      </c>
      <c r="C55" s="799">
        <f ca="1">C13</f>
        <v>73835</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73835</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1263</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103872</v>
      </c>
      <c r="R57" s="2364" t="s">
        <v>2380</v>
      </c>
    </row>
    <row r="58" spans="1:18" s="2045" customFormat="1" ht="28.5" customHeight="1" thickBot="1">
      <c r="A58" s="1635" t="s">
        <v>1824</v>
      </c>
      <c r="B58" s="784" t="s">
        <v>656</v>
      </c>
      <c r="C58" s="53">
        <f ca="1">ROUND(IF(项目基本情况!B11="自然人",C47*F58,C59+C60+C61),1)</f>
        <v>45.1</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30346</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1385</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45.1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75236.850000000006</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1107.5</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103872</v>
      </c>
      <c r="R63" s="2368" t="s">
        <v>2392</v>
      </c>
    </row>
    <row r="64" spans="1:18" s="2045" customFormat="1" ht="16.5" thickBot="1">
      <c r="A64" s="1635" t="s">
        <v>1890</v>
      </c>
      <c r="B64" s="784" t="s">
        <v>679</v>
      </c>
      <c r="C64" s="53">
        <f ca="1">ROUND(C55*F64,1)</f>
        <v>110.8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-1263</v>
      </c>
      <c r="D66" s="2603" t="s">
        <v>700</v>
      </c>
      <c r="E66" s="2602"/>
      <c r="F66" s="820"/>
      <c r="K66" s="2072"/>
      <c r="O66" s="2363" t="s">
        <v>2379</v>
      </c>
      <c r="P66" s="2364" t="s">
        <v>2409</v>
      </c>
      <c r="Q66" s="2365">
        <f ca="1">C40+J29</f>
        <v>103872</v>
      </c>
      <c r="R66" s="2364" t="s">
        <v>2380</v>
      </c>
    </row>
    <row r="67" spans="1:18" s="2045" customFormat="1" ht="20.25" thickBot="1">
      <c r="A67" s="781" t="s">
        <v>1780</v>
      </c>
      <c r="B67" s="2218" t="s">
        <v>2301</v>
      </c>
      <c r="C67" s="783">
        <f ca="1">ROUND(C66*(1-((1+F69)/(1+F67))^F68)/(F67-F69),0)</f>
        <v>-19590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35.82</v>
      </c>
      <c r="O68" s="2366" t="s">
        <v>2383</v>
      </c>
      <c r="P68" s="2364" t="s">
        <v>2413</v>
      </c>
      <c r="Q68" s="2370">
        <f ca="1">L51</f>
        <v>-29959</v>
      </c>
      <c r="R68" s="2371" t="s">
        <v>2416</v>
      </c>
    </row>
    <row r="69" spans="1:18" ht="20.25" thickBot="1">
      <c r="A69" s="790"/>
      <c r="B69" s="791"/>
      <c r="C69" s="792"/>
      <c r="D69" s="816"/>
      <c r="E69" s="784" t="s">
        <v>710</v>
      </c>
      <c r="F69" s="2336"/>
      <c r="O69" s="2366" t="s">
        <v>2384</v>
      </c>
      <c r="P69" s="2372" t="s">
        <v>2398</v>
      </c>
      <c r="Q69" s="2365">
        <f ca="1">ROUND(Q70-Q71*Q72,0)</f>
        <v>-1771</v>
      </c>
      <c r="R69" s="2368"/>
    </row>
    <row r="70" spans="1:18" ht="15.75" thickBot="1">
      <c r="A70" s="823" t="s">
        <v>1787</v>
      </c>
      <c r="B70" s="824" t="s">
        <v>1810</v>
      </c>
      <c r="C70" s="825">
        <f ca="1">ROUND(C67*10000/F70,0)</f>
        <v>-868</v>
      </c>
      <c r="D70" s="826" t="s">
        <v>1811</v>
      </c>
      <c r="E70" s="827" t="s">
        <v>1812</v>
      </c>
      <c r="F70" s="828">
        <f ca="1">F43</f>
        <v>225710.54</v>
      </c>
      <c r="O70" s="2366" t="s">
        <v>2399</v>
      </c>
      <c r="P70" s="2372" t="s">
        <v>2400</v>
      </c>
      <c r="Q70" s="2365">
        <f ca="1">C39</f>
        <v>4505</v>
      </c>
      <c r="R70" s="2364" t="s">
        <v>2380</v>
      </c>
    </row>
    <row r="71" spans="1:18" ht="15.75" thickBot="1">
      <c r="O71" s="2366" t="s">
        <v>2401</v>
      </c>
      <c r="P71" s="2372" t="s">
        <v>2402</v>
      </c>
      <c r="Q71" s="2365">
        <f ca="1">C13</f>
        <v>73835</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103872</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86" t="s">
        <v>2471</v>
      </c>
      <c r="B1" s="3487"/>
      <c r="C1" s="3488"/>
      <c r="D1" s="3489">
        <f>SUM(I10,I15,I20,I21,I23)</f>
        <v>0</v>
      </c>
      <c r="E1" s="3489"/>
      <c r="F1" s="3489"/>
      <c r="G1" s="3489"/>
      <c r="H1" s="3489"/>
      <c r="I1" s="3490"/>
    </row>
    <row r="2" spans="1:9">
      <c r="A2" s="3491" t="s">
        <v>2472</v>
      </c>
      <c r="B2" s="3492" t="s">
        <v>2473</v>
      </c>
      <c r="C2" s="3492"/>
      <c r="D2" s="2472" t="s">
        <v>2474</v>
      </c>
      <c r="E2" s="2472" t="s">
        <v>2475</v>
      </c>
      <c r="F2" s="2472" t="s">
        <v>2476</v>
      </c>
      <c r="G2" s="2472" t="s">
        <v>2477</v>
      </c>
      <c r="H2" s="2472" t="s">
        <v>2478</v>
      </c>
      <c r="I2" s="2473" t="s">
        <v>2479</v>
      </c>
    </row>
    <row r="3" spans="1:9">
      <c r="A3" s="3491"/>
      <c r="B3" s="3492" t="s">
        <v>2480</v>
      </c>
      <c r="C3" s="3492"/>
      <c r="D3" s="2474"/>
      <c r="E3" s="2472"/>
      <c r="F3" s="2475"/>
      <c r="G3" s="2475"/>
      <c r="H3" s="2476"/>
      <c r="I3" s="2477">
        <f>ROUND(D3*E3*F3*G3*H3/10000,0)</f>
        <v>0</v>
      </c>
    </row>
    <row r="4" spans="1:9">
      <c r="A4" s="3491"/>
      <c r="B4" s="3492" t="s">
        <v>2481</v>
      </c>
      <c r="C4" s="3492"/>
      <c r="D4" s="2474"/>
      <c r="E4" s="2472"/>
      <c r="F4" s="2475"/>
      <c r="G4" s="2475"/>
      <c r="H4" s="2476"/>
      <c r="I4" s="2477">
        <f t="shared" ref="I4:I9" si="0">ROUND(D4*E4*F4*G4*H4/10000,0)</f>
        <v>0</v>
      </c>
    </row>
    <row r="5" spans="1:9">
      <c r="A5" s="3491"/>
      <c r="B5" s="3492" t="s">
        <v>2482</v>
      </c>
      <c r="C5" s="3492"/>
      <c r="D5" s="2474"/>
      <c r="E5" s="2472"/>
      <c r="F5" s="2475"/>
      <c r="G5" s="2475"/>
      <c r="H5" s="2476"/>
      <c r="I5" s="2477">
        <f t="shared" si="0"/>
        <v>0</v>
      </c>
    </row>
    <row r="6" spans="1:9">
      <c r="A6" s="3491"/>
      <c r="B6" s="3492" t="s">
        <v>2483</v>
      </c>
      <c r="C6" s="3492"/>
      <c r="D6" s="2474"/>
      <c r="E6" s="2472"/>
      <c r="F6" s="2475"/>
      <c r="G6" s="2475"/>
      <c r="H6" s="2476"/>
      <c r="I6" s="2477">
        <f t="shared" si="0"/>
        <v>0</v>
      </c>
    </row>
    <row r="7" spans="1:9">
      <c r="A7" s="3491"/>
      <c r="B7" s="3492" t="s">
        <v>2484</v>
      </c>
      <c r="C7" s="3492"/>
      <c r="D7" s="2474"/>
      <c r="E7" s="2472"/>
      <c r="F7" s="2475"/>
      <c r="G7" s="2475"/>
      <c r="H7" s="2476"/>
      <c r="I7" s="2477">
        <f t="shared" si="0"/>
        <v>0</v>
      </c>
    </row>
    <row r="8" spans="1:9">
      <c r="A8" s="3491"/>
      <c r="B8" s="3492" t="s">
        <v>2485</v>
      </c>
      <c r="C8" s="3492"/>
      <c r="D8" s="2474"/>
      <c r="E8" s="2472"/>
      <c r="F8" s="2475"/>
      <c r="G8" s="2475"/>
      <c r="H8" s="2476"/>
      <c r="I8" s="2477">
        <f t="shared" si="0"/>
        <v>0</v>
      </c>
    </row>
    <row r="9" spans="1:9">
      <c r="A9" s="3491"/>
      <c r="B9" s="3492" t="s">
        <v>2486</v>
      </c>
      <c r="C9" s="3492"/>
      <c r="D9" s="2474"/>
      <c r="E9" s="2472"/>
      <c r="F9" s="2475"/>
      <c r="G9" s="2475"/>
      <c r="H9" s="2476"/>
      <c r="I9" s="2477">
        <f t="shared" si="0"/>
        <v>0</v>
      </c>
    </row>
    <row r="10" spans="1:9">
      <c r="A10" s="3491"/>
      <c r="B10" s="3493" t="s">
        <v>2487</v>
      </c>
      <c r="C10" s="3493"/>
      <c r="D10" s="2478">
        <v>527</v>
      </c>
      <c r="E10" s="2478" t="e">
        <f>ROUND(D1*10000/D10/H9,0)</f>
        <v>#DIV/0!</v>
      </c>
      <c r="F10" s="2479"/>
      <c r="G10" s="2479"/>
      <c r="H10" s="2480"/>
      <c r="I10" s="2481">
        <f>SUM(I3:I9)</f>
        <v>0</v>
      </c>
    </row>
    <row r="11" spans="1:9" ht="14.25">
      <c r="A11" s="3491" t="s">
        <v>2488</v>
      </c>
      <c r="B11" s="3492" t="s">
        <v>2489</v>
      </c>
      <c r="C11" s="3492"/>
      <c r="D11" s="2474" t="s">
        <v>2490</v>
      </c>
      <c r="E11" s="2474" t="s">
        <v>2491</v>
      </c>
      <c r="F11" s="2475" t="s">
        <v>2492</v>
      </c>
      <c r="G11" s="2475" t="s">
        <v>2493</v>
      </c>
      <c r="H11" s="2482" t="s">
        <v>2494</v>
      </c>
      <c r="I11" s="2473" t="s">
        <v>2495</v>
      </c>
    </row>
    <row r="12" spans="1:9">
      <c r="A12" s="3491"/>
      <c r="B12" s="3492" t="s">
        <v>2496</v>
      </c>
      <c r="C12" s="3492"/>
      <c r="D12" s="2474"/>
      <c r="E12" s="2474"/>
      <c r="F12" s="2475"/>
      <c r="G12" s="2476"/>
      <c r="H12" s="2483"/>
      <c r="I12" s="2473">
        <f>ROUND(D12*E12*F12*G12/10000,0)</f>
        <v>0</v>
      </c>
    </row>
    <row r="13" spans="1:9">
      <c r="A13" s="3491"/>
      <c r="B13" s="3492" t="s">
        <v>2497</v>
      </c>
      <c r="C13" s="3492"/>
      <c r="D13" s="2474"/>
      <c r="E13" s="2474"/>
      <c r="F13" s="2475"/>
      <c r="G13" s="2476"/>
      <c r="H13" s="2483"/>
      <c r="I13" s="2473">
        <f>ROUND(D13*E13*F13*G13/10000,0)</f>
        <v>0</v>
      </c>
    </row>
    <row r="14" spans="1:9">
      <c r="A14" s="3491"/>
      <c r="B14" s="3492" t="s">
        <v>2498</v>
      </c>
      <c r="C14" s="3492"/>
      <c r="D14" s="2474"/>
      <c r="E14" s="2474"/>
      <c r="F14" s="2475"/>
      <c r="G14" s="2476"/>
      <c r="H14" s="2483"/>
      <c r="I14" s="2473">
        <f>ROUND(D14*E14*F14*G14/10000,0)</f>
        <v>0</v>
      </c>
    </row>
    <row r="15" spans="1:9">
      <c r="A15" s="3491"/>
      <c r="B15" s="3493" t="s">
        <v>2487</v>
      </c>
      <c r="C15" s="3493"/>
      <c r="D15" s="2478"/>
      <c r="E15" s="2478">
        <f>SUM(E12:E14)</f>
        <v>0</v>
      </c>
      <c r="F15" s="2479"/>
      <c r="G15" s="2476"/>
      <c r="H15" s="2483"/>
      <c r="I15" s="2484">
        <f>SUM(I12:I14)</f>
        <v>0</v>
      </c>
    </row>
    <row r="16" spans="1:9" ht="24">
      <c r="A16" s="3491" t="s">
        <v>2499</v>
      </c>
      <c r="B16" s="3492" t="s">
        <v>2500</v>
      </c>
      <c r="C16" s="3492"/>
      <c r="D16" s="2474" t="s">
        <v>2501</v>
      </c>
      <c r="E16" s="2485" t="s">
        <v>2502</v>
      </c>
      <c r="F16" s="2475" t="s">
        <v>2503</v>
      </c>
      <c r="G16" s="2476" t="s">
        <v>2493</v>
      </c>
      <c r="H16" s="2482" t="s">
        <v>2494</v>
      </c>
      <c r="I16" s="2473" t="s">
        <v>2495</v>
      </c>
    </row>
    <row r="17" spans="1:9" ht="14.25">
      <c r="A17" s="3491"/>
      <c r="B17" s="3492" t="s">
        <v>2504</v>
      </c>
      <c r="C17" s="3492"/>
      <c r="D17" s="2474"/>
      <c r="E17" s="2474"/>
      <c r="F17" s="2475"/>
      <c r="G17" s="2476"/>
      <c r="H17" s="2486"/>
      <c r="I17" s="2487">
        <f>ROUND(D17*E17*F17*G17/10000,0)</f>
        <v>0</v>
      </c>
    </row>
    <row r="18" spans="1:9" ht="14.25">
      <c r="A18" s="3491"/>
      <c r="B18" s="3492" t="s">
        <v>2505</v>
      </c>
      <c r="C18" s="3492"/>
      <c r="D18" s="2474"/>
      <c r="E18" s="2474"/>
      <c r="F18" s="2475"/>
      <c r="G18" s="2476"/>
      <c r="H18" s="2486"/>
      <c r="I18" s="2487">
        <f>ROUND(D18*E18*F18*G18/10000,0)</f>
        <v>0</v>
      </c>
    </row>
    <row r="19" spans="1:9" ht="14.25">
      <c r="A19" s="3491"/>
      <c r="B19" s="3492" t="s">
        <v>2506</v>
      </c>
      <c r="C19" s="3492"/>
      <c r="D19" s="2474"/>
      <c r="E19" s="2474"/>
      <c r="F19" s="2475"/>
      <c r="G19" s="2476"/>
      <c r="H19" s="2486"/>
      <c r="I19" s="2487">
        <f>ROUND(D19*E19*F19*G19/10000,0)</f>
        <v>0</v>
      </c>
    </row>
    <row r="20" spans="1:9">
      <c r="A20" s="3491"/>
      <c r="B20" s="3493" t="s">
        <v>2487</v>
      </c>
      <c r="C20" s="3493"/>
      <c r="D20" s="2478">
        <f>SUM(D17:D19)</f>
        <v>0</v>
      </c>
      <c r="E20" s="2478"/>
      <c r="F20" s="2479"/>
      <c r="G20" s="2476"/>
      <c r="H20" s="2483"/>
      <c r="I20" s="2484">
        <f>SUM(I17:I19)</f>
        <v>0</v>
      </c>
    </row>
    <row r="21" spans="1:9">
      <c r="A21" s="3491" t="s">
        <v>2507</v>
      </c>
      <c r="B21" s="3495"/>
      <c r="C21" s="3495"/>
      <c r="D21" s="3495"/>
      <c r="E21" s="3495"/>
      <c r="F21" s="3495"/>
      <c r="G21" s="3495"/>
      <c r="H21" s="2488">
        <v>0.1</v>
      </c>
      <c r="I21" s="2481">
        <f>ROUND(I10*H21,0)</f>
        <v>0</v>
      </c>
    </row>
    <row r="22" spans="1:9" ht="14.25">
      <c r="A22" s="3496" t="s">
        <v>2508</v>
      </c>
      <c r="B22" s="3497"/>
      <c r="C22" s="3498"/>
      <c r="D22" s="2489" t="s">
        <v>2509</v>
      </c>
      <c r="E22" s="2489" t="s">
        <v>2510</v>
      </c>
      <c r="F22" s="2490" t="s">
        <v>2511</v>
      </c>
      <c r="G22" s="2490" t="s">
        <v>2512</v>
      </c>
      <c r="H22" s="2482" t="s">
        <v>2513</v>
      </c>
      <c r="I22" s="2473" t="s">
        <v>2514</v>
      </c>
    </row>
    <row r="23" spans="1:9" ht="14.25" thickBot="1">
      <c r="A23" s="3499"/>
      <c r="B23" s="3500"/>
      <c r="C23" s="3501"/>
      <c r="D23" s="2491"/>
      <c r="E23" s="2491"/>
      <c r="F23" s="2491"/>
      <c r="G23" s="2492"/>
      <c r="H23" s="2493"/>
      <c r="I23" s="2494">
        <f>ROUND(E23*D23*F23*(1-G23)/10000,0)</f>
        <v>0</v>
      </c>
    </row>
    <row r="26" spans="1:9">
      <c r="A26" s="2495" t="s">
        <v>2515</v>
      </c>
      <c r="B26" s="2495"/>
      <c r="C26" s="2495"/>
      <c r="D26" s="2495"/>
      <c r="E26" s="3502">
        <f>C27-C30-C31-C32</f>
        <v>0</v>
      </c>
      <c r="F26" s="3502"/>
      <c r="G26" s="3502"/>
      <c r="H26" s="2996" t="s">
        <v>2843</v>
      </c>
    </row>
    <row r="27" spans="1:9">
      <c r="A27" s="2496">
        <v>1</v>
      </c>
      <c r="B27" s="2497" t="s">
        <v>2516</v>
      </c>
      <c r="C27" s="2497"/>
      <c r="D27" s="2497"/>
      <c r="E27" s="3503"/>
      <c r="F27" s="3503"/>
      <c r="G27" s="3503"/>
    </row>
    <row r="28" spans="1:9">
      <c r="A28" s="2498" t="s">
        <v>2517</v>
      </c>
      <c r="B28" s="2497" t="s">
        <v>2518</v>
      </c>
      <c r="C28" s="2497"/>
      <c r="D28" s="2497"/>
      <c r="E28" s="3503"/>
      <c r="F28" s="3503"/>
      <c r="G28" s="3503"/>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4"/>
      <c r="F32" s="3494"/>
      <c r="G32" s="3494"/>
    </row>
    <row r="33" spans="1:7" hidden="1">
      <c r="A33" s="3504" t="s">
        <v>2526</v>
      </c>
      <c r="B33" s="3505"/>
      <c r="C33" s="3505"/>
      <c r="D33" s="3506"/>
      <c r="E33" s="3502"/>
      <c r="F33" s="3502"/>
      <c r="G33" s="3502"/>
    </row>
    <row r="34" spans="1:7" hidden="1">
      <c r="A34" s="2500">
        <v>1</v>
      </c>
      <c r="B34" s="2497" t="s">
        <v>2527</v>
      </c>
      <c r="C34" s="2497"/>
      <c r="D34" s="2497"/>
      <c r="E34" s="3503"/>
      <c r="F34" s="3503"/>
      <c r="G34" s="3503"/>
    </row>
    <row r="35" spans="1:7" hidden="1">
      <c r="A35" s="2500">
        <v>2</v>
      </c>
      <c r="B35" s="2497" t="s">
        <v>2528</v>
      </c>
      <c r="C35" s="2497"/>
      <c r="D35" s="2497"/>
      <c r="E35" s="3503"/>
      <c r="F35" s="3503"/>
      <c r="G35" s="3503"/>
    </row>
    <row r="36" spans="1:7" hidden="1">
      <c r="A36" s="2500">
        <v>3</v>
      </c>
      <c r="B36" s="2497" t="s">
        <v>2529</v>
      </c>
      <c r="C36" s="2497"/>
      <c r="D36" s="2497"/>
      <c r="E36" s="3503"/>
      <c r="F36" s="3503"/>
      <c r="G36" s="3503"/>
    </row>
    <row r="37" spans="1:7" hidden="1">
      <c r="A37" s="2500">
        <v>4</v>
      </c>
      <c r="B37" s="2497" t="s">
        <v>2530</v>
      </c>
      <c r="C37" s="2497"/>
      <c r="D37" s="2497"/>
      <c r="E37" s="3503"/>
      <c r="F37" s="3503"/>
      <c r="G37" s="3503"/>
    </row>
    <row r="38" spans="1:7" hidden="1">
      <c r="A38" s="3504" t="s">
        <v>2531</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322443.63</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v>
      </c>
      <c r="D12" s="758">
        <f>'数据-汇总表'!E5</f>
        <v>96733.09</v>
      </c>
      <c r="E12" s="757">
        <f>'数据-取费表'!B27</f>
        <v>19</v>
      </c>
      <c r="F12" s="755"/>
      <c r="G12" s="759"/>
    </row>
    <row r="13" spans="1:25" s="2169" customFormat="1" ht="13.5" customHeight="1">
      <c r="A13" s="2441" t="s">
        <v>2447</v>
      </c>
      <c r="B13" s="756" t="s">
        <v>612</v>
      </c>
      <c r="C13" s="757">
        <f>ROUND(D13*E13/10000,0)</f>
        <v>429</v>
      </c>
      <c r="D13" s="758">
        <f>'数据-汇总表'!E6</f>
        <v>225710.54</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I41" sqref="I41"/>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3099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42756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4420</v>
      </c>
      <c r="C3" s="852" t="s">
        <v>722</v>
      </c>
      <c r="D3" s="851">
        <f>SUMIF('数据-汇总表'!$C19:$C33,D1,'数据-汇总表'!$E19:$E33)</f>
        <v>96733.09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5" t="s">
        <v>522</v>
      </c>
      <c r="D4" s="3396"/>
      <c r="E4" s="3431" t="s">
        <v>523</v>
      </c>
      <c r="F4" s="3432"/>
      <c r="G4" s="3395" t="s">
        <v>524</v>
      </c>
      <c r="H4" s="3396"/>
      <c r="I4" s="3395" t="s">
        <v>525</v>
      </c>
      <c r="J4" s="3396"/>
      <c r="K4" s="853" t="s">
        <v>526</v>
      </c>
      <c r="L4" s="2119"/>
      <c r="M4" s="2120"/>
      <c r="N4" s="2120"/>
      <c r="O4" s="2120"/>
      <c r="P4" s="3397" t="s">
        <v>527</v>
      </c>
      <c r="Q4" s="3398"/>
      <c r="R4" s="3403" t="s">
        <v>523</v>
      </c>
      <c r="S4" s="3404"/>
      <c r="T4" s="3403" t="s">
        <v>524</v>
      </c>
      <c r="U4" s="3404"/>
      <c r="V4" s="3390" t="s">
        <v>525</v>
      </c>
      <c r="W4" s="3390"/>
      <c r="X4" s="1554"/>
      <c r="Y4" s="3403" t="s">
        <v>527</v>
      </c>
      <c r="Z4" s="3404"/>
      <c r="AA4" s="3392" t="s">
        <v>523</v>
      </c>
      <c r="AB4" s="3392" t="s">
        <v>524</v>
      </c>
      <c r="AC4" s="3392" t="s">
        <v>525</v>
      </c>
    </row>
    <row r="5" spans="1:29" ht="15">
      <c r="A5" s="515"/>
      <c r="B5" s="516"/>
      <c r="C5" s="3411" t="s">
        <v>2931</v>
      </c>
      <c r="D5" s="3412"/>
      <c r="E5" s="3511" t="s">
        <v>3086</v>
      </c>
      <c r="F5" s="3434"/>
      <c r="G5" s="3510" t="s">
        <v>3174</v>
      </c>
      <c r="H5" s="3412"/>
      <c r="I5" s="3510" t="s">
        <v>3087</v>
      </c>
      <c r="J5" s="3412"/>
      <c r="K5" s="854"/>
      <c r="L5" s="2119"/>
      <c r="M5" s="2120"/>
      <c r="N5" s="2120"/>
      <c r="O5" s="2120"/>
      <c r="P5" s="3399"/>
      <c r="Q5" s="3400"/>
      <c r="R5" s="3405"/>
      <c r="S5" s="3406"/>
      <c r="T5" s="3405"/>
      <c r="U5" s="3406"/>
      <c r="V5" s="3390"/>
      <c r="W5" s="3390"/>
      <c r="X5" s="1554"/>
      <c r="Y5" s="3405"/>
      <c r="Z5" s="3406"/>
      <c r="AA5" s="3393"/>
      <c r="AB5" s="3393"/>
      <c r="AC5" s="3393"/>
    </row>
    <row r="6" spans="1:29" ht="15.75" thickBot="1">
      <c r="A6" s="517"/>
      <c r="B6" s="518"/>
      <c r="C6" s="3409" t="s">
        <v>2935</v>
      </c>
      <c r="D6" s="3410"/>
      <c r="E6" s="3429" t="s">
        <v>2935</v>
      </c>
      <c r="F6" s="3430"/>
      <c r="G6" s="3409" t="s">
        <v>2935</v>
      </c>
      <c r="H6" s="3410"/>
      <c r="I6" s="3409" t="s">
        <v>2935</v>
      </c>
      <c r="J6" s="3410"/>
      <c r="K6" s="854" t="s">
        <v>528</v>
      </c>
      <c r="L6" s="2119"/>
      <c r="M6" s="2120"/>
      <c r="N6" s="2120"/>
      <c r="O6" s="2120"/>
      <c r="P6" s="3401"/>
      <c r="Q6" s="3402"/>
      <c r="R6" s="3405"/>
      <c r="S6" s="3406"/>
      <c r="T6" s="3407"/>
      <c r="U6" s="3408"/>
      <c r="V6" s="3390"/>
      <c r="W6" s="3390"/>
      <c r="X6" s="1554"/>
      <c r="Y6" s="3407"/>
      <c r="Z6" s="3408"/>
      <c r="AA6" s="3394"/>
      <c r="AB6" s="3394"/>
      <c r="AC6" s="3394"/>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420" t="s">
        <v>530</v>
      </c>
      <c r="Q7" s="3422"/>
      <c r="R7" s="1555" t="s">
        <v>13</v>
      </c>
      <c r="S7" s="1556">
        <f t="shared" ref="S7:S15" si="0">F7</f>
        <v>100</v>
      </c>
      <c r="T7" s="1555" t="s">
        <v>13</v>
      </c>
      <c r="U7" s="1556">
        <f t="shared" ref="U7:U15" si="1">H7</f>
        <v>100</v>
      </c>
      <c r="V7" s="1555" t="s">
        <v>13</v>
      </c>
      <c r="W7" s="1556">
        <f t="shared" ref="W7:W15" si="2">J7</f>
        <v>100</v>
      </c>
      <c r="X7" s="1557"/>
      <c r="Y7" s="3420" t="s">
        <v>530</v>
      </c>
      <c r="Z7" s="3421"/>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20" t="s">
        <v>533</v>
      </c>
      <c r="Q8" s="3421"/>
      <c r="R8" s="1555" t="s">
        <v>13</v>
      </c>
      <c r="S8" s="1556">
        <f t="shared" si="0"/>
        <v>100</v>
      </c>
      <c r="T8" s="1555" t="s">
        <v>13</v>
      </c>
      <c r="U8" s="1556">
        <f t="shared" si="1"/>
        <v>100</v>
      </c>
      <c r="V8" s="1555" t="s">
        <v>13</v>
      </c>
      <c r="W8" s="1556">
        <f t="shared" si="2"/>
        <v>100</v>
      </c>
      <c r="X8" s="1557"/>
      <c r="Y8" s="3420" t="s">
        <v>533</v>
      </c>
      <c r="Z8" s="3421"/>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3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389"/>
      <c r="Q11" s="1147" t="str">
        <f t="shared" si="6"/>
        <v>容积率</v>
      </c>
      <c r="R11" s="1555" t="s">
        <v>11</v>
      </c>
      <c r="S11" s="1556">
        <f t="shared" si="0"/>
        <v>98</v>
      </c>
      <c r="T11" s="1555" t="s">
        <v>11</v>
      </c>
      <c r="U11" s="1556">
        <f t="shared" si="1"/>
        <v>100</v>
      </c>
      <c r="V11" s="1555" t="s">
        <v>11</v>
      </c>
      <c r="W11" s="1556">
        <f t="shared" si="2"/>
        <v>100</v>
      </c>
      <c r="X11" s="1557"/>
      <c r="Y11" s="3335"/>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9"/>
      <c r="Q12" s="1147">
        <f t="shared" si="6"/>
        <v>111</v>
      </c>
      <c r="R12" s="1555" t="s">
        <v>11</v>
      </c>
      <c r="S12" s="1556">
        <f t="shared" si="0"/>
        <v>100</v>
      </c>
      <c r="T12" s="1555" t="s">
        <v>11</v>
      </c>
      <c r="U12" s="1556">
        <f t="shared" si="1"/>
        <v>100</v>
      </c>
      <c r="V12" s="1555" t="s">
        <v>11</v>
      </c>
      <c r="W12" s="1556">
        <f t="shared" si="2"/>
        <v>100</v>
      </c>
      <c r="X12" s="1557"/>
      <c r="Y12" s="333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9"/>
      <c r="Q13" s="1147">
        <f t="shared" si="6"/>
        <v>111</v>
      </c>
      <c r="R13" s="1555" t="s">
        <v>11</v>
      </c>
      <c r="S13" s="1556">
        <f t="shared" si="0"/>
        <v>100</v>
      </c>
      <c r="T13" s="1555" t="s">
        <v>11</v>
      </c>
      <c r="U13" s="1556">
        <f t="shared" si="1"/>
        <v>100</v>
      </c>
      <c r="V13" s="1555" t="s">
        <v>11</v>
      </c>
      <c r="W13" s="1556">
        <f t="shared" si="2"/>
        <v>100</v>
      </c>
      <c r="X13" s="1557"/>
      <c r="Y13" s="333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9"/>
      <c r="Q14" s="1147">
        <f t="shared" si="6"/>
        <v>111</v>
      </c>
      <c r="R14" s="1555" t="s">
        <v>11</v>
      </c>
      <c r="S14" s="1556">
        <f t="shared" si="0"/>
        <v>100</v>
      </c>
      <c r="T14" s="1555" t="s">
        <v>11</v>
      </c>
      <c r="U14" s="1556">
        <f t="shared" si="1"/>
        <v>100</v>
      </c>
      <c r="V14" s="1555" t="s">
        <v>11</v>
      </c>
      <c r="W14" s="1556">
        <f t="shared" si="2"/>
        <v>100</v>
      </c>
      <c r="X14" s="1557"/>
      <c r="Y14" s="333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23" t="s">
        <v>540</v>
      </c>
      <c r="Q15" s="1559" t="str">
        <f t="shared" si="6"/>
        <v>居住社区成熟度</v>
      </c>
      <c r="R15" s="1560" t="s">
        <v>11</v>
      </c>
      <c r="S15" s="1561">
        <f t="shared" si="0"/>
        <v>100</v>
      </c>
      <c r="T15" s="1560" t="s">
        <v>11</v>
      </c>
      <c r="U15" s="1561">
        <f t="shared" si="1"/>
        <v>100</v>
      </c>
      <c r="V15" s="1560" t="s">
        <v>11</v>
      </c>
      <c r="W15" s="1561">
        <f t="shared" si="2"/>
        <v>100</v>
      </c>
      <c r="X15" s="1554"/>
      <c r="Y15" s="3423"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24"/>
      <c r="Q16" s="1559"/>
      <c r="R16" s="1560"/>
      <c r="S16" s="1561"/>
      <c r="T16" s="1560"/>
      <c r="U16" s="1561"/>
      <c r="V16" s="1560"/>
      <c r="W16" s="1561"/>
      <c r="X16" s="1554"/>
      <c r="Y16" s="342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24"/>
      <c r="Q17" s="1559" t="str">
        <f>B17</f>
        <v>交通便捷度</v>
      </c>
      <c r="R17" s="1560" t="s">
        <v>11</v>
      </c>
      <c r="S17" s="1561">
        <f>F17</f>
        <v>100</v>
      </c>
      <c r="T17" s="1560" t="s">
        <v>11</v>
      </c>
      <c r="U17" s="1561">
        <f>H17</f>
        <v>100</v>
      </c>
      <c r="V17" s="1560" t="s">
        <v>11</v>
      </c>
      <c r="W17" s="1561">
        <f>J17</f>
        <v>100</v>
      </c>
      <c r="X17" s="1554"/>
      <c r="Y17" s="3424"/>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24"/>
      <c r="Q18" s="1559"/>
      <c r="R18" s="1560"/>
      <c r="S18" s="1561"/>
      <c r="T18" s="1560"/>
      <c r="U18" s="1561"/>
      <c r="V18" s="1560"/>
      <c r="W18" s="1561"/>
      <c r="X18" s="1554"/>
      <c r="Y18" s="342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24"/>
      <c r="Q19" s="1559" t="str">
        <f>B19</f>
        <v>公共配套设施</v>
      </c>
      <c r="R19" s="1560" t="s">
        <v>11</v>
      </c>
      <c r="S19" s="1561">
        <f>F19</f>
        <v>100</v>
      </c>
      <c r="T19" s="1560" t="s">
        <v>11</v>
      </c>
      <c r="U19" s="1561">
        <f>H19</f>
        <v>100</v>
      </c>
      <c r="V19" s="1560" t="s">
        <v>11</v>
      </c>
      <c r="W19" s="1561">
        <f>J19</f>
        <v>100</v>
      </c>
      <c r="X19" s="1554"/>
      <c r="Y19" s="3424"/>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24"/>
      <c r="Q20" s="1559"/>
      <c r="R20" s="1560"/>
      <c r="S20" s="1561"/>
      <c r="T20" s="1560"/>
      <c r="U20" s="1561"/>
      <c r="V20" s="1560"/>
      <c r="W20" s="1561"/>
      <c r="X20" s="1554"/>
      <c r="Y20" s="342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24"/>
      <c r="Q21" s="2544" t="str">
        <f>B21</f>
        <v>基础设施水平</v>
      </c>
      <c r="R21" s="1560" t="s">
        <v>11</v>
      </c>
      <c r="S21" s="1561">
        <f>F21</f>
        <v>100</v>
      </c>
      <c r="T21" s="1560" t="s">
        <v>11</v>
      </c>
      <c r="U21" s="1561">
        <f>H21</f>
        <v>100</v>
      </c>
      <c r="V21" s="1560" t="s">
        <v>11</v>
      </c>
      <c r="W21" s="1561">
        <f>J21</f>
        <v>100</v>
      </c>
      <c r="X21" s="2546"/>
      <c r="Y21" s="3424"/>
      <c r="Z21" s="2545" t="str">
        <f>Q21</f>
        <v>基础设施水平</v>
      </c>
      <c r="AA21" s="1563">
        <f t="shared" ref="AA21" si="8">D21/F21</f>
        <v>1</v>
      </c>
      <c r="AB21" s="1563">
        <f t="shared" ref="AB21" si="9">D21/H21</f>
        <v>1</v>
      </c>
      <c r="AC21" s="1563">
        <f t="shared" ref="AC21" si="10">D21/J21</f>
        <v>1</v>
      </c>
    </row>
    <row r="22" spans="1:29" ht="15">
      <c r="A22" s="532"/>
      <c r="B22" s="922"/>
      <c r="C22" s="873" t="s">
        <v>3181</v>
      </c>
      <c r="D22" s="555"/>
      <c r="E22" s="576" t="s">
        <v>3181</v>
      </c>
      <c r="F22" s="557"/>
      <c r="G22" s="576" t="s">
        <v>3181</v>
      </c>
      <c r="H22" s="555"/>
      <c r="I22" s="576" t="s">
        <v>3181</v>
      </c>
      <c r="J22" s="555"/>
      <c r="K22" s="2564"/>
      <c r="L22" s="2128"/>
      <c r="M22" s="2120"/>
      <c r="N22" s="2120"/>
      <c r="O22" s="2127"/>
      <c r="P22" s="3424"/>
      <c r="Q22" s="2544"/>
      <c r="R22" s="1560"/>
      <c r="S22" s="1561"/>
      <c r="T22" s="1560"/>
      <c r="U22" s="1561"/>
      <c r="V22" s="1560"/>
      <c r="W22" s="1561"/>
      <c r="X22" s="2546"/>
      <c r="Y22" s="342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24"/>
      <c r="Q23" s="1559" t="str">
        <f>B23</f>
        <v>自然及人文环境</v>
      </c>
      <c r="R23" s="1560" t="s">
        <v>11</v>
      </c>
      <c r="S23" s="1561">
        <f>F23</f>
        <v>100</v>
      </c>
      <c r="T23" s="1560" t="s">
        <v>11</v>
      </c>
      <c r="U23" s="1561">
        <f>H23</f>
        <v>100</v>
      </c>
      <c r="V23" s="1560" t="s">
        <v>11</v>
      </c>
      <c r="W23" s="1561">
        <f>J23</f>
        <v>100</v>
      </c>
      <c r="X23" s="1554"/>
      <c r="Y23" s="3424"/>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24"/>
      <c r="Q24" s="1559"/>
      <c r="R24" s="1560"/>
      <c r="S24" s="1561"/>
      <c r="T24" s="1560"/>
      <c r="U24" s="1561"/>
      <c r="V24" s="1560"/>
      <c r="W24" s="1561"/>
      <c r="X24" s="1554"/>
      <c r="Y24" s="3424"/>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4"/>
      <c r="Q25" s="1559" t="str">
        <f t="shared" ref="Q25:Q46" si="11">B25</f>
        <v>楼层-1</v>
      </c>
      <c r="R25" s="1560" t="s">
        <v>11</v>
      </c>
      <c r="S25" s="1561">
        <f>F25</f>
        <v>100</v>
      </c>
      <c r="T25" s="1560" t="s">
        <v>11</v>
      </c>
      <c r="U25" s="1561">
        <f>H25</f>
        <v>100</v>
      </c>
      <c r="V25" s="1560" t="s">
        <v>11</v>
      </c>
      <c r="W25" s="1561">
        <f>J25</f>
        <v>100</v>
      </c>
      <c r="X25" s="1554"/>
      <c r="Y25" s="3424"/>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4"/>
      <c r="Q26" s="1559" t="str">
        <f t="shared" si="11"/>
        <v>朝向</v>
      </c>
      <c r="R26" s="1560" t="s">
        <v>11</v>
      </c>
      <c r="S26" s="1561">
        <f>F26</f>
        <v>100</v>
      </c>
      <c r="T26" s="1560" t="s">
        <v>11</v>
      </c>
      <c r="U26" s="1561">
        <f>H26</f>
        <v>100</v>
      </c>
      <c r="V26" s="1560" t="s">
        <v>11</v>
      </c>
      <c r="W26" s="1561">
        <f>J26</f>
        <v>100</v>
      </c>
      <c r="X26" s="1554"/>
      <c r="Y26" s="3424"/>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4"/>
      <c r="Q27" s="1147" t="str">
        <f t="shared" si="11"/>
        <v>道路级别</v>
      </c>
      <c r="R27" s="1555" t="s">
        <v>11</v>
      </c>
      <c r="S27" s="1556">
        <f>F27</f>
        <v>100</v>
      </c>
      <c r="T27" s="1555" t="s">
        <v>11</v>
      </c>
      <c r="U27" s="1556">
        <f>H27</f>
        <v>100</v>
      </c>
      <c r="V27" s="1555" t="s">
        <v>11</v>
      </c>
      <c r="W27" s="1556">
        <f>J27</f>
        <v>100</v>
      </c>
      <c r="X27" s="1557"/>
      <c r="Y27" s="3424"/>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4"/>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4"/>
      <c r="Q29" s="1559">
        <f t="shared" si="11"/>
        <v>111</v>
      </c>
      <c r="R29" s="1560" t="s">
        <v>11</v>
      </c>
      <c r="S29" s="1561">
        <f t="shared" si="12"/>
        <v>100</v>
      </c>
      <c r="T29" s="1560" t="s">
        <v>11</v>
      </c>
      <c r="U29" s="1561">
        <f t="shared" si="13"/>
        <v>100</v>
      </c>
      <c r="V29" s="1560" t="s">
        <v>11</v>
      </c>
      <c r="W29" s="1561">
        <f t="shared" si="14"/>
        <v>100</v>
      </c>
      <c r="X29" s="1554"/>
      <c r="Y29" s="3424"/>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4"/>
      <c r="Q30" s="1559">
        <f t="shared" si="11"/>
        <v>111</v>
      </c>
      <c r="R30" s="1560" t="s">
        <v>11</v>
      </c>
      <c r="S30" s="1561">
        <f t="shared" si="12"/>
        <v>100</v>
      </c>
      <c r="T30" s="1560" t="s">
        <v>11</v>
      </c>
      <c r="U30" s="1561">
        <f t="shared" si="13"/>
        <v>100</v>
      </c>
      <c r="V30" s="1560" t="s">
        <v>11</v>
      </c>
      <c r="W30" s="1561">
        <f t="shared" si="14"/>
        <v>100</v>
      </c>
      <c r="X30" s="1554"/>
      <c r="Y30" s="3424"/>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4"/>
      <c r="Q31" s="1559">
        <f t="shared" si="11"/>
        <v>111</v>
      </c>
      <c r="R31" s="1560" t="s">
        <v>11</v>
      </c>
      <c r="S31" s="1561">
        <f t="shared" si="12"/>
        <v>100</v>
      </c>
      <c r="T31" s="1560" t="s">
        <v>11</v>
      </c>
      <c r="U31" s="1561">
        <f t="shared" si="13"/>
        <v>100</v>
      </c>
      <c r="V31" s="1560" t="s">
        <v>11</v>
      </c>
      <c r="W31" s="1561">
        <f t="shared" si="14"/>
        <v>100</v>
      </c>
      <c r="X31" s="1554"/>
      <c r="Y31" s="3424"/>
      <c r="Z31" s="1562">
        <f t="shared" si="15"/>
        <v>111</v>
      </c>
      <c r="AA31" s="1563">
        <f t="shared" si="3"/>
        <v>1</v>
      </c>
      <c r="AB31" s="1563">
        <f t="shared" si="4"/>
        <v>1</v>
      </c>
      <c r="AC31" s="1563">
        <f t="shared" si="5"/>
        <v>1</v>
      </c>
    </row>
    <row r="32" spans="1:29" ht="15">
      <c r="A32" s="2863" t="s">
        <v>2755</v>
      </c>
      <c r="B32" s="172" t="s">
        <v>725</v>
      </c>
      <c r="C32" s="878" t="s">
        <v>3097</v>
      </c>
      <c r="D32" s="597">
        <v>100</v>
      </c>
      <c r="E32" s="879" t="s">
        <v>3097</v>
      </c>
      <c r="F32" s="575">
        <f>SUMIF(100:100,E32,101:101)-SUMIF(100:100,C32,101:101)+100</f>
        <v>100</v>
      </c>
      <c r="G32" s="878" t="s">
        <v>3097</v>
      </c>
      <c r="H32" s="597">
        <f>SUMIF(100:100,G32,101:101)-SUMIF(100:100,C32,101:101)+100</f>
        <v>100</v>
      </c>
      <c r="I32" s="879" t="s">
        <v>3097</v>
      </c>
      <c r="J32" s="540">
        <f>SUMIF(100:100,I32,101:101)-SUMIF(100:100,C32,101:101)+100</f>
        <v>100</v>
      </c>
      <c r="K32" s="864">
        <v>3</v>
      </c>
      <c r="L32" s="2128"/>
      <c r="M32" s="2120"/>
      <c r="N32" s="2120"/>
      <c r="O32" s="2127"/>
      <c r="P32" s="3425" t="s">
        <v>550</v>
      </c>
      <c r="Q32" s="1559" t="str">
        <f t="shared" si="11"/>
        <v>建筑类型</v>
      </c>
      <c r="R32" s="1560" t="s">
        <v>11</v>
      </c>
      <c r="S32" s="1561">
        <f t="shared" si="12"/>
        <v>100</v>
      </c>
      <c r="T32" s="1560" t="s">
        <v>11</v>
      </c>
      <c r="U32" s="1561">
        <f t="shared" si="13"/>
        <v>100</v>
      </c>
      <c r="V32" s="1560" t="s">
        <v>11</v>
      </c>
      <c r="W32" s="1561">
        <f t="shared" si="14"/>
        <v>100</v>
      </c>
      <c r="X32" s="1554"/>
      <c r="Y32" s="3426" t="s">
        <v>550</v>
      </c>
      <c r="Z32" s="1562" t="str">
        <f t="shared" si="15"/>
        <v>建筑类型</v>
      </c>
      <c r="AA32" s="1563">
        <f t="shared" si="3"/>
        <v>1</v>
      </c>
      <c r="AB32" s="1563">
        <f t="shared" si="4"/>
        <v>1</v>
      </c>
      <c r="AC32" s="1563">
        <f t="shared" si="5"/>
        <v>1</v>
      </c>
    </row>
    <row r="33" spans="1:29" s="1335" customFormat="1" ht="15">
      <c r="A33" s="603"/>
      <c r="B33" s="527" t="s">
        <v>726</v>
      </c>
      <c r="C33" s="880">
        <f>'数据-基础表'!B3</f>
        <v>322443.63</v>
      </c>
      <c r="D33" s="255">
        <v>100</v>
      </c>
      <c r="E33" s="534">
        <v>225504.9</v>
      </c>
      <c r="F33" s="863">
        <f>LOOKUP(E33,103:103,104:104)-LOOKUP(C33,103:103,104:104)+100</f>
        <v>100</v>
      </c>
      <c r="G33" s="533">
        <v>52428</v>
      </c>
      <c r="H33" s="255">
        <f>LOOKUP(G33,103:103,104:104)-LOOKUP(C33,103:103,104:104)+100</f>
        <v>99</v>
      </c>
      <c r="I33" s="534">
        <v>100000</v>
      </c>
      <c r="J33" s="255">
        <f>LOOKUP(I33,103:103,104:104)-LOOKUP(C33,103:103,104:104)+100</f>
        <v>99</v>
      </c>
      <c r="K33" s="865"/>
      <c r="L33" s="2126"/>
      <c r="M33" s="2157"/>
      <c r="N33" s="2157"/>
      <c r="O33" s="2129"/>
      <c r="P33" s="3426"/>
      <c r="Q33" s="1591" t="str">
        <f t="shared" si="11"/>
        <v>项目建筑规模</v>
      </c>
      <c r="R33" s="1564" t="s">
        <v>11</v>
      </c>
      <c r="S33" s="1565">
        <f t="shared" si="12"/>
        <v>100</v>
      </c>
      <c r="T33" s="1564" t="s">
        <v>11</v>
      </c>
      <c r="U33" s="1565">
        <f t="shared" si="13"/>
        <v>99</v>
      </c>
      <c r="V33" s="1564" t="s">
        <v>11</v>
      </c>
      <c r="W33" s="1565">
        <f t="shared" si="14"/>
        <v>99</v>
      </c>
      <c r="X33" s="1566"/>
      <c r="Y33" s="3426"/>
      <c r="Z33" s="1567" t="str">
        <f t="shared" si="15"/>
        <v>项目建筑规模</v>
      </c>
      <c r="AA33" s="1563">
        <f t="shared" si="3"/>
        <v>1</v>
      </c>
      <c r="AB33" s="1563">
        <f t="shared" si="4"/>
        <v>1.0101010101010102</v>
      </c>
      <c r="AC33" s="1563">
        <f t="shared" si="5"/>
        <v>1.0101010101010102</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26"/>
      <c r="Q34" s="1559" t="str">
        <f t="shared" si="11"/>
        <v>建筑结构</v>
      </c>
      <c r="R34" s="1560" t="s">
        <v>11</v>
      </c>
      <c r="S34" s="1561">
        <f t="shared" si="12"/>
        <v>100</v>
      </c>
      <c r="T34" s="1560" t="s">
        <v>11</v>
      </c>
      <c r="U34" s="1561">
        <f t="shared" si="13"/>
        <v>100</v>
      </c>
      <c r="V34" s="1560" t="s">
        <v>11</v>
      </c>
      <c r="W34" s="1561">
        <f t="shared" si="14"/>
        <v>100</v>
      </c>
      <c r="X34" s="1554"/>
      <c r="Y34" s="3426"/>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26"/>
      <c r="Q35" s="1559" t="str">
        <f t="shared" si="11"/>
        <v>建筑品质</v>
      </c>
      <c r="R35" s="1560" t="s">
        <v>11</v>
      </c>
      <c r="S35" s="1561">
        <f t="shared" si="12"/>
        <v>100</v>
      </c>
      <c r="T35" s="1560" t="s">
        <v>11</v>
      </c>
      <c r="U35" s="1561">
        <f t="shared" si="13"/>
        <v>100</v>
      </c>
      <c r="V35" s="1560" t="s">
        <v>11</v>
      </c>
      <c r="W35" s="1561">
        <f t="shared" si="14"/>
        <v>100</v>
      </c>
      <c r="X35" s="1554"/>
      <c r="Y35" s="3426"/>
      <c r="Z35" s="1562" t="str">
        <f t="shared" si="15"/>
        <v>建筑品质</v>
      </c>
      <c r="AA35" s="1563">
        <f t="shared" si="3"/>
        <v>1</v>
      </c>
      <c r="AB35" s="1563">
        <f t="shared" si="4"/>
        <v>1</v>
      </c>
      <c r="AC35" s="1563">
        <f t="shared" si="5"/>
        <v>1</v>
      </c>
    </row>
    <row r="36" spans="1:29" ht="15">
      <c r="A36" s="594"/>
      <c r="B36" s="527" t="s">
        <v>729</v>
      </c>
      <c r="C36" s="599" t="s">
        <v>3090</v>
      </c>
      <c r="D36" s="540">
        <v>100</v>
      </c>
      <c r="E36" s="874" t="s">
        <v>3090</v>
      </c>
      <c r="F36" s="575">
        <f>SUMIF(109:109,E36,110:110)-SUMIF(109:109,C36,110:110)+100</f>
        <v>100</v>
      </c>
      <c r="G36" s="599" t="s">
        <v>3090</v>
      </c>
      <c r="H36" s="540">
        <f>SUMIF(109:109,G36,110:110)-SUMIF(109:109,C36,110:110)+100</f>
        <v>100</v>
      </c>
      <c r="I36" s="874" t="s">
        <v>3090</v>
      </c>
      <c r="J36" s="540">
        <f>SUMIF(109:109,I36,110:110)-SUMIF(109:109,C36,110:110)+100</f>
        <v>100</v>
      </c>
      <c r="K36" s="864">
        <v>2</v>
      </c>
      <c r="L36" s="2128"/>
      <c r="M36" s="2120"/>
      <c r="N36" s="2120"/>
      <c r="O36" s="2127"/>
      <c r="P36" s="3426"/>
      <c r="Q36" s="1559" t="str">
        <f t="shared" si="11"/>
        <v>公共部分装修</v>
      </c>
      <c r="R36" s="1560" t="s">
        <v>11</v>
      </c>
      <c r="S36" s="1561">
        <f t="shared" si="12"/>
        <v>100</v>
      </c>
      <c r="T36" s="1560" t="s">
        <v>11</v>
      </c>
      <c r="U36" s="1561">
        <f t="shared" si="13"/>
        <v>100</v>
      </c>
      <c r="V36" s="1560" t="s">
        <v>11</v>
      </c>
      <c r="W36" s="1561">
        <f t="shared" si="14"/>
        <v>100</v>
      </c>
      <c r="X36" s="1554"/>
      <c r="Y36" s="3426"/>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26"/>
      <c r="Q37" s="1147" t="str">
        <f t="shared" si="11"/>
        <v>成新度</v>
      </c>
      <c r="R37" s="1555" t="s">
        <v>11</v>
      </c>
      <c r="S37" s="1556">
        <f t="shared" si="12"/>
        <v>100</v>
      </c>
      <c r="T37" s="1555" t="s">
        <v>11</v>
      </c>
      <c r="U37" s="1556">
        <f t="shared" si="13"/>
        <v>100</v>
      </c>
      <c r="V37" s="1555" t="s">
        <v>11</v>
      </c>
      <c r="W37" s="1556">
        <f t="shared" si="14"/>
        <v>100</v>
      </c>
      <c r="X37" s="1557"/>
      <c r="Y37" s="3426"/>
      <c r="Z37" s="1146" t="str">
        <f t="shared" si="15"/>
        <v>成新度</v>
      </c>
      <c r="AA37" s="1558">
        <f t="shared" si="3"/>
        <v>1</v>
      </c>
      <c r="AB37" s="1558">
        <f t="shared" si="4"/>
        <v>1</v>
      </c>
      <c r="AC37" s="1558">
        <f t="shared" si="5"/>
        <v>1</v>
      </c>
    </row>
    <row r="38" spans="1:29" ht="15">
      <c r="A38" s="594"/>
      <c r="B38" s="527" t="s">
        <v>731</v>
      </c>
      <c r="C38" s="599" t="s">
        <v>3092</v>
      </c>
      <c r="D38" s="540">
        <v>100</v>
      </c>
      <c r="E38" s="874" t="s">
        <v>3092</v>
      </c>
      <c r="F38" s="575">
        <f>SUMIF(114:114,E38,115:115)-SUMIF(114:114,C38,115:115)+100</f>
        <v>100</v>
      </c>
      <c r="G38" s="599" t="s">
        <v>3092</v>
      </c>
      <c r="H38" s="540">
        <f>SUMIF(114:114,G38,115:115)-SUMIF(114:114,C38,115:115)+100</f>
        <v>100</v>
      </c>
      <c r="I38" s="874" t="s">
        <v>3092</v>
      </c>
      <c r="J38" s="540">
        <f>SUMIF(114:114,I38,115:115)-SUMIF(114:114,C38,115:115)+100</f>
        <v>100</v>
      </c>
      <c r="K38" s="864">
        <v>2</v>
      </c>
      <c r="L38" s="2128"/>
      <c r="M38" s="2120"/>
      <c r="N38" s="2120"/>
      <c r="O38" s="2127"/>
      <c r="P38" s="3426" t="s">
        <v>550</v>
      </c>
      <c r="Q38" s="1559" t="str">
        <f t="shared" si="11"/>
        <v>物业管理</v>
      </c>
      <c r="R38" s="1560" t="s">
        <v>11</v>
      </c>
      <c r="S38" s="1561">
        <f t="shared" si="12"/>
        <v>100</v>
      </c>
      <c r="T38" s="1560" t="s">
        <v>11</v>
      </c>
      <c r="U38" s="1561">
        <f t="shared" si="13"/>
        <v>100</v>
      </c>
      <c r="V38" s="1560" t="s">
        <v>11</v>
      </c>
      <c r="W38" s="1561">
        <f t="shared" si="14"/>
        <v>100</v>
      </c>
      <c r="X38" s="1554"/>
      <c r="Y38" s="3426" t="s">
        <v>550</v>
      </c>
      <c r="Z38" s="1562" t="str">
        <f t="shared" si="15"/>
        <v>物业管理</v>
      </c>
      <c r="AA38" s="1563">
        <f t="shared" si="3"/>
        <v>1</v>
      </c>
      <c r="AB38" s="1563">
        <f t="shared" si="4"/>
        <v>1</v>
      </c>
      <c r="AC38" s="1563">
        <f t="shared" si="5"/>
        <v>1</v>
      </c>
    </row>
    <row r="39" spans="1:29" ht="15">
      <c r="A39" s="594"/>
      <c r="B39" s="1881" t="s">
        <v>2564</v>
      </c>
      <c r="C39" s="599" t="s">
        <v>3181</v>
      </c>
      <c r="D39" s="540">
        <v>100</v>
      </c>
      <c r="E39" s="874" t="s">
        <v>3181</v>
      </c>
      <c r="F39" s="575">
        <f>SUMIF(116:116,E39,117:117)-SUMIF(116:116,C39,117:117)+100</f>
        <v>100</v>
      </c>
      <c r="G39" s="599" t="s">
        <v>3181</v>
      </c>
      <c r="H39" s="540">
        <f>SUMIF(116:116,G39,117:117)-SUMIF(116:116,C39,117:117)+100</f>
        <v>100</v>
      </c>
      <c r="I39" s="874" t="s">
        <v>3181</v>
      </c>
      <c r="J39" s="540">
        <f>SUMIF(116:116,I39,117:117)-SUMIF(116:116,C39,117:117)+100</f>
        <v>100</v>
      </c>
      <c r="K39" s="864">
        <v>2</v>
      </c>
      <c r="L39" s="2128"/>
      <c r="M39" s="2120"/>
      <c r="N39" s="2120"/>
      <c r="O39" s="2127"/>
      <c r="P39" s="3426"/>
      <c r="Q39" s="1559" t="str">
        <f t="shared" si="11"/>
        <v>市政基础设施</v>
      </c>
      <c r="R39" s="1560" t="s">
        <v>11</v>
      </c>
      <c r="S39" s="1561">
        <f t="shared" si="12"/>
        <v>100</v>
      </c>
      <c r="T39" s="1560" t="s">
        <v>11</v>
      </c>
      <c r="U39" s="1561">
        <f t="shared" si="13"/>
        <v>100</v>
      </c>
      <c r="V39" s="1560" t="s">
        <v>11</v>
      </c>
      <c r="W39" s="1561">
        <f t="shared" si="14"/>
        <v>100</v>
      </c>
      <c r="X39" s="1554"/>
      <c r="Y39" s="342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6"/>
      <c r="Q40" s="1559" t="str">
        <f t="shared" si="11"/>
        <v>房型</v>
      </c>
      <c r="R40" s="1560" t="s">
        <v>11</v>
      </c>
      <c r="S40" s="1561">
        <f t="shared" si="12"/>
        <v>100</v>
      </c>
      <c r="T40" s="1560" t="s">
        <v>11</v>
      </c>
      <c r="U40" s="1561">
        <f t="shared" si="13"/>
        <v>100</v>
      </c>
      <c r="V40" s="1560" t="s">
        <v>11</v>
      </c>
      <c r="W40" s="1561">
        <f t="shared" si="14"/>
        <v>100</v>
      </c>
      <c r="X40" s="1554"/>
      <c r="Y40" s="342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6"/>
      <c r="Q41" s="1591" t="str">
        <f t="shared" si="11"/>
        <v>单套/主力户型建筑面积</v>
      </c>
      <c r="R41" s="1564" t="s">
        <v>11</v>
      </c>
      <c r="S41" s="1565">
        <f t="shared" si="12"/>
        <v>100</v>
      </c>
      <c r="T41" s="1564" t="s">
        <v>11</v>
      </c>
      <c r="U41" s="1565">
        <f t="shared" si="13"/>
        <v>100</v>
      </c>
      <c r="V41" s="1564" t="s">
        <v>11</v>
      </c>
      <c r="W41" s="1565">
        <f t="shared" si="14"/>
        <v>100</v>
      </c>
      <c r="X41" s="1566"/>
      <c r="Y41" s="3426"/>
      <c r="Z41" s="1567" t="str">
        <f t="shared" si="15"/>
        <v>单套/主力户型建筑面积</v>
      </c>
      <c r="AA41" s="1563">
        <f t="shared" si="3"/>
        <v>1</v>
      </c>
      <c r="AB41" s="1563">
        <f t="shared" si="4"/>
        <v>1</v>
      </c>
      <c r="AC41" s="1563">
        <f t="shared" si="5"/>
        <v>1</v>
      </c>
    </row>
    <row r="42" spans="1:29" ht="15">
      <c r="A42" s="594"/>
      <c r="B42" s="527" t="s">
        <v>734</v>
      </c>
      <c r="C42" s="599" t="s">
        <v>3095</v>
      </c>
      <c r="D42" s="540">
        <v>100</v>
      </c>
      <c r="E42" s="874" t="s">
        <v>3095</v>
      </c>
      <c r="F42" s="575">
        <f>SUMIF(122:122,E42,123:123)-SUMIF(122:122,C42,123:123)+100</f>
        <v>100</v>
      </c>
      <c r="G42" s="599" t="s">
        <v>3095</v>
      </c>
      <c r="H42" s="540">
        <f>SUMIF(122:122,G42,123:123)-SUMIF(122:122,C42,123:123)+100</f>
        <v>100</v>
      </c>
      <c r="I42" s="874" t="s">
        <v>3090</v>
      </c>
      <c r="J42" s="540">
        <f>SUMIF(122:122,I42,123:123)-SUMIF(122:122,C42,123:123)+100</f>
        <v>120</v>
      </c>
      <c r="K42" s="864">
        <v>10</v>
      </c>
      <c r="L42" s="2128"/>
      <c r="M42" s="2120"/>
      <c r="N42" s="2120"/>
      <c r="O42" s="2127"/>
      <c r="P42" s="3426"/>
      <c r="Q42" s="1559" t="str">
        <f t="shared" si="11"/>
        <v>内部装修</v>
      </c>
      <c r="R42" s="1560" t="s">
        <v>11</v>
      </c>
      <c r="S42" s="1561">
        <f t="shared" si="12"/>
        <v>100</v>
      </c>
      <c r="T42" s="1560" t="s">
        <v>11</v>
      </c>
      <c r="U42" s="1561">
        <f t="shared" si="13"/>
        <v>100</v>
      </c>
      <c r="V42" s="1560" t="s">
        <v>11</v>
      </c>
      <c r="W42" s="1561">
        <f t="shared" si="14"/>
        <v>120</v>
      </c>
      <c r="X42" s="1554"/>
      <c r="Y42" s="3426"/>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26"/>
      <c r="Q43" s="1559" t="str">
        <f t="shared" si="11"/>
        <v>内部装修维护情况</v>
      </c>
      <c r="R43" s="1560" t="s">
        <v>11</v>
      </c>
      <c r="S43" s="1561">
        <f t="shared" si="12"/>
        <v>100</v>
      </c>
      <c r="T43" s="1560" t="s">
        <v>11</v>
      </c>
      <c r="U43" s="1561">
        <f t="shared" si="13"/>
        <v>100</v>
      </c>
      <c r="V43" s="1560" t="s">
        <v>11</v>
      </c>
      <c r="W43" s="1561">
        <f t="shared" si="14"/>
        <v>100</v>
      </c>
      <c r="X43" s="1554"/>
      <c r="Y43" s="3426"/>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6"/>
      <c r="Q44" s="1147">
        <f t="shared" si="11"/>
        <v>0</v>
      </c>
      <c r="R44" s="1555" t="s">
        <v>11</v>
      </c>
      <c r="S44" s="1556">
        <f t="shared" si="12"/>
        <v>100</v>
      </c>
      <c r="T44" s="1555" t="s">
        <v>11</v>
      </c>
      <c r="U44" s="1556">
        <f t="shared" si="13"/>
        <v>100</v>
      </c>
      <c r="V44" s="1555" t="s">
        <v>11</v>
      </c>
      <c r="W44" s="1556">
        <f t="shared" si="14"/>
        <v>100</v>
      </c>
      <c r="X44" s="1557"/>
      <c r="Y44" s="3426"/>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6"/>
      <c r="Q45" s="1559">
        <f t="shared" si="11"/>
        <v>111</v>
      </c>
      <c r="R45" s="1560" t="s">
        <v>11</v>
      </c>
      <c r="S45" s="1561">
        <f t="shared" si="12"/>
        <v>100</v>
      </c>
      <c r="T45" s="1560" t="s">
        <v>11</v>
      </c>
      <c r="U45" s="1561">
        <f t="shared" si="13"/>
        <v>100</v>
      </c>
      <c r="V45" s="1560" t="s">
        <v>11</v>
      </c>
      <c r="W45" s="1561">
        <f t="shared" si="14"/>
        <v>100</v>
      </c>
      <c r="X45" s="1554"/>
      <c r="Y45" s="342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9"/>
      <c r="Q46" s="1559">
        <f t="shared" si="11"/>
        <v>111</v>
      </c>
      <c r="R46" s="1560" t="s">
        <v>10</v>
      </c>
      <c r="S46" s="1561">
        <f t="shared" si="12"/>
        <v>100</v>
      </c>
      <c r="T46" s="1560" t="s">
        <v>10</v>
      </c>
      <c r="U46" s="1561">
        <f t="shared" si="13"/>
        <v>100</v>
      </c>
      <c r="V46" s="1560" t="s">
        <v>10</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389" t="str">
        <f>A47</f>
        <v>成交单价（元/平方米）</v>
      </c>
      <c r="Q47" s="3389"/>
      <c r="R47" s="3508">
        <f>E47</f>
        <v>4200</v>
      </c>
      <c r="S47" s="3508"/>
      <c r="T47" s="3508">
        <f>G47</f>
        <v>4300</v>
      </c>
      <c r="U47" s="3508"/>
      <c r="V47" s="3508">
        <f>I47</f>
        <v>5500</v>
      </c>
      <c r="W47" s="3508"/>
      <c r="X47" s="1546"/>
      <c r="Y47" s="1568"/>
      <c r="Z47" s="1546"/>
      <c r="AA47" s="1546"/>
      <c r="AB47" s="1546"/>
      <c r="AC47" s="1546"/>
    </row>
    <row r="48" spans="1:29" ht="15.75" thickBot="1">
      <c r="A48" s="615" t="s">
        <v>2760</v>
      </c>
      <c r="B48" s="888"/>
      <c r="C48" s="2598">
        <f>R49</f>
        <v>4420</v>
      </c>
      <c r="D48" s="2599"/>
      <c r="E48" s="2600">
        <f>R48</f>
        <v>4286</v>
      </c>
      <c r="F48" s="2600"/>
      <c r="G48" s="2598">
        <f>T48</f>
        <v>4343</v>
      </c>
      <c r="H48" s="2599"/>
      <c r="I48" s="2600">
        <f>V48</f>
        <v>4630</v>
      </c>
      <c r="J48" s="2599"/>
      <c r="K48" s="1593"/>
      <c r="L48" s="2130"/>
      <c r="M48" s="2131"/>
      <c r="N48" s="2131"/>
      <c r="O48" s="2131"/>
      <c r="P48" s="3389" t="str">
        <f>A48</f>
        <v>比较价格（元/平方米）</v>
      </c>
      <c r="Q48" s="3389"/>
      <c r="R48" s="3508">
        <f>IF(F1="售价",ROUND(PRODUCT(R47,AA7:AA46),0),ROUND(PRODUCT(R47,AA7:AA46),1))</f>
        <v>4286</v>
      </c>
      <c r="S48" s="3508"/>
      <c r="T48" s="3508">
        <f>IF(F1="售价",ROUND(PRODUCT(T47,AB7:AB46),0),ROUND(PRODUCT(T47,AB7:AB46),1))</f>
        <v>4343</v>
      </c>
      <c r="U48" s="3508"/>
      <c r="V48" s="3508">
        <f>IF(F1="售价",ROUND(PRODUCT(V47,AC7:AC46),0),ROUND(PRODUCT(V47,AC7:AC46),1))</f>
        <v>4630</v>
      </c>
      <c r="W48" s="3508"/>
      <c r="X48" s="1546"/>
      <c r="Y48" s="1546"/>
      <c r="Z48" s="1546"/>
      <c r="AA48" s="1546"/>
      <c r="AB48" s="1546"/>
      <c r="AC48" s="1546"/>
    </row>
    <row r="49" spans="1:29" ht="15.75" thickBot="1">
      <c r="A49" s="621" t="s">
        <v>2937</v>
      </c>
      <c r="B49" s="622"/>
      <c r="C49" s="2601">
        <f>R49</f>
        <v>4420</v>
      </c>
      <c r="D49" s="2601"/>
      <c r="E49" s="2601"/>
      <c r="F49" s="2601"/>
      <c r="G49" s="2601"/>
      <c r="H49" s="2601"/>
      <c r="I49" s="2601"/>
      <c r="J49" s="2601"/>
      <c r="K49" s="1594"/>
      <c r="L49" s="2130"/>
      <c r="M49" s="2131"/>
      <c r="N49" s="2131"/>
      <c r="O49" s="2131"/>
      <c r="P49" s="3386" t="str">
        <f>A49</f>
        <v>估价对象XX用房的比较价格（楼面单价，元/平方米）</v>
      </c>
      <c r="Q49" s="3387"/>
      <c r="R49" s="3507">
        <f>IF(F1="售价",ROUND(AVERAGE(R48:V48),0),ROUND(AVERAGE(R48:V48),1))</f>
        <v>4420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2.0476190476190537E-2</v>
      </c>
      <c r="F52" s="627" t="str">
        <f>IF(OR(E52&gt;=0.3,E52&lt;=-0.3),"超过30%","")</f>
        <v/>
      </c>
      <c r="G52" s="626">
        <f>IF(G47&lt;G48,G48/G47-1,G47/G48-1)</f>
        <v>1.0000000000000009E-2</v>
      </c>
      <c r="H52" s="627" t="str">
        <f>IF(OR(G52&gt;=0.3,G52&lt;=-0.3),"超过30%","")</f>
        <v/>
      </c>
      <c r="I52" s="626">
        <f>IF(I47&lt;I48,I48/I47-1,I47/I48-1)</f>
        <v>0.1879049676025919</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1.3299113392440498E-2</v>
      </c>
      <c r="F53" s="627" t="str">
        <f>IF(OR(E53&gt;=0.2,E53&lt;=-0.2),"超过20%","")</f>
        <v/>
      </c>
      <c r="G53" s="626">
        <f>IF(G48&lt;I48,I48/G48-1,G48/I48-1)</f>
        <v>6.6083352521298711E-2</v>
      </c>
      <c r="H53" s="627" t="str">
        <f>IF(OR(G53&gt;=0.2,G53&lt;=-0.2),"超过20%","")</f>
        <v/>
      </c>
      <c r="I53" s="626">
        <f>IF(I48&lt;E48,E48/I48-1,I48/E48-1)</f>
        <v>8.026131591227248E-2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3098</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3088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3089</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3091</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3093</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3182</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3091</v>
      </c>
      <c r="D122" s="3186" t="s">
        <v>3094</v>
      </c>
      <c r="E122" s="3186" t="s">
        <v>3096</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5" t="s">
        <v>522</v>
      </c>
      <c r="D4" s="3396"/>
      <c r="E4" s="3431" t="s">
        <v>523</v>
      </c>
      <c r="F4" s="3432"/>
      <c r="G4" s="3395" t="s">
        <v>524</v>
      </c>
      <c r="H4" s="3396"/>
      <c r="I4" s="3395" t="s">
        <v>525</v>
      </c>
      <c r="J4" s="3396"/>
      <c r="K4" s="514" t="s">
        <v>526</v>
      </c>
      <c r="L4" s="2119"/>
      <c r="M4" s="2120"/>
      <c r="N4" s="2120"/>
      <c r="O4" s="2120"/>
      <c r="P4" s="3397" t="s">
        <v>527</v>
      </c>
      <c r="Q4" s="3398"/>
      <c r="R4" s="3403" t="s">
        <v>523</v>
      </c>
      <c r="S4" s="3404"/>
      <c r="T4" s="3403" t="s">
        <v>524</v>
      </c>
      <c r="U4" s="3404"/>
      <c r="V4" s="3390" t="s">
        <v>525</v>
      </c>
      <c r="W4" s="3390"/>
      <c r="X4" s="1554"/>
      <c r="Y4" s="3403" t="s">
        <v>527</v>
      </c>
      <c r="Z4" s="3404"/>
      <c r="AA4" s="3392" t="s">
        <v>523</v>
      </c>
      <c r="AB4" s="3390" t="s">
        <v>524</v>
      </c>
      <c r="AC4" s="3392" t="s">
        <v>525</v>
      </c>
    </row>
    <row r="5" spans="1:29" ht="15">
      <c r="A5" s="515"/>
      <c r="B5" s="516"/>
      <c r="C5" s="3411" t="s">
        <v>2931</v>
      </c>
      <c r="D5" s="3412"/>
      <c r="E5" s="3433" t="s">
        <v>2932</v>
      </c>
      <c r="F5" s="3434"/>
      <c r="G5" s="3411" t="s">
        <v>2933</v>
      </c>
      <c r="H5" s="3412"/>
      <c r="I5" s="3411" t="s">
        <v>2934</v>
      </c>
      <c r="J5" s="3412"/>
      <c r="K5" s="514"/>
      <c r="L5" s="2119"/>
      <c r="M5" s="2120"/>
      <c r="N5" s="2120"/>
      <c r="O5" s="2120"/>
      <c r="P5" s="3399"/>
      <c r="Q5" s="3400"/>
      <c r="R5" s="3405"/>
      <c r="S5" s="3406"/>
      <c r="T5" s="3405"/>
      <c r="U5" s="3406"/>
      <c r="V5" s="3390"/>
      <c r="W5" s="3390"/>
      <c r="X5" s="1554"/>
      <c r="Y5" s="3405"/>
      <c r="Z5" s="3406"/>
      <c r="AA5" s="3393"/>
      <c r="AB5" s="3390"/>
      <c r="AC5" s="3393"/>
    </row>
    <row r="6" spans="1:29" ht="15.75" thickBot="1">
      <c r="A6" s="517"/>
      <c r="B6" s="518"/>
      <c r="C6" s="3409" t="s">
        <v>2935</v>
      </c>
      <c r="D6" s="3410"/>
      <c r="E6" s="3429" t="s">
        <v>2935</v>
      </c>
      <c r="F6" s="3430"/>
      <c r="G6" s="3409" t="s">
        <v>2935</v>
      </c>
      <c r="H6" s="3410"/>
      <c r="I6" s="3409" t="s">
        <v>2935</v>
      </c>
      <c r="J6" s="3410"/>
      <c r="K6" s="514" t="s">
        <v>528</v>
      </c>
      <c r="L6" s="2119"/>
      <c r="M6" s="2120"/>
      <c r="N6" s="2120"/>
      <c r="O6" s="2120"/>
      <c r="P6" s="3401"/>
      <c r="Q6" s="3402"/>
      <c r="R6" s="3405"/>
      <c r="S6" s="3406"/>
      <c r="T6" s="3407"/>
      <c r="U6" s="3408"/>
      <c r="V6" s="3390"/>
      <c r="W6" s="3390"/>
      <c r="X6" s="1554"/>
      <c r="Y6" s="3407"/>
      <c r="Z6" s="3408"/>
      <c r="AA6" s="3394"/>
      <c r="AB6" s="3390"/>
      <c r="AC6" s="3394"/>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0" t="s">
        <v>530</v>
      </c>
      <c r="Q7" s="3422"/>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3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9"/>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9"/>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3" t="s">
        <v>540</v>
      </c>
      <c r="Q15" s="1559" t="str">
        <f t="shared" si="6"/>
        <v>商业繁华度</v>
      </c>
      <c r="R15" s="1560" t="s">
        <v>8</v>
      </c>
      <c r="S15" s="1561">
        <f t="shared" si="0"/>
        <v>100</v>
      </c>
      <c r="T15" s="1560" t="s">
        <v>8</v>
      </c>
      <c r="U15" s="1561">
        <f t="shared" si="1"/>
        <v>100</v>
      </c>
      <c r="V15" s="1560" t="s">
        <v>8</v>
      </c>
      <c r="W15" s="1561">
        <f t="shared" si="2"/>
        <v>100</v>
      </c>
      <c r="X15" s="1554"/>
      <c r="Y15" s="342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4"/>
      <c r="Q16" s="1559"/>
      <c r="R16" s="1560"/>
      <c r="S16" s="1561"/>
      <c r="T16" s="1560"/>
      <c r="U16" s="1561"/>
      <c r="V16" s="1560"/>
      <c r="W16" s="1561"/>
      <c r="X16" s="1554"/>
      <c r="Y16" s="342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4"/>
      <c r="Q17" s="1559" t="str">
        <f>B17</f>
        <v>交通便捷度</v>
      </c>
      <c r="R17" s="1560" t="s">
        <v>8</v>
      </c>
      <c r="S17" s="1561">
        <f>F17</f>
        <v>100</v>
      </c>
      <c r="T17" s="1560" t="s">
        <v>8</v>
      </c>
      <c r="U17" s="1561">
        <f>H17</f>
        <v>100</v>
      </c>
      <c r="V17" s="1560" t="s">
        <v>8</v>
      </c>
      <c r="W17" s="1561">
        <f>J17</f>
        <v>100</v>
      </c>
      <c r="X17" s="1554"/>
      <c r="Y17" s="342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4"/>
      <c r="Q18" s="1559"/>
      <c r="R18" s="1560"/>
      <c r="S18" s="1561"/>
      <c r="T18" s="1560"/>
      <c r="U18" s="1561"/>
      <c r="V18" s="1560"/>
      <c r="W18" s="1561"/>
      <c r="X18" s="1554"/>
      <c r="Y18" s="342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4"/>
      <c r="Q19" s="1559" t="str">
        <f>B19</f>
        <v>公共配套设施</v>
      </c>
      <c r="R19" s="1560" t="s">
        <v>8</v>
      </c>
      <c r="S19" s="1561">
        <f>F19</f>
        <v>100</v>
      </c>
      <c r="T19" s="1560" t="s">
        <v>8</v>
      </c>
      <c r="U19" s="1561">
        <f>H19</f>
        <v>100</v>
      </c>
      <c r="V19" s="1560" t="s">
        <v>8</v>
      </c>
      <c r="W19" s="1561">
        <f>J19</f>
        <v>100</v>
      </c>
      <c r="X19" s="1554"/>
      <c r="Y19" s="342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4"/>
      <c r="Q20" s="1559"/>
      <c r="R20" s="1560"/>
      <c r="S20" s="1561"/>
      <c r="T20" s="1560"/>
      <c r="U20" s="1561"/>
      <c r="V20" s="1560"/>
      <c r="W20" s="1561"/>
      <c r="X20" s="1554"/>
      <c r="Y20" s="342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4"/>
      <c r="Q21" s="2544" t="str">
        <f>B21</f>
        <v>基础设施水平</v>
      </c>
      <c r="R21" s="1560" t="s">
        <v>8</v>
      </c>
      <c r="S21" s="1561">
        <f>F21</f>
        <v>100</v>
      </c>
      <c r="T21" s="1560" t="s">
        <v>8</v>
      </c>
      <c r="U21" s="1561">
        <f>H21</f>
        <v>100</v>
      </c>
      <c r="V21" s="1560" t="s">
        <v>8</v>
      </c>
      <c r="W21" s="1561">
        <f>J21</f>
        <v>100</v>
      </c>
      <c r="X21" s="2546"/>
      <c r="Y21" s="342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4"/>
      <c r="Q22" s="2544"/>
      <c r="R22" s="1560"/>
      <c r="S22" s="1561"/>
      <c r="T22" s="1560"/>
      <c r="U22" s="1561"/>
      <c r="V22" s="1560"/>
      <c r="W22" s="1561"/>
      <c r="X22" s="2546"/>
      <c r="Y22" s="342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4"/>
      <c r="Q23" s="1559" t="str">
        <f>B23</f>
        <v>自然及人文环境</v>
      </c>
      <c r="R23" s="1560" t="s">
        <v>8</v>
      </c>
      <c r="S23" s="1561">
        <f>F23</f>
        <v>100</v>
      </c>
      <c r="T23" s="1560" t="s">
        <v>8</v>
      </c>
      <c r="U23" s="1561">
        <f>H23</f>
        <v>100</v>
      </c>
      <c r="V23" s="1560" t="s">
        <v>8</v>
      </c>
      <c r="W23" s="1561">
        <f>J23</f>
        <v>100</v>
      </c>
      <c r="X23" s="1554"/>
      <c r="Y23" s="342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4"/>
      <c r="Q24" s="1559"/>
      <c r="R24" s="1560"/>
      <c r="S24" s="1561"/>
      <c r="T24" s="1560"/>
      <c r="U24" s="1561"/>
      <c r="V24" s="1560"/>
      <c r="W24" s="1561"/>
      <c r="X24" s="1554"/>
      <c r="Y24" s="342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4"/>
      <c r="Q25" s="1559" t="str">
        <f t="shared" ref="Q25:Q46" si="11">B25</f>
        <v>临街状况</v>
      </c>
      <c r="R25" s="1560" t="s">
        <v>8</v>
      </c>
      <c r="S25" s="1561">
        <f>F25</f>
        <v>100</v>
      </c>
      <c r="T25" s="1560" t="s">
        <v>8</v>
      </c>
      <c r="U25" s="1561">
        <f>H25</f>
        <v>100</v>
      </c>
      <c r="V25" s="1560" t="s">
        <v>8</v>
      </c>
      <c r="W25" s="1561">
        <f>J25</f>
        <v>100</v>
      </c>
      <c r="X25" s="1554"/>
      <c r="Y25" s="342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4"/>
      <c r="Q26" s="1559" t="str">
        <f t="shared" si="11"/>
        <v>平面位置/可视性</v>
      </c>
      <c r="R26" s="1560" t="s">
        <v>8</v>
      </c>
      <c r="S26" s="1561">
        <f>F26</f>
        <v>100</v>
      </c>
      <c r="T26" s="1560" t="s">
        <v>8</v>
      </c>
      <c r="U26" s="1561">
        <f>H26</f>
        <v>100</v>
      </c>
      <c r="V26" s="1560" t="s">
        <v>8</v>
      </c>
      <c r="W26" s="1561">
        <f>J26</f>
        <v>100</v>
      </c>
      <c r="X26" s="1554"/>
      <c r="Y26" s="342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4"/>
      <c r="Q27" s="1147" t="str">
        <f t="shared" si="11"/>
        <v>人流量</v>
      </c>
      <c r="R27" s="1555" t="s">
        <v>8</v>
      </c>
      <c r="S27" s="1556">
        <f>F27</f>
        <v>100</v>
      </c>
      <c r="T27" s="1555" t="s">
        <v>8</v>
      </c>
      <c r="U27" s="1556">
        <f>H27</f>
        <v>100</v>
      </c>
      <c r="V27" s="1555" t="s">
        <v>8</v>
      </c>
      <c r="W27" s="1556">
        <f>J27</f>
        <v>100</v>
      </c>
      <c r="X27" s="1557"/>
      <c r="Y27" s="342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4"/>
      <c r="Q29" s="1559">
        <f t="shared" si="11"/>
        <v>111</v>
      </c>
      <c r="R29" s="1560" t="s">
        <v>8</v>
      </c>
      <c r="S29" s="1561">
        <f t="shared" si="12"/>
        <v>100</v>
      </c>
      <c r="T29" s="1560" t="s">
        <v>8</v>
      </c>
      <c r="U29" s="1561">
        <f t="shared" si="13"/>
        <v>100</v>
      </c>
      <c r="V29" s="1560" t="s">
        <v>8</v>
      </c>
      <c r="W29" s="1561">
        <f t="shared" si="14"/>
        <v>100</v>
      </c>
      <c r="X29" s="1554"/>
      <c r="Y29" s="342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4"/>
      <c r="Q30" s="1559">
        <f t="shared" si="11"/>
        <v>111</v>
      </c>
      <c r="R30" s="1560" t="s">
        <v>8</v>
      </c>
      <c r="S30" s="1561">
        <f t="shared" si="12"/>
        <v>100</v>
      </c>
      <c r="T30" s="1560" t="s">
        <v>8</v>
      </c>
      <c r="U30" s="1561">
        <f t="shared" si="13"/>
        <v>100</v>
      </c>
      <c r="V30" s="1560" t="s">
        <v>8</v>
      </c>
      <c r="W30" s="1561">
        <f t="shared" si="14"/>
        <v>100</v>
      </c>
      <c r="X30" s="1554"/>
      <c r="Y30" s="342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4"/>
      <c r="Q31" s="1559">
        <f t="shared" si="11"/>
        <v>111</v>
      </c>
      <c r="R31" s="1560" t="s">
        <v>8</v>
      </c>
      <c r="S31" s="1561">
        <f t="shared" si="12"/>
        <v>100</v>
      </c>
      <c r="T31" s="1560" t="s">
        <v>8</v>
      </c>
      <c r="U31" s="1561">
        <f t="shared" si="13"/>
        <v>100</v>
      </c>
      <c r="V31" s="1560" t="s">
        <v>8</v>
      </c>
      <c r="W31" s="1561">
        <f t="shared" si="14"/>
        <v>100</v>
      </c>
      <c r="X31" s="1554"/>
      <c r="Y31" s="342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5" t="s">
        <v>550</v>
      </c>
      <c r="Q32" s="1559" t="str">
        <f t="shared" si="11"/>
        <v>商业类型</v>
      </c>
      <c r="R32" s="1560" t="s">
        <v>8</v>
      </c>
      <c r="S32" s="1561">
        <f t="shared" si="12"/>
        <v>100</v>
      </c>
      <c r="T32" s="1560" t="s">
        <v>8</v>
      </c>
      <c r="U32" s="1561">
        <f t="shared" si="13"/>
        <v>100</v>
      </c>
      <c r="V32" s="1560" t="s">
        <v>8</v>
      </c>
      <c r="W32" s="1561">
        <f t="shared" si="14"/>
        <v>100</v>
      </c>
      <c r="X32" s="1554"/>
      <c r="Y32" s="342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6"/>
      <c r="Q33" s="1591" t="str">
        <f t="shared" si="11"/>
        <v>项目建筑规模</v>
      </c>
      <c r="R33" s="1564" t="s">
        <v>8</v>
      </c>
      <c r="S33" s="1565" t="e">
        <f t="shared" si="12"/>
        <v>#N/A</v>
      </c>
      <c r="T33" s="1564" t="s">
        <v>8</v>
      </c>
      <c r="U33" s="1565" t="e">
        <f t="shared" si="13"/>
        <v>#N/A</v>
      </c>
      <c r="V33" s="1564" t="s">
        <v>8</v>
      </c>
      <c r="W33" s="1565" t="e">
        <f t="shared" si="14"/>
        <v>#N/A</v>
      </c>
      <c r="X33" s="1566"/>
      <c r="Y33" s="342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6"/>
      <c r="Q34" s="1559" t="str">
        <f t="shared" si="11"/>
        <v>建筑结构</v>
      </c>
      <c r="R34" s="1560" t="s">
        <v>8</v>
      </c>
      <c r="S34" s="1561">
        <f t="shared" si="12"/>
        <v>100</v>
      </c>
      <c r="T34" s="1560" t="s">
        <v>8</v>
      </c>
      <c r="U34" s="1561">
        <f t="shared" si="13"/>
        <v>100</v>
      </c>
      <c r="V34" s="1560" t="s">
        <v>8</v>
      </c>
      <c r="W34" s="1561">
        <f t="shared" si="14"/>
        <v>100</v>
      </c>
      <c r="X34" s="1554"/>
      <c r="Y34" s="342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6"/>
      <c r="Q35" s="1559" t="str">
        <f t="shared" si="11"/>
        <v>公共部分装修</v>
      </c>
      <c r="R35" s="1560" t="s">
        <v>8</v>
      </c>
      <c r="S35" s="1561">
        <f t="shared" si="12"/>
        <v>100</v>
      </c>
      <c r="T35" s="1560" t="s">
        <v>8</v>
      </c>
      <c r="U35" s="1561">
        <f t="shared" si="13"/>
        <v>100</v>
      </c>
      <c r="V35" s="1560" t="s">
        <v>8</v>
      </c>
      <c r="W35" s="1561">
        <f t="shared" si="14"/>
        <v>100</v>
      </c>
      <c r="X35" s="1554"/>
      <c r="Y35" s="342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6"/>
      <c r="Q36" s="1559" t="str">
        <f t="shared" si="11"/>
        <v>成新度</v>
      </c>
      <c r="R36" s="1560" t="s">
        <v>8</v>
      </c>
      <c r="S36" s="1561" t="e">
        <f t="shared" si="12"/>
        <v>#N/A</v>
      </c>
      <c r="T36" s="1560" t="s">
        <v>8</v>
      </c>
      <c r="U36" s="1561" t="e">
        <f t="shared" si="13"/>
        <v>#N/A</v>
      </c>
      <c r="V36" s="1560" t="s">
        <v>8</v>
      </c>
      <c r="W36" s="1561" t="e">
        <f t="shared" si="14"/>
        <v>#N/A</v>
      </c>
      <c r="X36" s="1554"/>
      <c r="Y36" s="342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6"/>
      <c r="Q37" s="1147" t="str">
        <f t="shared" si="11"/>
        <v>市政基础设施</v>
      </c>
      <c r="R37" s="1555" t="s">
        <v>8</v>
      </c>
      <c r="S37" s="1556">
        <f t="shared" si="12"/>
        <v>100</v>
      </c>
      <c r="T37" s="1555" t="s">
        <v>8</v>
      </c>
      <c r="U37" s="1556">
        <f t="shared" si="13"/>
        <v>100</v>
      </c>
      <c r="V37" s="1555" t="s">
        <v>8</v>
      </c>
      <c r="W37" s="1556">
        <f t="shared" si="14"/>
        <v>100</v>
      </c>
      <c r="X37" s="1557"/>
      <c r="Y37" s="342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6" t="s">
        <v>766</v>
      </c>
      <c r="Q38" s="1559" t="str">
        <f t="shared" si="11"/>
        <v>业态</v>
      </c>
      <c r="R38" s="1560" t="s">
        <v>8</v>
      </c>
      <c r="S38" s="1561">
        <f t="shared" si="12"/>
        <v>100</v>
      </c>
      <c r="T38" s="1560" t="s">
        <v>8</v>
      </c>
      <c r="U38" s="1561">
        <f t="shared" si="13"/>
        <v>100</v>
      </c>
      <c r="V38" s="1560" t="s">
        <v>8</v>
      </c>
      <c r="W38" s="1561">
        <f t="shared" si="14"/>
        <v>100</v>
      </c>
      <c r="X38" s="1554"/>
      <c r="Y38" s="342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6"/>
      <c r="Q39" s="1559" t="str">
        <f t="shared" si="11"/>
        <v>层高</v>
      </c>
      <c r="R39" s="1560" t="s">
        <v>8</v>
      </c>
      <c r="S39" s="1561">
        <f t="shared" si="12"/>
        <v>100</v>
      </c>
      <c r="T39" s="1560" t="s">
        <v>8</v>
      </c>
      <c r="U39" s="1561">
        <f t="shared" si="13"/>
        <v>100</v>
      </c>
      <c r="V39" s="1560" t="s">
        <v>8</v>
      </c>
      <c r="W39" s="1561">
        <f t="shared" si="14"/>
        <v>100</v>
      </c>
      <c r="X39" s="1554"/>
      <c r="Y39" s="342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6"/>
      <c r="Q40" s="1559" t="str">
        <f t="shared" si="11"/>
        <v>单套建筑面积</v>
      </c>
      <c r="R40" s="1560" t="s">
        <v>8</v>
      </c>
      <c r="S40" s="1561">
        <f t="shared" si="12"/>
        <v>100</v>
      </c>
      <c r="T40" s="1560" t="s">
        <v>8</v>
      </c>
      <c r="U40" s="1561">
        <f t="shared" si="13"/>
        <v>100</v>
      </c>
      <c r="V40" s="1560" t="s">
        <v>8</v>
      </c>
      <c r="W40" s="1561">
        <f t="shared" si="14"/>
        <v>100</v>
      </c>
      <c r="X40" s="1554"/>
      <c r="Y40" s="342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6"/>
      <c r="Q41" s="1591" t="str">
        <f t="shared" si="11"/>
        <v>进深比</v>
      </c>
      <c r="R41" s="1564" t="s">
        <v>8</v>
      </c>
      <c r="S41" s="1565">
        <f t="shared" si="12"/>
        <v>100</v>
      </c>
      <c r="T41" s="1564" t="s">
        <v>8</v>
      </c>
      <c r="U41" s="1565">
        <f t="shared" si="13"/>
        <v>100</v>
      </c>
      <c r="V41" s="1564" t="s">
        <v>8</v>
      </c>
      <c r="W41" s="1565">
        <f t="shared" si="14"/>
        <v>100</v>
      </c>
      <c r="X41" s="1566"/>
      <c r="Y41" s="342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6"/>
      <c r="Q42" s="1559" t="str">
        <f t="shared" si="11"/>
        <v>内部装修</v>
      </c>
      <c r="R42" s="1560" t="s">
        <v>8</v>
      </c>
      <c r="S42" s="1561">
        <f t="shared" si="12"/>
        <v>100</v>
      </c>
      <c r="T42" s="1560" t="s">
        <v>8</v>
      </c>
      <c r="U42" s="1561">
        <f t="shared" si="13"/>
        <v>100</v>
      </c>
      <c r="V42" s="1560" t="s">
        <v>8</v>
      </c>
      <c r="W42" s="1561">
        <f t="shared" si="14"/>
        <v>100</v>
      </c>
      <c r="X42" s="1554"/>
      <c r="Y42" s="342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6"/>
      <c r="Q43" s="1559" t="str">
        <f t="shared" si="11"/>
        <v>内部装修维护情况</v>
      </c>
      <c r="R43" s="1560" t="s">
        <v>8</v>
      </c>
      <c r="S43" s="1561">
        <f t="shared" si="12"/>
        <v>100</v>
      </c>
      <c r="T43" s="1560" t="s">
        <v>8</v>
      </c>
      <c r="U43" s="1561">
        <f t="shared" si="13"/>
        <v>100</v>
      </c>
      <c r="V43" s="1560" t="s">
        <v>8</v>
      </c>
      <c r="W43" s="1561">
        <f t="shared" si="14"/>
        <v>100</v>
      </c>
      <c r="X43" s="1554"/>
      <c r="Y43" s="342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6"/>
      <c r="Q44" s="1147">
        <f t="shared" si="11"/>
        <v>111</v>
      </c>
      <c r="R44" s="1555" t="s">
        <v>8</v>
      </c>
      <c r="S44" s="1556">
        <f t="shared" si="12"/>
        <v>100</v>
      </c>
      <c r="T44" s="1555" t="s">
        <v>8</v>
      </c>
      <c r="U44" s="1556">
        <f t="shared" si="13"/>
        <v>100</v>
      </c>
      <c r="V44" s="1555" t="s">
        <v>8</v>
      </c>
      <c r="W44" s="1556">
        <f t="shared" si="14"/>
        <v>100</v>
      </c>
      <c r="X44" s="1557"/>
      <c r="Y44" s="342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6"/>
      <c r="Q45" s="1559">
        <f t="shared" si="11"/>
        <v>111</v>
      </c>
      <c r="R45" s="1560" t="s">
        <v>8</v>
      </c>
      <c r="S45" s="1561">
        <f t="shared" si="12"/>
        <v>100</v>
      </c>
      <c r="T45" s="1560" t="s">
        <v>8</v>
      </c>
      <c r="U45" s="1561">
        <f t="shared" si="13"/>
        <v>100</v>
      </c>
      <c r="V45" s="1560" t="s">
        <v>8</v>
      </c>
      <c r="W45" s="1561">
        <f t="shared" si="14"/>
        <v>100</v>
      </c>
      <c r="X45" s="1554"/>
      <c r="Y45" s="342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9"/>
      <c r="Q46" s="1559">
        <f t="shared" si="11"/>
        <v>111</v>
      </c>
      <c r="R46" s="1560" t="s">
        <v>8</v>
      </c>
      <c r="S46" s="1561">
        <f t="shared" si="12"/>
        <v>100</v>
      </c>
      <c r="T46" s="1560" t="s">
        <v>8</v>
      </c>
      <c r="U46" s="1561">
        <f t="shared" si="13"/>
        <v>100</v>
      </c>
      <c r="V46" s="1560" t="s">
        <v>8</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9" t="str">
        <f>A47</f>
        <v>成交单价（元/平方米）</v>
      </c>
      <c r="Q47" s="3389"/>
      <c r="R47" s="3508">
        <f>E47</f>
        <v>0</v>
      </c>
      <c r="S47" s="3508"/>
      <c r="T47" s="3508">
        <f>G47</f>
        <v>0</v>
      </c>
      <c r="U47" s="3508"/>
      <c r="V47" s="3508">
        <f>I47</f>
        <v>0</v>
      </c>
      <c r="W47" s="350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89" t="str">
        <f>A48</f>
        <v>比较价格（元/平方米）</v>
      </c>
      <c r="Q48" s="3389"/>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86" t="str">
        <f>A49</f>
        <v>估价对象XX用房的比较价格（楼面单价，元/平方米）</v>
      </c>
      <c r="Q49" s="3387"/>
      <c r="R49" s="3507" t="e">
        <f>IF(F1="售价",ROUND(AVERAGE(R48:V48),0),ROUND(AVERAGE(R48:V48),1))</f>
        <v>#DIV/0!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5" t="s">
        <v>522</v>
      </c>
      <c r="D4" s="3396"/>
      <c r="E4" s="3431" t="s">
        <v>523</v>
      </c>
      <c r="F4" s="3432"/>
      <c r="G4" s="3395" t="s">
        <v>524</v>
      </c>
      <c r="H4" s="3396"/>
      <c r="I4" s="3395" t="s">
        <v>525</v>
      </c>
      <c r="J4" s="3396"/>
      <c r="K4" s="514" t="s">
        <v>526</v>
      </c>
      <c r="L4" s="2119"/>
      <c r="M4" s="2120"/>
      <c r="N4" s="2120"/>
      <c r="O4" s="2120"/>
      <c r="P4" s="3513" t="s">
        <v>527</v>
      </c>
      <c r="Q4" s="3398"/>
      <c r="R4" s="3403" t="s">
        <v>523</v>
      </c>
      <c r="S4" s="3404"/>
      <c r="T4" s="3403" t="s">
        <v>524</v>
      </c>
      <c r="U4" s="3404"/>
      <c r="V4" s="3390" t="s">
        <v>525</v>
      </c>
      <c r="W4" s="3390"/>
      <c r="X4" s="1554"/>
      <c r="Y4" s="3403" t="s">
        <v>527</v>
      </c>
      <c r="Z4" s="3404"/>
      <c r="AA4" s="3392" t="s">
        <v>523</v>
      </c>
      <c r="AB4" s="3392" t="s">
        <v>524</v>
      </c>
      <c r="AC4" s="3392" t="s">
        <v>525</v>
      </c>
    </row>
    <row r="5" spans="1:29" ht="15">
      <c r="A5" s="515"/>
      <c r="B5" s="516"/>
      <c r="C5" s="3411" t="s">
        <v>2931</v>
      </c>
      <c r="D5" s="3412"/>
      <c r="E5" s="3433" t="s">
        <v>2932</v>
      </c>
      <c r="F5" s="3434"/>
      <c r="G5" s="3411" t="s">
        <v>2933</v>
      </c>
      <c r="H5" s="3412"/>
      <c r="I5" s="3411" t="s">
        <v>2934</v>
      </c>
      <c r="J5" s="3412"/>
      <c r="K5" s="514"/>
      <c r="L5" s="2119"/>
      <c r="M5" s="2120"/>
      <c r="N5" s="2120"/>
      <c r="O5" s="2120"/>
      <c r="P5" s="3514"/>
      <c r="Q5" s="3400"/>
      <c r="R5" s="3405"/>
      <c r="S5" s="3406"/>
      <c r="T5" s="3405"/>
      <c r="U5" s="3406"/>
      <c r="V5" s="3390"/>
      <c r="W5" s="3390"/>
      <c r="X5" s="1554"/>
      <c r="Y5" s="3405"/>
      <c r="Z5" s="3406"/>
      <c r="AA5" s="3393"/>
      <c r="AB5" s="3393"/>
      <c r="AC5" s="3393"/>
    </row>
    <row r="6" spans="1:29" ht="15.75" thickBot="1">
      <c r="A6" s="517"/>
      <c r="B6" s="518"/>
      <c r="C6" s="3409" t="s">
        <v>2935</v>
      </c>
      <c r="D6" s="3410"/>
      <c r="E6" s="3429" t="s">
        <v>2935</v>
      </c>
      <c r="F6" s="3430"/>
      <c r="G6" s="3409" t="s">
        <v>2935</v>
      </c>
      <c r="H6" s="3410"/>
      <c r="I6" s="3409" t="s">
        <v>2935</v>
      </c>
      <c r="J6" s="3410"/>
      <c r="K6" s="514" t="s">
        <v>528</v>
      </c>
      <c r="L6" s="2119"/>
      <c r="M6" s="2120"/>
      <c r="N6" s="2120"/>
      <c r="O6" s="2120"/>
      <c r="P6" s="3515"/>
      <c r="Q6" s="3402"/>
      <c r="R6" s="3405"/>
      <c r="S6" s="3406"/>
      <c r="T6" s="3407"/>
      <c r="U6" s="3408"/>
      <c r="V6" s="3390"/>
      <c r="W6" s="3390"/>
      <c r="X6" s="1554"/>
      <c r="Y6" s="3407"/>
      <c r="Z6" s="3408"/>
      <c r="AA6" s="3394"/>
      <c r="AB6" s="3394"/>
      <c r="AC6" s="3394"/>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2" t="s">
        <v>530</v>
      </c>
      <c r="Q7" s="3422"/>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2" t="s">
        <v>533</v>
      </c>
      <c r="Q8" s="3421"/>
      <c r="R8" s="1555" t="s">
        <v>8</v>
      </c>
      <c r="S8" s="1556">
        <f t="shared" si="0"/>
        <v>0</v>
      </c>
      <c r="T8" s="1555" t="s">
        <v>8</v>
      </c>
      <c r="U8" s="1556">
        <f t="shared" si="1"/>
        <v>0</v>
      </c>
      <c r="V8" s="1555" t="s">
        <v>8</v>
      </c>
      <c r="W8" s="1556">
        <f t="shared" si="2"/>
        <v>0</v>
      </c>
      <c r="X8" s="1557"/>
      <c r="Y8" s="3420" t="s">
        <v>533</v>
      </c>
      <c r="Z8" s="342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9" t="s">
        <v>535</v>
      </c>
      <c r="Q9" s="1147" t="str">
        <f t="shared" ref="Q9:Q15" si="6">B9</f>
        <v>用途</v>
      </c>
      <c r="R9" s="1555" t="s">
        <v>8</v>
      </c>
      <c r="S9" s="1556">
        <f t="shared" si="0"/>
        <v>100</v>
      </c>
      <c r="T9" s="1555" t="s">
        <v>8</v>
      </c>
      <c r="U9" s="1556">
        <f t="shared" si="1"/>
        <v>100</v>
      </c>
      <c r="V9" s="1555" t="s">
        <v>8</v>
      </c>
      <c r="W9" s="1556">
        <f t="shared" si="2"/>
        <v>100</v>
      </c>
      <c r="X9" s="1557"/>
      <c r="Y9" s="333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9"/>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9"/>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9"/>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9"/>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3" t="s">
        <v>540</v>
      </c>
      <c r="Q15" s="1559" t="str">
        <f t="shared" si="6"/>
        <v>办公集聚程度</v>
      </c>
      <c r="R15" s="1560" t="s">
        <v>8</v>
      </c>
      <c r="S15" s="1561">
        <f t="shared" si="0"/>
        <v>100</v>
      </c>
      <c r="T15" s="1560" t="s">
        <v>8</v>
      </c>
      <c r="U15" s="1561">
        <f t="shared" si="1"/>
        <v>100</v>
      </c>
      <c r="V15" s="1560" t="s">
        <v>8</v>
      </c>
      <c r="W15" s="1561">
        <f t="shared" si="2"/>
        <v>100</v>
      </c>
      <c r="X15" s="1554"/>
      <c r="Y15" s="342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4"/>
      <c r="Q16" s="1559"/>
      <c r="R16" s="1560"/>
      <c r="S16" s="1561"/>
      <c r="T16" s="1560"/>
      <c r="U16" s="1561"/>
      <c r="V16" s="1560"/>
      <c r="W16" s="1561"/>
      <c r="X16" s="1554"/>
      <c r="Y16" s="342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4"/>
      <c r="Q17" s="1559" t="str">
        <f>B17</f>
        <v>交通便捷度</v>
      </c>
      <c r="R17" s="1560" t="s">
        <v>8</v>
      </c>
      <c r="S17" s="1561">
        <f>F17</f>
        <v>100</v>
      </c>
      <c r="T17" s="1560" t="s">
        <v>8</v>
      </c>
      <c r="U17" s="1561">
        <f>H17</f>
        <v>100</v>
      </c>
      <c r="V17" s="1560" t="s">
        <v>8</v>
      </c>
      <c r="W17" s="1561">
        <f>J17</f>
        <v>100</v>
      </c>
      <c r="X17" s="1554"/>
      <c r="Y17" s="342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4"/>
      <c r="Q18" s="1559"/>
      <c r="R18" s="1560"/>
      <c r="S18" s="1561"/>
      <c r="T18" s="1560"/>
      <c r="U18" s="1561"/>
      <c r="V18" s="1560"/>
      <c r="W18" s="1561"/>
      <c r="X18" s="1554"/>
      <c r="Y18" s="342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4"/>
      <c r="Q19" s="1559" t="str">
        <f>B19</f>
        <v>公共配套设施</v>
      </c>
      <c r="R19" s="1560" t="s">
        <v>8</v>
      </c>
      <c r="S19" s="1561">
        <f>F19</f>
        <v>100</v>
      </c>
      <c r="T19" s="1560" t="s">
        <v>8</v>
      </c>
      <c r="U19" s="1561">
        <f>H19</f>
        <v>100</v>
      </c>
      <c r="V19" s="1560" t="s">
        <v>8</v>
      </c>
      <c r="W19" s="1561">
        <f>J19</f>
        <v>100</v>
      </c>
      <c r="X19" s="1554"/>
      <c r="Y19" s="342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4"/>
      <c r="Q20" s="1559"/>
      <c r="R20" s="1560"/>
      <c r="S20" s="1561"/>
      <c r="T20" s="1560"/>
      <c r="U20" s="1561"/>
      <c r="V20" s="1560"/>
      <c r="W20" s="1561"/>
      <c r="X20" s="1554"/>
      <c r="Y20" s="342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4"/>
      <c r="Q21" s="2544" t="str">
        <f>B21</f>
        <v>基础设施水平</v>
      </c>
      <c r="R21" s="1560" t="s">
        <v>8</v>
      </c>
      <c r="S21" s="1561">
        <f>F21</f>
        <v>100</v>
      </c>
      <c r="T21" s="1560" t="s">
        <v>8</v>
      </c>
      <c r="U21" s="1561">
        <f>H21</f>
        <v>100</v>
      </c>
      <c r="V21" s="1560" t="s">
        <v>8</v>
      </c>
      <c r="W21" s="1561">
        <f>J21</f>
        <v>100</v>
      </c>
      <c r="X21" s="2546"/>
      <c r="Y21" s="342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4"/>
      <c r="Q22" s="2544"/>
      <c r="R22" s="1560"/>
      <c r="S22" s="1561"/>
      <c r="T22" s="1560"/>
      <c r="U22" s="1561"/>
      <c r="V22" s="1560"/>
      <c r="W22" s="1561"/>
      <c r="X22" s="2546"/>
      <c r="Y22" s="342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4"/>
      <c r="Q23" s="1559" t="str">
        <f>B23</f>
        <v>环境质量</v>
      </c>
      <c r="R23" s="1560" t="s">
        <v>8</v>
      </c>
      <c r="S23" s="1561">
        <f>F23</f>
        <v>100</v>
      </c>
      <c r="T23" s="1560" t="s">
        <v>8</v>
      </c>
      <c r="U23" s="1561">
        <f>H23</f>
        <v>100</v>
      </c>
      <c r="V23" s="1560" t="s">
        <v>8</v>
      </c>
      <c r="W23" s="1561">
        <f>J23</f>
        <v>100</v>
      </c>
      <c r="X23" s="1554"/>
      <c r="Y23" s="342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4"/>
      <c r="Q24" s="1559"/>
      <c r="R24" s="1560"/>
      <c r="S24" s="1561"/>
      <c r="T24" s="1560"/>
      <c r="U24" s="1561"/>
      <c r="V24" s="1560"/>
      <c r="W24" s="1561"/>
      <c r="X24" s="1554"/>
      <c r="Y24" s="342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4"/>
      <c r="Q25" s="1559" t="str">
        <f>B25</f>
        <v>毗邻道路的类型与等级</v>
      </c>
      <c r="R25" s="1560" t="s">
        <v>8</v>
      </c>
      <c r="S25" s="1561">
        <f>F25</f>
        <v>100</v>
      </c>
      <c r="T25" s="1560" t="s">
        <v>8</v>
      </c>
      <c r="U25" s="1561">
        <f>H25</f>
        <v>100</v>
      </c>
      <c r="V25" s="1560" t="s">
        <v>8</v>
      </c>
      <c r="W25" s="1561">
        <f>J25</f>
        <v>100</v>
      </c>
      <c r="X25" s="1554"/>
      <c r="Y25" s="342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4"/>
      <c r="Q26" s="1559"/>
      <c r="R26" s="1560"/>
      <c r="S26" s="1561"/>
      <c r="T26" s="1560"/>
      <c r="U26" s="1561"/>
      <c r="V26" s="1560"/>
      <c r="W26" s="1561"/>
      <c r="X26" s="1554"/>
      <c r="Y26" s="342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4"/>
      <c r="Q27" s="1559" t="str">
        <f t="shared" ref="Q27:Q47" si="11">B27</f>
        <v>楼层</v>
      </c>
      <c r="R27" s="1560" t="s">
        <v>8</v>
      </c>
      <c r="S27" s="1561">
        <f>F27</f>
        <v>100</v>
      </c>
      <c r="T27" s="1560" t="s">
        <v>8</v>
      </c>
      <c r="U27" s="1561">
        <f>H27</f>
        <v>100</v>
      </c>
      <c r="V27" s="1560" t="s">
        <v>8</v>
      </c>
      <c r="W27" s="1561">
        <f>J27</f>
        <v>100</v>
      </c>
      <c r="X27" s="1554"/>
      <c r="Y27" s="342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4"/>
      <c r="Q28" s="1147" t="str">
        <f t="shared" si="11"/>
        <v>朝向</v>
      </c>
      <c r="R28" s="1555" t="s">
        <v>8</v>
      </c>
      <c r="S28" s="1556">
        <f>F28</f>
        <v>100</v>
      </c>
      <c r="T28" s="1555" t="s">
        <v>8</v>
      </c>
      <c r="U28" s="1556">
        <f>H28</f>
        <v>100</v>
      </c>
      <c r="V28" s="1555" t="s">
        <v>8</v>
      </c>
      <c r="W28" s="1556">
        <f>J28</f>
        <v>100</v>
      </c>
      <c r="X28" s="1557"/>
      <c r="Y28" s="342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4"/>
      <c r="Q29" s="1559">
        <f t="shared" si="11"/>
        <v>111</v>
      </c>
      <c r="R29" s="1560" t="s">
        <v>8</v>
      </c>
      <c r="S29" s="1561">
        <f t="shared" ref="S29:S47" si="12">F29</f>
        <v>100</v>
      </c>
      <c r="T29" s="1560" t="s">
        <v>8</v>
      </c>
      <c r="U29" s="1561">
        <f t="shared" ref="U29:U47" si="13">H29</f>
        <v>100</v>
      </c>
      <c r="V29" s="1560" t="s">
        <v>8</v>
      </c>
      <c r="W29" s="1561">
        <f t="shared" ref="W29:W47" si="14">J29</f>
        <v>100</v>
      </c>
      <c r="X29" s="1554"/>
      <c r="Y29" s="342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4"/>
      <c r="Q30" s="1559">
        <f t="shared" si="11"/>
        <v>111</v>
      </c>
      <c r="R30" s="1560" t="s">
        <v>8</v>
      </c>
      <c r="S30" s="1561">
        <f t="shared" si="12"/>
        <v>100</v>
      </c>
      <c r="T30" s="1560" t="s">
        <v>8</v>
      </c>
      <c r="U30" s="1561">
        <f t="shared" si="13"/>
        <v>100</v>
      </c>
      <c r="V30" s="1560" t="s">
        <v>8</v>
      </c>
      <c r="W30" s="1561">
        <f t="shared" si="14"/>
        <v>100</v>
      </c>
      <c r="X30" s="1554"/>
      <c r="Y30" s="342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4"/>
      <c r="Q31" s="1559">
        <f t="shared" si="11"/>
        <v>111</v>
      </c>
      <c r="R31" s="1560" t="s">
        <v>8</v>
      </c>
      <c r="S31" s="1561">
        <f t="shared" si="12"/>
        <v>100</v>
      </c>
      <c r="T31" s="1560" t="s">
        <v>8</v>
      </c>
      <c r="U31" s="1561">
        <f t="shared" si="13"/>
        <v>100</v>
      </c>
      <c r="V31" s="1560" t="s">
        <v>8</v>
      </c>
      <c r="W31" s="1561">
        <f t="shared" si="14"/>
        <v>100</v>
      </c>
      <c r="X31" s="1554"/>
      <c r="Y31" s="342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4"/>
      <c r="Q32" s="1559">
        <f t="shared" si="11"/>
        <v>111</v>
      </c>
      <c r="R32" s="1560" t="s">
        <v>8</v>
      </c>
      <c r="S32" s="1561">
        <f t="shared" si="12"/>
        <v>100</v>
      </c>
      <c r="T32" s="1560" t="s">
        <v>8</v>
      </c>
      <c r="U32" s="1561">
        <f t="shared" si="13"/>
        <v>100</v>
      </c>
      <c r="V32" s="1560" t="s">
        <v>8</v>
      </c>
      <c r="W32" s="1561">
        <f t="shared" si="14"/>
        <v>100</v>
      </c>
      <c r="X32" s="1554"/>
      <c r="Y32" s="342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5" t="s">
        <v>550</v>
      </c>
      <c r="Q33" s="1559" t="str">
        <f t="shared" si="11"/>
        <v>建筑类型</v>
      </c>
      <c r="R33" s="1560" t="s">
        <v>8</v>
      </c>
      <c r="S33" s="1561">
        <f t="shared" si="12"/>
        <v>100</v>
      </c>
      <c r="T33" s="1560" t="s">
        <v>8</v>
      </c>
      <c r="U33" s="1561">
        <f t="shared" si="13"/>
        <v>100</v>
      </c>
      <c r="V33" s="1560" t="s">
        <v>8</v>
      </c>
      <c r="W33" s="1561">
        <f t="shared" si="14"/>
        <v>100</v>
      </c>
      <c r="X33" s="1554"/>
      <c r="Y33" s="342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6"/>
      <c r="Q34" s="1591" t="str">
        <f t="shared" si="11"/>
        <v>项目建筑规模</v>
      </c>
      <c r="R34" s="1564" t="s">
        <v>8</v>
      </c>
      <c r="S34" s="1565" t="e">
        <f t="shared" si="12"/>
        <v>#N/A</v>
      </c>
      <c r="T34" s="1564" t="s">
        <v>8</v>
      </c>
      <c r="U34" s="1565" t="e">
        <f t="shared" si="13"/>
        <v>#N/A</v>
      </c>
      <c r="V34" s="1564" t="s">
        <v>8</v>
      </c>
      <c r="W34" s="1565" t="e">
        <f t="shared" si="14"/>
        <v>#N/A</v>
      </c>
      <c r="X34" s="1566"/>
      <c r="Y34" s="342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6"/>
      <c r="Q35" s="1559" t="str">
        <f t="shared" si="11"/>
        <v>建筑结构</v>
      </c>
      <c r="R35" s="1560" t="s">
        <v>8</v>
      </c>
      <c r="S35" s="1561">
        <f t="shared" si="12"/>
        <v>100</v>
      </c>
      <c r="T35" s="1560" t="s">
        <v>8</v>
      </c>
      <c r="U35" s="1561">
        <f t="shared" si="13"/>
        <v>100</v>
      </c>
      <c r="V35" s="1560" t="s">
        <v>8</v>
      </c>
      <c r="W35" s="1561">
        <f t="shared" si="14"/>
        <v>100</v>
      </c>
      <c r="X35" s="1554"/>
      <c r="Y35" s="342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6"/>
      <c r="Q36" s="1559" t="str">
        <f t="shared" si="11"/>
        <v>公共部分装修</v>
      </c>
      <c r="R36" s="1560" t="s">
        <v>8</v>
      </c>
      <c r="S36" s="1561">
        <f t="shared" si="12"/>
        <v>100</v>
      </c>
      <c r="T36" s="1560" t="s">
        <v>8</v>
      </c>
      <c r="U36" s="1561">
        <f t="shared" si="13"/>
        <v>100</v>
      </c>
      <c r="V36" s="1560" t="s">
        <v>8</v>
      </c>
      <c r="W36" s="1561">
        <f t="shared" si="14"/>
        <v>100</v>
      </c>
      <c r="X36" s="1554"/>
      <c r="Y36" s="342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6"/>
      <c r="Q37" s="1559" t="str">
        <f t="shared" si="11"/>
        <v>成新度</v>
      </c>
      <c r="R37" s="1560" t="s">
        <v>8</v>
      </c>
      <c r="S37" s="1561" t="e">
        <f t="shared" si="12"/>
        <v>#N/A</v>
      </c>
      <c r="T37" s="1560" t="s">
        <v>8</v>
      </c>
      <c r="U37" s="1561" t="e">
        <f t="shared" si="13"/>
        <v>#N/A</v>
      </c>
      <c r="V37" s="1560" t="s">
        <v>8</v>
      </c>
      <c r="W37" s="1561" t="e">
        <f t="shared" si="14"/>
        <v>#N/A</v>
      </c>
      <c r="X37" s="1554"/>
      <c r="Y37" s="342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6"/>
      <c r="Q38" s="1147" t="str">
        <f t="shared" si="11"/>
        <v>写字楼等级</v>
      </c>
      <c r="R38" s="1555" t="s">
        <v>8</v>
      </c>
      <c r="S38" s="1556">
        <f t="shared" si="12"/>
        <v>100</v>
      </c>
      <c r="T38" s="1555" t="s">
        <v>8</v>
      </c>
      <c r="U38" s="1556">
        <f t="shared" si="13"/>
        <v>100</v>
      </c>
      <c r="V38" s="1555" t="s">
        <v>8</v>
      </c>
      <c r="W38" s="1556">
        <f t="shared" si="14"/>
        <v>100</v>
      </c>
      <c r="X38" s="1557"/>
      <c r="Y38" s="342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6" t="s">
        <v>550</v>
      </c>
      <c r="Q39" s="1559" t="str">
        <f t="shared" si="11"/>
        <v>物业管理</v>
      </c>
      <c r="R39" s="1560" t="s">
        <v>8</v>
      </c>
      <c r="S39" s="1561">
        <f t="shared" si="12"/>
        <v>100</v>
      </c>
      <c r="T39" s="1560" t="s">
        <v>8</v>
      </c>
      <c r="U39" s="1561">
        <f t="shared" si="13"/>
        <v>100</v>
      </c>
      <c r="V39" s="1560" t="s">
        <v>8</v>
      </c>
      <c r="W39" s="1561">
        <f t="shared" si="14"/>
        <v>100</v>
      </c>
      <c r="X39" s="1554"/>
      <c r="Y39" s="342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6"/>
      <c r="Q40" s="1559" t="str">
        <f t="shared" si="11"/>
        <v>市政基础设施</v>
      </c>
      <c r="R40" s="1560" t="s">
        <v>8</v>
      </c>
      <c r="S40" s="1561">
        <f t="shared" si="12"/>
        <v>100</v>
      </c>
      <c r="T40" s="1560" t="s">
        <v>8</v>
      </c>
      <c r="U40" s="1561">
        <f t="shared" si="13"/>
        <v>100</v>
      </c>
      <c r="V40" s="1560" t="s">
        <v>8</v>
      </c>
      <c r="W40" s="1561">
        <f t="shared" si="14"/>
        <v>100</v>
      </c>
      <c r="X40" s="1554"/>
      <c r="Y40" s="342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6"/>
      <c r="Q41" s="1559" t="str">
        <f t="shared" si="11"/>
        <v>层高</v>
      </c>
      <c r="R41" s="1560" t="s">
        <v>8</v>
      </c>
      <c r="S41" s="1561">
        <f t="shared" si="12"/>
        <v>100</v>
      </c>
      <c r="T41" s="1560" t="s">
        <v>8</v>
      </c>
      <c r="U41" s="1561">
        <f t="shared" si="13"/>
        <v>100</v>
      </c>
      <c r="V41" s="1560" t="s">
        <v>8</v>
      </c>
      <c r="W41" s="1561">
        <f t="shared" si="14"/>
        <v>100</v>
      </c>
      <c r="X41" s="1554"/>
      <c r="Y41" s="342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6"/>
      <c r="Q42" s="1591" t="str">
        <f t="shared" si="11"/>
        <v>单套建筑面积</v>
      </c>
      <c r="R42" s="1564" t="s">
        <v>8</v>
      </c>
      <c r="S42" s="1565">
        <f t="shared" si="12"/>
        <v>100</v>
      </c>
      <c r="T42" s="1564" t="s">
        <v>8</v>
      </c>
      <c r="U42" s="1565">
        <f t="shared" si="13"/>
        <v>100</v>
      </c>
      <c r="V42" s="1564" t="s">
        <v>8</v>
      </c>
      <c r="W42" s="1565">
        <f t="shared" si="14"/>
        <v>100</v>
      </c>
      <c r="X42" s="1566"/>
      <c r="Y42" s="342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6"/>
      <c r="Q43" s="1559" t="str">
        <f t="shared" si="11"/>
        <v>内部装修</v>
      </c>
      <c r="R43" s="1560" t="s">
        <v>8</v>
      </c>
      <c r="S43" s="1561">
        <f t="shared" si="12"/>
        <v>100</v>
      </c>
      <c r="T43" s="1560" t="s">
        <v>8</v>
      </c>
      <c r="U43" s="1561">
        <f t="shared" si="13"/>
        <v>100</v>
      </c>
      <c r="V43" s="1560" t="s">
        <v>8</v>
      </c>
      <c r="W43" s="1561">
        <f t="shared" si="14"/>
        <v>100</v>
      </c>
      <c r="X43" s="1554"/>
      <c r="Y43" s="342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6"/>
      <c r="Q44" s="1559" t="str">
        <f t="shared" si="11"/>
        <v>内部装修维护情况</v>
      </c>
      <c r="R44" s="1560" t="s">
        <v>8</v>
      </c>
      <c r="S44" s="1561">
        <f t="shared" si="12"/>
        <v>100</v>
      </c>
      <c r="T44" s="1560" t="s">
        <v>8</v>
      </c>
      <c r="U44" s="1561">
        <f t="shared" si="13"/>
        <v>100</v>
      </c>
      <c r="V44" s="1560" t="s">
        <v>8</v>
      </c>
      <c r="W44" s="1561">
        <f t="shared" si="14"/>
        <v>100</v>
      </c>
      <c r="X44" s="1554"/>
      <c r="Y44" s="342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6"/>
      <c r="Q45" s="1147">
        <f t="shared" si="11"/>
        <v>111</v>
      </c>
      <c r="R45" s="1555" t="s">
        <v>8</v>
      </c>
      <c r="S45" s="1556">
        <f t="shared" si="12"/>
        <v>100</v>
      </c>
      <c r="T45" s="1555" t="s">
        <v>8</v>
      </c>
      <c r="U45" s="1556">
        <f t="shared" si="13"/>
        <v>100</v>
      </c>
      <c r="V45" s="1555" t="s">
        <v>8</v>
      </c>
      <c r="W45" s="1556">
        <f t="shared" si="14"/>
        <v>100</v>
      </c>
      <c r="X45" s="1557"/>
      <c r="Y45" s="342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6"/>
      <c r="Q46" s="1559">
        <f t="shared" si="11"/>
        <v>111</v>
      </c>
      <c r="R46" s="1560" t="s">
        <v>8</v>
      </c>
      <c r="S46" s="1561">
        <f t="shared" si="12"/>
        <v>100</v>
      </c>
      <c r="T46" s="1560" t="s">
        <v>8</v>
      </c>
      <c r="U46" s="1561">
        <f t="shared" si="13"/>
        <v>100</v>
      </c>
      <c r="V46" s="1560" t="s">
        <v>8</v>
      </c>
      <c r="W46" s="1561">
        <f t="shared" si="14"/>
        <v>100</v>
      </c>
      <c r="X46" s="1554"/>
      <c r="Y46" s="342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9"/>
      <c r="Q47" s="1559">
        <f t="shared" si="11"/>
        <v>111</v>
      </c>
      <c r="R47" s="1560" t="s">
        <v>8</v>
      </c>
      <c r="S47" s="1561">
        <f t="shared" si="12"/>
        <v>100</v>
      </c>
      <c r="T47" s="1560" t="s">
        <v>8</v>
      </c>
      <c r="U47" s="1561">
        <f t="shared" si="13"/>
        <v>100</v>
      </c>
      <c r="V47" s="1560" t="s">
        <v>8</v>
      </c>
      <c r="W47" s="1561">
        <f t="shared" si="14"/>
        <v>100</v>
      </c>
      <c r="X47" s="1554"/>
      <c r="Y47" s="350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7" t="str">
        <f>A48</f>
        <v>成交单价（元/平方米）</v>
      </c>
      <c r="Q48" s="3389"/>
      <c r="R48" s="3508">
        <f>E48</f>
        <v>0</v>
      </c>
      <c r="S48" s="3508"/>
      <c r="T48" s="3508">
        <f>G48</f>
        <v>0</v>
      </c>
      <c r="U48" s="3508"/>
      <c r="V48" s="3508">
        <f>I48</f>
        <v>0</v>
      </c>
      <c r="W48" s="350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87" t="str">
        <f>A49</f>
        <v>比较价格（元/平方米）</v>
      </c>
      <c r="Q49" s="3389"/>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2" t="str">
        <f>A50</f>
        <v>估价对象XX用房的比较价格（楼面单价，元/平方米）</v>
      </c>
      <c r="Q50" s="3387"/>
      <c r="R50" s="3507" t="e">
        <f>IF(F1="售价",ROUND(AVERAGE(R49:V49),0),ROUND(AVERAGE(R49:V49),1))</f>
        <v>#DIV/0!</v>
      </c>
      <c r="S50" s="3507"/>
      <c r="T50" s="3507"/>
      <c r="U50" s="3507"/>
      <c r="V50" s="3507"/>
      <c r="W50" s="350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5" t="s">
        <v>522</v>
      </c>
      <c r="D4" s="3396"/>
      <c r="E4" s="3431" t="s">
        <v>523</v>
      </c>
      <c r="F4" s="3432"/>
      <c r="G4" s="3395" t="s">
        <v>524</v>
      </c>
      <c r="H4" s="3396"/>
      <c r="I4" s="3395" t="s">
        <v>525</v>
      </c>
      <c r="J4" s="3396"/>
      <c r="K4" s="514" t="s">
        <v>526</v>
      </c>
      <c r="L4" s="2119"/>
      <c r="M4" s="2120"/>
      <c r="N4" s="2120"/>
      <c r="O4" s="2120"/>
      <c r="P4" s="3397" t="s">
        <v>527</v>
      </c>
      <c r="Q4" s="3398"/>
      <c r="R4" s="3403" t="s">
        <v>523</v>
      </c>
      <c r="S4" s="3404"/>
      <c r="T4" s="3403" t="s">
        <v>524</v>
      </c>
      <c r="U4" s="3404"/>
      <c r="V4" s="3390" t="s">
        <v>525</v>
      </c>
      <c r="W4" s="3390"/>
      <c r="X4" s="1554"/>
      <c r="Y4" s="3403" t="s">
        <v>527</v>
      </c>
      <c r="Z4" s="3404"/>
      <c r="AA4" s="3392" t="s">
        <v>523</v>
      </c>
      <c r="AB4" s="3393" t="s">
        <v>524</v>
      </c>
      <c r="AC4" s="3392" t="s">
        <v>525</v>
      </c>
    </row>
    <row r="5" spans="1:29" ht="15">
      <c r="A5" s="515"/>
      <c r="B5" s="516"/>
      <c r="C5" s="3411" t="s">
        <v>2931</v>
      </c>
      <c r="D5" s="3412"/>
      <c r="E5" s="3433" t="s">
        <v>2932</v>
      </c>
      <c r="F5" s="3434"/>
      <c r="G5" s="3411" t="s">
        <v>2933</v>
      </c>
      <c r="H5" s="3412"/>
      <c r="I5" s="3411" t="s">
        <v>2934</v>
      </c>
      <c r="J5" s="3412"/>
      <c r="K5" s="514"/>
      <c r="L5" s="2119"/>
      <c r="M5" s="2120"/>
      <c r="N5" s="2120"/>
      <c r="O5" s="2120"/>
      <c r="P5" s="3399"/>
      <c r="Q5" s="3400"/>
      <c r="R5" s="3405"/>
      <c r="S5" s="3406"/>
      <c r="T5" s="3405"/>
      <c r="U5" s="3406"/>
      <c r="V5" s="3390"/>
      <c r="W5" s="3390"/>
      <c r="X5" s="1554"/>
      <c r="Y5" s="3405"/>
      <c r="Z5" s="3406"/>
      <c r="AA5" s="3393"/>
      <c r="AB5" s="3393"/>
      <c r="AC5" s="3393"/>
    </row>
    <row r="6" spans="1:29" ht="15.75" thickBot="1">
      <c r="A6" s="517"/>
      <c r="B6" s="518"/>
      <c r="C6" s="3409" t="s">
        <v>2935</v>
      </c>
      <c r="D6" s="3410"/>
      <c r="E6" s="3429" t="s">
        <v>2935</v>
      </c>
      <c r="F6" s="3430"/>
      <c r="G6" s="3409" t="s">
        <v>2935</v>
      </c>
      <c r="H6" s="3410"/>
      <c r="I6" s="3409" t="s">
        <v>2935</v>
      </c>
      <c r="J6" s="3410"/>
      <c r="K6" s="514" t="s">
        <v>528</v>
      </c>
      <c r="L6" s="2119"/>
      <c r="M6" s="2120"/>
      <c r="N6" s="2120"/>
      <c r="O6" s="2120"/>
      <c r="P6" s="3401"/>
      <c r="Q6" s="3402"/>
      <c r="R6" s="3405"/>
      <c r="S6" s="3406"/>
      <c r="T6" s="3407"/>
      <c r="U6" s="3408"/>
      <c r="V6" s="3390"/>
      <c r="W6" s="3390"/>
      <c r="X6" s="1554"/>
      <c r="Y6" s="3407"/>
      <c r="Z6" s="3408"/>
      <c r="AA6" s="3394"/>
      <c r="AB6" s="3394"/>
      <c r="AC6" s="3394"/>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0" t="s">
        <v>530</v>
      </c>
      <c r="Q7" s="3422"/>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3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9"/>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9"/>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3" t="s">
        <v>540</v>
      </c>
      <c r="Q15" s="1559" t="str">
        <f t="shared" si="6"/>
        <v>产业集聚程度</v>
      </c>
      <c r="R15" s="1560" t="s">
        <v>8</v>
      </c>
      <c r="S15" s="1561">
        <f t="shared" si="0"/>
        <v>100</v>
      </c>
      <c r="T15" s="1560" t="s">
        <v>8</v>
      </c>
      <c r="U15" s="1561">
        <f t="shared" si="1"/>
        <v>100</v>
      </c>
      <c r="V15" s="1560" t="s">
        <v>8</v>
      </c>
      <c r="W15" s="1561">
        <f t="shared" si="2"/>
        <v>100</v>
      </c>
      <c r="X15" s="1554"/>
      <c r="Y15" s="342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4"/>
      <c r="Q16" s="1559"/>
      <c r="R16" s="1560"/>
      <c r="S16" s="1561"/>
      <c r="T16" s="1560"/>
      <c r="U16" s="1561"/>
      <c r="V16" s="1560"/>
      <c r="W16" s="1561"/>
      <c r="X16" s="1554"/>
      <c r="Y16" s="342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4"/>
      <c r="Q17" s="1559" t="str">
        <f>B17</f>
        <v>交通便捷度</v>
      </c>
      <c r="R17" s="1560" t="s">
        <v>8</v>
      </c>
      <c r="S17" s="1561">
        <f>F17</f>
        <v>100</v>
      </c>
      <c r="T17" s="1560" t="s">
        <v>8</v>
      </c>
      <c r="U17" s="1561">
        <f>H17</f>
        <v>100</v>
      </c>
      <c r="V17" s="1560" t="s">
        <v>8</v>
      </c>
      <c r="W17" s="1561">
        <f>J17</f>
        <v>100</v>
      </c>
      <c r="X17" s="1554"/>
      <c r="Y17" s="342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4"/>
      <c r="Q18" s="1559"/>
      <c r="R18" s="1560"/>
      <c r="S18" s="1561"/>
      <c r="T18" s="1560"/>
      <c r="U18" s="1561"/>
      <c r="V18" s="1560"/>
      <c r="W18" s="1561"/>
      <c r="X18" s="1554"/>
      <c r="Y18" s="342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4"/>
      <c r="Q19" s="1559" t="str">
        <f>B19</f>
        <v>公共配套设施</v>
      </c>
      <c r="R19" s="1560" t="s">
        <v>8</v>
      </c>
      <c r="S19" s="1561">
        <f>F19</f>
        <v>100</v>
      </c>
      <c r="T19" s="1560" t="s">
        <v>8</v>
      </c>
      <c r="U19" s="1561">
        <f>H19</f>
        <v>100</v>
      </c>
      <c r="V19" s="1560" t="s">
        <v>8</v>
      </c>
      <c r="W19" s="1561">
        <f>J19</f>
        <v>100</v>
      </c>
      <c r="X19" s="1554"/>
      <c r="Y19" s="342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4"/>
      <c r="Q20" s="1559"/>
      <c r="R20" s="1560"/>
      <c r="S20" s="1561"/>
      <c r="T20" s="1560"/>
      <c r="U20" s="1561"/>
      <c r="V20" s="1560"/>
      <c r="W20" s="1561"/>
      <c r="X20" s="1554"/>
      <c r="Y20" s="342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4"/>
      <c r="Q21" s="2544" t="str">
        <f>B21</f>
        <v>基础设施水平</v>
      </c>
      <c r="R21" s="1560" t="s">
        <v>8</v>
      </c>
      <c r="S21" s="1561">
        <f>F21</f>
        <v>100</v>
      </c>
      <c r="T21" s="1560" t="s">
        <v>8</v>
      </c>
      <c r="U21" s="1561">
        <f>H21</f>
        <v>100</v>
      </c>
      <c r="V21" s="1560" t="s">
        <v>8</v>
      </c>
      <c r="W21" s="1561">
        <f>J21</f>
        <v>100</v>
      </c>
      <c r="X21" s="2546"/>
      <c r="Y21" s="342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4"/>
      <c r="Q22" s="2544"/>
      <c r="R22" s="1560"/>
      <c r="S22" s="1561"/>
      <c r="T22" s="1560"/>
      <c r="U22" s="1561"/>
      <c r="V22" s="1560"/>
      <c r="W22" s="1561"/>
      <c r="X22" s="2546"/>
      <c r="Y22" s="342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4"/>
      <c r="Q23" s="1559" t="str">
        <f>B23</f>
        <v>环境质量</v>
      </c>
      <c r="R23" s="1560" t="s">
        <v>8</v>
      </c>
      <c r="S23" s="1561">
        <f>F23</f>
        <v>100</v>
      </c>
      <c r="T23" s="1560" t="s">
        <v>8</v>
      </c>
      <c r="U23" s="1561">
        <f>H23</f>
        <v>100</v>
      </c>
      <c r="V23" s="1560" t="s">
        <v>8</v>
      </c>
      <c r="W23" s="1561">
        <f>J23</f>
        <v>100</v>
      </c>
      <c r="X23" s="1554"/>
      <c r="Y23" s="342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4"/>
      <c r="Q24" s="1559"/>
      <c r="R24" s="1560"/>
      <c r="S24" s="1561"/>
      <c r="T24" s="1560"/>
      <c r="U24" s="1561"/>
      <c r="V24" s="1560"/>
      <c r="W24" s="1561"/>
      <c r="X24" s="1554"/>
      <c r="Y24" s="342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4"/>
      <c r="Q25" s="1559">
        <f>B25</f>
        <v>111</v>
      </c>
      <c r="R25" s="1560" t="s">
        <v>8</v>
      </c>
      <c r="S25" s="1561">
        <f>F25</f>
        <v>100</v>
      </c>
      <c r="T25" s="1560" t="s">
        <v>8</v>
      </c>
      <c r="U25" s="1561">
        <f>H25</f>
        <v>100</v>
      </c>
      <c r="V25" s="1560" t="s">
        <v>8</v>
      </c>
      <c r="W25" s="1561">
        <f>J25</f>
        <v>100</v>
      </c>
      <c r="X25" s="1554"/>
      <c r="Y25" s="342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4"/>
      <c r="Q26" s="1559">
        <f t="shared" ref="Q26:Q40" si="11">B26</f>
        <v>111</v>
      </c>
      <c r="R26" s="1560" t="s">
        <v>8</v>
      </c>
      <c r="S26" s="1561">
        <f>F26</f>
        <v>100</v>
      </c>
      <c r="T26" s="1560" t="s">
        <v>8</v>
      </c>
      <c r="U26" s="1561">
        <f>H26</f>
        <v>100</v>
      </c>
      <c r="V26" s="1560" t="s">
        <v>8</v>
      </c>
      <c r="W26" s="1561">
        <f>J26</f>
        <v>100</v>
      </c>
      <c r="X26" s="1554"/>
      <c r="Y26" s="342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4"/>
      <c r="Q27" s="1147">
        <f t="shared" si="11"/>
        <v>111</v>
      </c>
      <c r="R27" s="1555" t="s">
        <v>8</v>
      </c>
      <c r="S27" s="1556">
        <f>F27</f>
        <v>100</v>
      </c>
      <c r="T27" s="1555" t="s">
        <v>8</v>
      </c>
      <c r="U27" s="1556">
        <f>H27</f>
        <v>100</v>
      </c>
      <c r="V27" s="1555" t="s">
        <v>8</v>
      </c>
      <c r="W27" s="1556">
        <f>J27</f>
        <v>100</v>
      </c>
      <c r="X27" s="1557"/>
      <c r="Y27" s="342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4"/>
      <c r="Q28" s="1559">
        <f t="shared" si="11"/>
        <v>111</v>
      </c>
      <c r="R28" s="1560" t="s">
        <v>8</v>
      </c>
      <c r="S28" s="1561">
        <f t="shared" ref="S28:S40" si="12">F28</f>
        <v>100</v>
      </c>
      <c r="T28" s="1560" t="s">
        <v>8</v>
      </c>
      <c r="U28" s="1561">
        <f t="shared" ref="U28:U40" si="13">H28</f>
        <v>100</v>
      </c>
      <c r="V28" s="1560" t="s">
        <v>8</v>
      </c>
      <c r="W28" s="1561">
        <f t="shared" ref="W28:W40" si="14">J28</f>
        <v>100</v>
      </c>
      <c r="X28" s="1554"/>
      <c r="Y28" s="342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5" t="s">
        <v>550</v>
      </c>
      <c r="Q29" s="1559" t="str">
        <f t="shared" si="11"/>
        <v>建筑类型</v>
      </c>
      <c r="R29" s="1560" t="s">
        <v>8</v>
      </c>
      <c r="S29" s="1561">
        <f t="shared" si="12"/>
        <v>100</v>
      </c>
      <c r="T29" s="1560" t="s">
        <v>8</v>
      </c>
      <c r="U29" s="1561">
        <f t="shared" si="13"/>
        <v>100</v>
      </c>
      <c r="V29" s="1560" t="s">
        <v>8</v>
      </c>
      <c r="W29" s="1561">
        <f t="shared" si="14"/>
        <v>100</v>
      </c>
      <c r="X29" s="1554"/>
      <c r="Y29" s="342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6"/>
      <c r="Q30" s="1591" t="str">
        <f t="shared" si="11"/>
        <v>项目建筑规模</v>
      </c>
      <c r="R30" s="1564" t="s">
        <v>8</v>
      </c>
      <c r="S30" s="1565" t="e">
        <f t="shared" si="12"/>
        <v>#N/A</v>
      </c>
      <c r="T30" s="1564" t="s">
        <v>8</v>
      </c>
      <c r="U30" s="1565" t="e">
        <f t="shared" si="13"/>
        <v>#N/A</v>
      </c>
      <c r="V30" s="1564" t="s">
        <v>8</v>
      </c>
      <c r="W30" s="1565" t="e">
        <f t="shared" si="14"/>
        <v>#N/A</v>
      </c>
      <c r="X30" s="1566"/>
      <c r="Y30" s="342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6"/>
      <c r="Q31" s="1559" t="str">
        <f t="shared" si="11"/>
        <v>建筑结构</v>
      </c>
      <c r="R31" s="1560" t="s">
        <v>8</v>
      </c>
      <c r="S31" s="1561">
        <f t="shared" si="12"/>
        <v>100</v>
      </c>
      <c r="T31" s="1560" t="s">
        <v>8</v>
      </c>
      <c r="U31" s="1561">
        <f t="shared" si="13"/>
        <v>100</v>
      </c>
      <c r="V31" s="1560" t="s">
        <v>8</v>
      </c>
      <c r="W31" s="1561">
        <f t="shared" si="14"/>
        <v>100</v>
      </c>
      <c r="X31" s="1554"/>
      <c r="Y31" s="342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6"/>
      <c r="Q32" s="1559" t="str">
        <f t="shared" si="11"/>
        <v>公共部分装修</v>
      </c>
      <c r="R32" s="1560" t="s">
        <v>8</v>
      </c>
      <c r="S32" s="1561">
        <f t="shared" si="12"/>
        <v>100</v>
      </c>
      <c r="T32" s="1560" t="s">
        <v>8</v>
      </c>
      <c r="U32" s="1561">
        <f t="shared" si="13"/>
        <v>100</v>
      </c>
      <c r="V32" s="1560" t="s">
        <v>8</v>
      </c>
      <c r="W32" s="1561">
        <f t="shared" si="14"/>
        <v>100</v>
      </c>
      <c r="X32" s="1554"/>
      <c r="Y32" s="342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6"/>
      <c r="Q33" s="1559" t="str">
        <f t="shared" si="11"/>
        <v>成新度</v>
      </c>
      <c r="R33" s="1560" t="s">
        <v>8</v>
      </c>
      <c r="S33" s="1561" t="e">
        <f t="shared" si="12"/>
        <v>#N/A</v>
      </c>
      <c r="T33" s="1560" t="s">
        <v>8</v>
      </c>
      <c r="U33" s="1561" t="e">
        <f t="shared" si="13"/>
        <v>#N/A</v>
      </c>
      <c r="V33" s="1560" t="s">
        <v>8</v>
      </c>
      <c r="W33" s="1561" t="e">
        <f t="shared" si="14"/>
        <v>#N/A</v>
      </c>
      <c r="X33" s="1554"/>
      <c r="Y33" s="342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6"/>
      <c r="Q34" s="1147" t="str">
        <f t="shared" si="11"/>
        <v>物业管理</v>
      </c>
      <c r="R34" s="1555" t="s">
        <v>8</v>
      </c>
      <c r="S34" s="1556">
        <f t="shared" si="12"/>
        <v>100</v>
      </c>
      <c r="T34" s="1555" t="s">
        <v>8</v>
      </c>
      <c r="U34" s="1556">
        <f t="shared" si="13"/>
        <v>100</v>
      </c>
      <c r="V34" s="1555" t="s">
        <v>8</v>
      </c>
      <c r="W34" s="1556">
        <f t="shared" si="14"/>
        <v>100</v>
      </c>
      <c r="X34" s="1557"/>
      <c r="Y34" s="342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6" t="s">
        <v>550</v>
      </c>
      <c r="Q35" s="1559" t="str">
        <f t="shared" si="11"/>
        <v>市政基础设施</v>
      </c>
      <c r="R35" s="1560" t="s">
        <v>8</v>
      </c>
      <c r="S35" s="1561">
        <f t="shared" si="12"/>
        <v>100</v>
      </c>
      <c r="T35" s="1560" t="s">
        <v>8</v>
      </c>
      <c r="U35" s="1561">
        <f t="shared" si="13"/>
        <v>100</v>
      </c>
      <c r="V35" s="1560" t="s">
        <v>8</v>
      </c>
      <c r="W35" s="1561">
        <f t="shared" si="14"/>
        <v>100</v>
      </c>
      <c r="X35" s="1554"/>
      <c r="Y35" s="342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6"/>
      <c r="Q36" s="1559" t="str">
        <f t="shared" si="11"/>
        <v>内部装修</v>
      </c>
      <c r="R36" s="1560" t="s">
        <v>8</v>
      </c>
      <c r="S36" s="1561">
        <f t="shared" si="12"/>
        <v>100</v>
      </c>
      <c r="T36" s="1560" t="s">
        <v>8</v>
      </c>
      <c r="U36" s="1561">
        <f t="shared" si="13"/>
        <v>100</v>
      </c>
      <c r="V36" s="1560" t="s">
        <v>8</v>
      </c>
      <c r="W36" s="1561">
        <f t="shared" si="14"/>
        <v>100</v>
      </c>
      <c r="X36" s="1554"/>
      <c r="Y36" s="342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6"/>
      <c r="Q37" s="1559" t="str">
        <f t="shared" si="11"/>
        <v>内部装修状况</v>
      </c>
      <c r="R37" s="1560" t="s">
        <v>8</v>
      </c>
      <c r="S37" s="1561">
        <f t="shared" si="12"/>
        <v>100</v>
      </c>
      <c r="T37" s="1560" t="s">
        <v>8</v>
      </c>
      <c r="U37" s="1561">
        <f t="shared" si="13"/>
        <v>100</v>
      </c>
      <c r="V37" s="1560" t="s">
        <v>8</v>
      </c>
      <c r="W37" s="1561">
        <f t="shared" si="14"/>
        <v>100</v>
      </c>
      <c r="X37" s="1554"/>
      <c r="Y37" s="342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6"/>
      <c r="Q38" s="1591">
        <f t="shared" si="11"/>
        <v>111</v>
      </c>
      <c r="R38" s="1564" t="s">
        <v>8</v>
      </c>
      <c r="S38" s="1565">
        <f t="shared" si="12"/>
        <v>100</v>
      </c>
      <c r="T38" s="1564" t="s">
        <v>8</v>
      </c>
      <c r="U38" s="1565">
        <f t="shared" si="13"/>
        <v>100</v>
      </c>
      <c r="V38" s="1564" t="s">
        <v>8</v>
      </c>
      <c r="W38" s="1565">
        <f t="shared" si="14"/>
        <v>100</v>
      </c>
      <c r="X38" s="1566"/>
      <c r="Y38" s="342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6"/>
      <c r="Q39" s="1559">
        <f t="shared" si="11"/>
        <v>111</v>
      </c>
      <c r="R39" s="1560" t="s">
        <v>8</v>
      </c>
      <c r="S39" s="1561">
        <f t="shared" si="12"/>
        <v>100</v>
      </c>
      <c r="T39" s="1560" t="s">
        <v>8</v>
      </c>
      <c r="U39" s="1561">
        <f t="shared" si="13"/>
        <v>100</v>
      </c>
      <c r="V39" s="1560" t="s">
        <v>8</v>
      </c>
      <c r="W39" s="1561">
        <f t="shared" si="14"/>
        <v>100</v>
      </c>
      <c r="X39" s="1554"/>
      <c r="Y39" s="342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9"/>
      <c r="Q40" s="1559">
        <f t="shared" si="11"/>
        <v>111</v>
      </c>
      <c r="R40" s="1560" t="s">
        <v>8</v>
      </c>
      <c r="S40" s="1561">
        <f t="shared" si="12"/>
        <v>100</v>
      </c>
      <c r="T40" s="1560" t="s">
        <v>8</v>
      </c>
      <c r="U40" s="1561">
        <f t="shared" si="13"/>
        <v>100</v>
      </c>
      <c r="V40" s="1560" t="s">
        <v>8</v>
      </c>
      <c r="W40" s="1561">
        <f t="shared" si="14"/>
        <v>100</v>
      </c>
      <c r="X40" s="1554"/>
      <c r="Y40" s="350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9" t="str">
        <f>A41</f>
        <v>成交单价（元/平方米）</v>
      </c>
      <c r="Q41" s="3389"/>
      <c r="R41" s="3508">
        <f>E41</f>
        <v>0</v>
      </c>
      <c r="S41" s="3508"/>
      <c r="T41" s="3508">
        <f>G41</f>
        <v>0</v>
      </c>
      <c r="U41" s="3508"/>
      <c r="V41" s="3508">
        <f>I41</f>
        <v>0</v>
      </c>
      <c r="W41" s="350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9" t="str">
        <f>A42</f>
        <v>比较价格（元/平方米）</v>
      </c>
      <c r="Q42" s="3389"/>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86" t="str">
        <f>A43</f>
        <v>估价对象XX用房的比较价格（楼面单价，元/平方米）</v>
      </c>
      <c r="Q43" s="3387"/>
      <c r="R43" s="3507" t="e">
        <f>IF(F1="售价",ROUND(AVERAGE(R42:V42),0),ROUND(AVERAGE(R42:V42),1))</f>
        <v>#DIV/0!</v>
      </c>
      <c r="S43" s="3507"/>
      <c r="T43" s="3507"/>
      <c r="U43" s="3507"/>
      <c r="V43" s="3507"/>
      <c r="W43" s="350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5" t="s">
        <v>798</v>
      </c>
      <c r="D4" s="3396"/>
      <c r="E4" s="3395" t="s">
        <v>799</v>
      </c>
      <c r="F4" s="3396"/>
      <c r="G4" s="3395" t="s">
        <v>800</v>
      </c>
      <c r="H4" s="3396"/>
      <c r="I4" s="3395" t="s">
        <v>801</v>
      </c>
      <c r="J4" s="3396"/>
      <c r="K4" s="514" t="s">
        <v>802</v>
      </c>
      <c r="L4" s="2119"/>
      <c r="M4" s="2120"/>
      <c r="N4" s="2120"/>
      <c r="O4" s="2120"/>
      <c r="P4" s="3397" t="s">
        <v>803</v>
      </c>
      <c r="Q4" s="3398"/>
      <c r="R4" s="3403" t="s">
        <v>799</v>
      </c>
      <c r="S4" s="3404"/>
      <c r="T4" s="3403" t="s">
        <v>800</v>
      </c>
      <c r="U4" s="3404"/>
      <c r="V4" s="3390" t="s">
        <v>801</v>
      </c>
      <c r="W4" s="3390"/>
      <c r="X4" s="1554"/>
      <c r="Y4" s="3403" t="s">
        <v>803</v>
      </c>
      <c r="Z4" s="3404"/>
      <c r="AA4" s="3392" t="s">
        <v>799</v>
      </c>
      <c r="AB4" s="3393" t="s">
        <v>800</v>
      </c>
      <c r="AC4" s="3392" t="s">
        <v>801</v>
      </c>
    </row>
    <row r="5" spans="1:29" ht="15">
      <c r="A5" s="515"/>
      <c r="B5" s="516"/>
      <c r="C5" s="3411" t="s">
        <v>2931</v>
      </c>
      <c r="D5" s="3412"/>
      <c r="E5" s="3411" t="s">
        <v>2932</v>
      </c>
      <c r="F5" s="3412"/>
      <c r="G5" s="3411" t="s">
        <v>2933</v>
      </c>
      <c r="H5" s="3412"/>
      <c r="I5" s="3411" t="s">
        <v>2934</v>
      </c>
      <c r="J5" s="3412"/>
      <c r="K5" s="514"/>
      <c r="L5" s="2119"/>
      <c r="M5" s="2120"/>
      <c r="N5" s="2120"/>
      <c r="O5" s="2120"/>
      <c r="P5" s="3399"/>
      <c r="Q5" s="3400"/>
      <c r="R5" s="3405"/>
      <c r="S5" s="3406"/>
      <c r="T5" s="3405"/>
      <c r="U5" s="3406"/>
      <c r="V5" s="3390"/>
      <c r="W5" s="3390"/>
      <c r="X5" s="1554"/>
      <c r="Y5" s="3405"/>
      <c r="Z5" s="3406"/>
      <c r="AA5" s="3393"/>
      <c r="AB5" s="3393"/>
      <c r="AC5" s="3393"/>
    </row>
    <row r="6" spans="1:29" ht="15.75" thickBot="1">
      <c r="A6" s="517"/>
      <c r="B6" s="518"/>
      <c r="C6" s="3409" t="s">
        <v>2935</v>
      </c>
      <c r="D6" s="3410"/>
      <c r="E6" s="3413" t="s">
        <v>2935</v>
      </c>
      <c r="F6" s="3414"/>
      <c r="G6" s="3409" t="s">
        <v>2935</v>
      </c>
      <c r="H6" s="3410"/>
      <c r="I6" s="3409" t="s">
        <v>2935</v>
      </c>
      <c r="J6" s="3410"/>
      <c r="K6" s="514" t="s">
        <v>528</v>
      </c>
      <c r="L6" s="2119"/>
      <c r="M6" s="2120"/>
      <c r="N6" s="2120"/>
      <c r="O6" s="2120"/>
      <c r="P6" s="3401"/>
      <c r="Q6" s="3402"/>
      <c r="R6" s="3405"/>
      <c r="S6" s="3406"/>
      <c r="T6" s="3407"/>
      <c r="U6" s="3408"/>
      <c r="V6" s="3390"/>
      <c r="W6" s="3390"/>
      <c r="X6" s="1554"/>
      <c r="Y6" s="3407"/>
      <c r="Z6" s="3408"/>
      <c r="AA6" s="3394"/>
      <c r="AB6" s="3394"/>
      <c r="AC6" s="3394"/>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0" t="s">
        <v>530</v>
      </c>
      <c r="Q7" s="3422"/>
      <c r="R7" s="1555" t="s">
        <v>8</v>
      </c>
      <c r="S7" s="1556">
        <f t="shared" ref="S7:S14" si="0">F7</f>
        <v>0</v>
      </c>
      <c r="T7" s="1555" t="s">
        <v>8</v>
      </c>
      <c r="U7" s="1556">
        <f t="shared" ref="U7:U14" si="1">H7</f>
        <v>0</v>
      </c>
      <c r="V7" s="1555" t="s">
        <v>8</v>
      </c>
      <c r="W7" s="1556">
        <f t="shared" ref="W7:W14"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9" t="s">
        <v>535</v>
      </c>
      <c r="Q9" s="1147" t="str">
        <f t="shared" ref="Q9:Q14" si="6">B9</f>
        <v>用途</v>
      </c>
      <c r="R9" s="1555" t="s">
        <v>8</v>
      </c>
      <c r="S9" s="1556">
        <f t="shared" si="0"/>
        <v>100</v>
      </c>
      <c r="T9" s="1555" t="s">
        <v>8</v>
      </c>
      <c r="U9" s="1556">
        <f t="shared" si="1"/>
        <v>100</v>
      </c>
      <c r="V9" s="1555" t="s">
        <v>8</v>
      </c>
      <c r="W9" s="1556">
        <f t="shared" si="2"/>
        <v>100</v>
      </c>
      <c r="X9" s="1557"/>
      <c r="Y9" s="333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9"/>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3" t="s">
        <v>540</v>
      </c>
      <c r="Q14" s="1559" t="str">
        <f t="shared" si="6"/>
        <v>交通便捷度</v>
      </c>
      <c r="R14" s="1560" t="s">
        <v>8</v>
      </c>
      <c r="S14" s="1561">
        <f t="shared" si="0"/>
        <v>100</v>
      </c>
      <c r="T14" s="1560" t="s">
        <v>8</v>
      </c>
      <c r="U14" s="1561">
        <f t="shared" si="1"/>
        <v>100</v>
      </c>
      <c r="V14" s="1560" t="s">
        <v>8</v>
      </c>
      <c r="W14" s="1561">
        <f t="shared" si="2"/>
        <v>100</v>
      </c>
      <c r="X14" s="1554"/>
      <c r="Y14" s="342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4"/>
      <c r="Q15" s="1559"/>
      <c r="R15" s="1560"/>
      <c r="S15" s="1561"/>
      <c r="T15" s="1560"/>
      <c r="U15" s="1561"/>
      <c r="V15" s="1560"/>
      <c r="W15" s="1561"/>
      <c r="X15" s="1554"/>
      <c r="Y15" s="342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4"/>
      <c r="Q16" s="1559" t="str">
        <f>B16</f>
        <v>公共配套设施</v>
      </c>
      <c r="R16" s="1560" t="s">
        <v>8</v>
      </c>
      <c r="S16" s="1561">
        <f>F16</f>
        <v>100</v>
      </c>
      <c r="T16" s="1560" t="s">
        <v>8</v>
      </c>
      <c r="U16" s="1561">
        <f>H16</f>
        <v>100</v>
      </c>
      <c r="V16" s="1560" t="s">
        <v>8</v>
      </c>
      <c r="W16" s="1561">
        <f>J16</f>
        <v>100</v>
      </c>
      <c r="X16" s="1554"/>
      <c r="Y16" s="342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4"/>
      <c r="Q17" s="1559"/>
      <c r="R17" s="1560"/>
      <c r="S17" s="1561"/>
      <c r="T17" s="1560"/>
      <c r="U17" s="1561"/>
      <c r="V17" s="1560"/>
      <c r="W17" s="1561"/>
      <c r="X17" s="1554"/>
      <c r="Y17" s="342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4"/>
      <c r="Q18" s="2544" t="str">
        <f>B18</f>
        <v>基础设施水平</v>
      </c>
      <c r="R18" s="1560" t="s">
        <v>8</v>
      </c>
      <c r="S18" s="1561">
        <f>F18</f>
        <v>100</v>
      </c>
      <c r="T18" s="1560" t="s">
        <v>8</v>
      </c>
      <c r="U18" s="1561">
        <f>H18</f>
        <v>100</v>
      </c>
      <c r="V18" s="1560" t="s">
        <v>8</v>
      </c>
      <c r="W18" s="1561">
        <f>J18</f>
        <v>100</v>
      </c>
      <c r="X18" s="2546"/>
      <c r="Y18" s="342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4"/>
      <c r="Q19" s="2544"/>
      <c r="R19" s="1560"/>
      <c r="S19" s="1561"/>
      <c r="T19" s="1560"/>
      <c r="U19" s="1561"/>
      <c r="V19" s="1560"/>
      <c r="W19" s="1561"/>
      <c r="X19" s="2546"/>
      <c r="Y19" s="342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4"/>
      <c r="Q20" s="1559" t="str">
        <f>B20</f>
        <v>自然及人文环境</v>
      </c>
      <c r="R20" s="1560" t="s">
        <v>8</v>
      </c>
      <c r="S20" s="1561">
        <f>F20</f>
        <v>100</v>
      </c>
      <c r="T20" s="1560" t="s">
        <v>8</v>
      </c>
      <c r="U20" s="1561">
        <f>H20</f>
        <v>100</v>
      </c>
      <c r="V20" s="1560" t="s">
        <v>8</v>
      </c>
      <c r="W20" s="1561">
        <f>J20</f>
        <v>100</v>
      </c>
      <c r="X20" s="1554"/>
      <c r="Y20" s="342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4"/>
      <c r="Q21" s="1559"/>
      <c r="R21" s="1560"/>
      <c r="S21" s="1561"/>
      <c r="T21" s="1560"/>
      <c r="U21" s="1561"/>
      <c r="V21" s="1560"/>
      <c r="W21" s="1561"/>
      <c r="X21" s="1554"/>
      <c r="Y21" s="342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4"/>
      <c r="Q22" s="1559" t="str">
        <f>B22</f>
        <v>楼层</v>
      </c>
      <c r="R22" s="1560" t="s">
        <v>8</v>
      </c>
      <c r="S22" s="1561">
        <f>F22</f>
        <v>100</v>
      </c>
      <c r="T22" s="1560" t="s">
        <v>8</v>
      </c>
      <c r="U22" s="1561">
        <f>H22</f>
        <v>100</v>
      </c>
      <c r="V22" s="1560" t="s">
        <v>8</v>
      </c>
      <c r="W22" s="1561">
        <f>J22</f>
        <v>100</v>
      </c>
      <c r="X22" s="1554"/>
      <c r="Y22" s="342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4"/>
      <c r="Q23" s="1559">
        <f>B23</f>
        <v>111</v>
      </c>
      <c r="R23" s="1560" t="s">
        <v>8</v>
      </c>
      <c r="S23" s="1561">
        <f>F23</f>
        <v>100</v>
      </c>
      <c r="T23" s="1560" t="s">
        <v>8</v>
      </c>
      <c r="U23" s="1561">
        <f>H23</f>
        <v>100</v>
      </c>
      <c r="V23" s="1560" t="s">
        <v>8</v>
      </c>
      <c r="W23" s="1561">
        <f>J23</f>
        <v>100</v>
      </c>
      <c r="X23" s="1554"/>
      <c r="Y23" s="342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4"/>
      <c r="Q24" s="1559">
        <f t="shared" ref="Q24:Q36" si="11">B24</f>
        <v>111</v>
      </c>
      <c r="R24" s="1560" t="s">
        <v>8</v>
      </c>
      <c r="S24" s="1561">
        <f>F24</f>
        <v>100</v>
      </c>
      <c r="T24" s="1560" t="s">
        <v>8</v>
      </c>
      <c r="U24" s="1561">
        <f>H24</f>
        <v>100</v>
      </c>
      <c r="V24" s="1560" t="s">
        <v>8</v>
      </c>
      <c r="W24" s="1561">
        <f>J24</f>
        <v>100</v>
      </c>
      <c r="X24" s="1554"/>
      <c r="Y24" s="342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4"/>
      <c r="Q25" s="1147">
        <f t="shared" si="11"/>
        <v>111</v>
      </c>
      <c r="R25" s="1555" t="s">
        <v>8</v>
      </c>
      <c r="S25" s="1556">
        <f>F25</f>
        <v>100</v>
      </c>
      <c r="T25" s="1555" t="s">
        <v>8</v>
      </c>
      <c r="U25" s="1556">
        <f>H25</f>
        <v>100</v>
      </c>
      <c r="V25" s="1555" t="s">
        <v>8</v>
      </c>
      <c r="W25" s="1556">
        <f>J25</f>
        <v>100</v>
      </c>
      <c r="X25" s="1557"/>
      <c r="Y25" s="342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6"/>
      <c r="Q27" s="1591" t="str">
        <f t="shared" si="11"/>
        <v>项目停车位配比</v>
      </c>
      <c r="R27" s="1564" t="s">
        <v>8</v>
      </c>
      <c r="S27" s="1565">
        <f t="shared" si="12"/>
        <v>100</v>
      </c>
      <c r="T27" s="1564" t="s">
        <v>8</v>
      </c>
      <c r="U27" s="1565">
        <f t="shared" si="13"/>
        <v>100</v>
      </c>
      <c r="V27" s="1564" t="s">
        <v>8</v>
      </c>
      <c r="W27" s="1565">
        <f t="shared" si="14"/>
        <v>100</v>
      </c>
      <c r="X27" s="1566"/>
      <c r="Y27" s="342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6"/>
      <c r="Q28" s="1559" t="str">
        <f t="shared" si="11"/>
        <v>公共部分装修</v>
      </c>
      <c r="R28" s="1560" t="s">
        <v>8</v>
      </c>
      <c r="S28" s="1561">
        <f t="shared" si="12"/>
        <v>100</v>
      </c>
      <c r="T28" s="1560" t="s">
        <v>8</v>
      </c>
      <c r="U28" s="1561">
        <f t="shared" si="13"/>
        <v>100</v>
      </c>
      <c r="V28" s="1560" t="s">
        <v>8</v>
      </c>
      <c r="W28" s="1561">
        <f t="shared" si="14"/>
        <v>100</v>
      </c>
      <c r="X28" s="1554"/>
      <c r="Y28" s="342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6"/>
      <c r="Q29" s="1559" t="str">
        <f t="shared" si="11"/>
        <v>成新率</v>
      </c>
      <c r="R29" s="1560" t="s">
        <v>8</v>
      </c>
      <c r="S29" s="1561" t="e">
        <f t="shared" si="12"/>
        <v>#N/A</v>
      </c>
      <c r="T29" s="1560" t="s">
        <v>8</v>
      </c>
      <c r="U29" s="1561" t="e">
        <f t="shared" si="13"/>
        <v>#N/A</v>
      </c>
      <c r="V29" s="1560" t="s">
        <v>8</v>
      </c>
      <c r="W29" s="1561" t="e">
        <f t="shared" si="14"/>
        <v>#N/A</v>
      </c>
      <c r="X29" s="1554"/>
      <c r="Y29" s="342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6"/>
      <c r="Q30" s="1559" t="str">
        <f t="shared" si="11"/>
        <v>物业等级</v>
      </c>
      <c r="R30" s="1560" t="s">
        <v>8</v>
      </c>
      <c r="S30" s="1561">
        <f t="shared" si="12"/>
        <v>100</v>
      </c>
      <c r="T30" s="1560" t="s">
        <v>8</v>
      </c>
      <c r="U30" s="1561">
        <f t="shared" si="13"/>
        <v>100</v>
      </c>
      <c r="V30" s="1560" t="s">
        <v>8</v>
      </c>
      <c r="W30" s="1561">
        <f t="shared" si="14"/>
        <v>100</v>
      </c>
      <c r="X30" s="1554"/>
      <c r="Y30" s="342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6"/>
      <c r="Q31" s="1147" t="str">
        <f t="shared" si="11"/>
        <v>停车位面积</v>
      </c>
      <c r="R31" s="1555" t="s">
        <v>8</v>
      </c>
      <c r="S31" s="1556" t="e">
        <f t="shared" si="12"/>
        <v>#N/A</v>
      </c>
      <c r="T31" s="1555" t="s">
        <v>8</v>
      </c>
      <c r="U31" s="1556" t="e">
        <f t="shared" si="13"/>
        <v>#N/A</v>
      </c>
      <c r="V31" s="1555" t="s">
        <v>8</v>
      </c>
      <c r="W31" s="1556" t="e">
        <f t="shared" si="14"/>
        <v>#N/A</v>
      </c>
      <c r="X31" s="1557"/>
      <c r="Y31" s="342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6" t="s">
        <v>550</v>
      </c>
      <c r="Q32" s="1559" t="str">
        <f t="shared" si="11"/>
        <v>车位类型</v>
      </c>
      <c r="R32" s="1560" t="s">
        <v>8</v>
      </c>
      <c r="S32" s="1561">
        <f t="shared" si="12"/>
        <v>100</v>
      </c>
      <c r="T32" s="1560" t="s">
        <v>8</v>
      </c>
      <c r="U32" s="1561">
        <f t="shared" si="13"/>
        <v>100</v>
      </c>
      <c r="V32" s="1560" t="s">
        <v>8</v>
      </c>
      <c r="W32" s="1561">
        <f t="shared" si="14"/>
        <v>100</v>
      </c>
      <c r="X32" s="1554"/>
      <c r="Y32" s="342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6"/>
      <c r="Q33" s="1559" t="str">
        <f t="shared" si="11"/>
        <v>是否直接入户</v>
      </c>
      <c r="R33" s="1560" t="s">
        <v>8</v>
      </c>
      <c r="S33" s="1561">
        <f t="shared" si="12"/>
        <v>100</v>
      </c>
      <c r="T33" s="1560" t="s">
        <v>8</v>
      </c>
      <c r="U33" s="1561">
        <f t="shared" si="13"/>
        <v>100</v>
      </c>
      <c r="V33" s="1560" t="s">
        <v>8</v>
      </c>
      <c r="W33" s="1561">
        <f t="shared" si="14"/>
        <v>100</v>
      </c>
      <c r="X33" s="1554"/>
      <c r="Y33" s="342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6"/>
      <c r="Q34" s="1559">
        <f t="shared" si="11"/>
        <v>111</v>
      </c>
      <c r="R34" s="1560" t="s">
        <v>8</v>
      </c>
      <c r="S34" s="1561">
        <f t="shared" si="12"/>
        <v>100</v>
      </c>
      <c r="T34" s="1560" t="s">
        <v>8</v>
      </c>
      <c r="U34" s="1561">
        <f t="shared" si="13"/>
        <v>100</v>
      </c>
      <c r="V34" s="1560" t="s">
        <v>8</v>
      </c>
      <c r="W34" s="1561">
        <f t="shared" si="14"/>
        <v>100</v>
      </c>
      <c r="X34" s="1554"/>
      <c r="Y34" s="342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6"/>
      <c r="Q35" s="1591">
        <f t="shared" si="11"/>
        <v>111</v>
      </c>
      <c r="R35" s="1564" t="s">
        <v>8</v>
      </c>
      <c r="S35" s="1565">
        <f t="shared" si="12"/>
        <v>100</v>
      </c>
      <c r="T35" s="1564" t="s">
        <v>8</v>
      </c>
      <c r="U35" s="1565">
        <f t="shared" si="13"/>
        <v>100</v>
      </c>
      <c r="V35" s="1564" t="s">
        <v>8</v>
      </c>
      <c r="W35" s="1565">
        <f t="shared" si="14"/>
        <v>100</v>
      </c>
      <c r="X35" s="1566"/>
      <c r="Y35" s="342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6"/>
      <c r="Q36" s="1559">
        <f t="shared" si="11"/>
        <v>111</v>
      </c>
      <c r="R36" s="1560" t="s">
        <v>8</v>
      </c>
      <c r="S36" s="1561">
        <f t="shared" si="12"/>
        <v>100</v>
      </c>
      <c r="T36" s="1560" t="s">
        <v>8</v>
      </c>
      <c r="U36" s="1561">
        <f t="shared" si="13"/>
        <v>100</v>
      </c>
      <c r="V36" s="1560" t="s">
        <v>8</v>
      </c>
      <c r="W36" s="1561">
        <f t="shared" si="14"/>
        <v>100</v>
      </c>
      <c r="X36" s="1554"/>
      <c r="Y36" s="342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89" t="str">
        <f>A37</f>
        <v>成交单价</v>
      </c>
      <c r="Q37" s="3389"/>
      <c r="R37" s="3508">
        <f>E37</f>
        <v>0</v>
      </c>
      <c r="S37" s="3508"/>
      <c r="T37" s="3508">
        <f>G37</f>
        <v>0</v>
      </c>
      <c r="U37" s="3508"/>
      <c r="V37" s="3508">
        <f>I37</f>
        <v>0</v>
      </c>
      <c r="W37" s="350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9" t="str">
        <f>A38</f>
        <v>比较价格（元/平方米）</v>
      </c>
      <c r="Q38" s="3389"/>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86" t="str">
        <f>A39</f>
        <v>估价对象XX用房的比较价格（楼面单价，元/平方米）</v>
      </c>
      <c r="Q39" s="3387"/>
      <c r="R39" s="3507" t="e">
        <f>IF(F1="售价",ROUND(AVERAGE(R38:V38),0),ROUND(AVERAGE(R38:V38),1))</f>
        <v>#DIV/0!</v>
      </c>
      <c r="S39" s="3507"/>
      <c r="T39" s="3507"/>
      <c r="U39" s="3507"/>
      <c r="V39" s="3507"/>
      <c r="W39" s="350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5" t="s">
        <v>798</v>
      </c>
      <c r="D4" s="3396"/>
      <c r="E4" s="3431" t="s">
        <v>799</v>
      </c>
      <c r="F4" s="3432"/>
      <c r="G4" s="3395" t="s">
        <v>800</v>
      </c>
      <c r="H4" s="3396"/>
      <c r="I4" s="3395" t="s">
        <v>801</v>
      </c>
      <c r="J4" s="3396"/>
      <c r="K4" s="514" t="s">
        <v>802</v>
      </c>
      <c r="L4" s="2119"/>
      <c r="M4" s="2120"/>
      <c r="N4" s="2120"/>
      <c r="O4" s="2120"/>
      <c r="P4" s="3397" t="s">
        <v>803</v>
      </c>
      <c r="Q4" s="3398"/>
      <c r="R4" s="3403" t="s">
        <v>799</v>
      </c>
      <c r="S4" s="3404"/>
      <c r="T4" s="3403" t="s">
        <v>800</v>
      </c>
      <c r="U4" s="3404"/>
      <c r="V4" s="3390" t="s">
        <v>801</v>
      </c>
      <c r="W4" s="3390"/>
      <c r="X4" s="1554"/>
      <c r="Y4" s="3403" t="s">
        <v>803</v>
      </c>
      <c r="Z4" s="3404"/>
      <c r="AA4" s="3392" t="s">
        <v>799</v>
      </c>
      <c r="AB4" s="3393" t="s">
        <v>800</v>
      </c>
      <c r="AC4" s="3392" t="s">
        <v>801</v>
      </c>
    </row>
    <row r="5" spans="1:29" ht="15">
      <c r="A5" s="515"/>
      <c r="B5" s="516"/>
      <c r="C5" s="3411" t="s">
        <v>2931</v>
      </c>
      <c r="D5" s="3412"/>
      <c r="E5" s="3433" t="s">
        <v>2932</v>
      </c>
      <c r="F5" s="3434"/>
      <c r="G5" s="3411" t="s">
        <v>2933</v>
      </c>
      <c r="H5" s="3412"/>
      <c r="I5" s="3411" t="s">
        <v>2934</v>
      </c>
      <c r="J5" s="3412"/>
      <c r="K5" s="514"/>
      <c r="L5" s="2119"/>
      <c r="M5" s="2120"/>
      <c r="N5" s="2120"/>
      <c r="O5" s="2120"/>
      <c r="P5" s="3399"/>
      <c r="Q5" s="3400"/>
      <c r="R5" s="3405"/>
      <c r="S5" s="3406"/>
      <c r="T5" s="3405"/>
      <c r="U5" s="3406"/>
      <c r="V5" s="3390"/>
      <c r="W5" s="3390"/>
      <c r="X5" s="1554"/>
      <c r="Y5" s="3405"/>
      <c r="Z5" s="3406"/>
      <c r="AA5" s="3393"/>
      <c r="AB5" s="3393"/>
      <c r="AC5" s="3393"/>
    </row>
    <row r="6" spans="1:29" ht="15.75" thickBot="1">
      <c r="A6" s="517"/>
      <c r="B6" s="518"/>
      <c r="C6" s="3409" t="s">
        <v>2935</v>
      </c>
      <c r="D6" s="3410"/>
      <c r="E6" s="3429" t="s">
        <v>2935</v>
      </c>
      <c r="F6" s="3430"/>
      <c r="G6" s="3409" t="s">
        <v>2935</v>
      </c>
      <c r="H6" s="3410"/>
      <c r="I6" s="3409" t="s">
        <v>2935</v>
      </c>
      <c r="J6" s="3410"/>
      <c r="K6" s="514" t="s">
        <v>528</v>
      </c>
      <c r="L6" s="2119"/>
      <c r="M6" s="2120"/>
      <c r="N6" s="2120"/>
      <c r="O6" s="2120"/>
      <c r="P6" s="3401"/>
      <c r="Q6" s="3402"/>
      <c r="R6" s="3405"/>
      <c r="S6" s="3406"/>
      <c r="T6" s="3407"/>
      <c r="U6" s="3408"/>
      <c r="V6" s="3390"/>
      <c r="W6" s="3390"/>
      <c r="X6" s="1554"/>
      <c r="Y6" s="3407"/>
      <c r="Z6" s="3408"/>
      <c r="AA6" s="3394"/>
      <c r="AB6" s="3394"/>
      <c r="AC6" s="3394"/>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0" t="s">
        <v>530</v>
      </c>
      <c r="Q7" s="3422"/>
      <c r="R7" s="1555" t="s">
        <v>8</v>
      </c>
      <c r="S7" s="1556">
        <f t="shared" ref="S7:S14" si="0">F7</f>
        <v>0</v>
      </c>
      <c r="T7" s="1555" t="s">
        <v>8</v>
      </c>
      <c r="U7" s="1556">
        <f t="shared" ref="U7:U14" si="1">H7</f>
        <v>0</v>
      </c>
      <c r="V7" s="1555" t="s">
        <v>8</v>
      </c>
      <c r="W7" s="1556">
        <f t="shared" ref="W7:W14"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9" t="s">
        <v>535</v>
      </c>
      <c r="Q9" s="1147" t="str">
        <f t="shared" ref="Q9:Q14" si="6">B9</f>
        <v>用途</v>
      </c>
      <c r="R9" s="1555" t="s">
        <v>8</v>
      </c>
      <c r="S9" s="1556">
        <f t="shared" si="0"/>
        <v>100</v>
      </c>
      <c r="T9" s="1555" t="s">
        <v>8</v>
      </c>
      <c r="U9" s="1556">
        <f t="shared" si="1"/>
        <v>100</v>
      </c>
      <c r="V9" s="1555" t="s">
        <v>8</v>
      </c>
      <c r="W9" s="1556">
        <f t="shared" si="2"/>
        <v>100</v>
      </c>
      <c r="X9" s="1557"/>
      <c r="Y9" s="333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9"/>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3" t="s">
        <v>540</v>
      </c>
      <c r="Q14" s="1559" t="str">
        <f t="shared" si="6"/>
        <v>交通便捷度</v>
      </c>
      <c r="R14" s="1560" t="s">
        <v>8</v>
      </c>
      <c r="S14" s="1561">
        <f t="shared" si="0"/>
        <v>100</v>
      </c>
      <c r="T14" s="1560" t="s">
        <v>8</v>
      </c>
      <c r="U14" s="1561">
        <f t="shared" si="1"/>
        <v>100</v>
      </c>
      <c r="V14" s="1560" t="s">
        <v>8</v>
      </c>
      <c r="W14" s="1561">
        <f t="shared" si="2"/>
        <v>100</v>
      </c>
      <c r="X14" s="1554"/>
      <c r="Y14" s="342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4"/>
      <c r="Q15" s="1559"/>
      <c r="R15" s="1560"/>
      <c r="S15" s="1561"/>
      <c r="T15" s="1560"/>
      <c r="U15" s="1561"/>
      <c r="V15" s="1560"/>
      <c r="W15" s="1561"/>
      <c r="X15" s="1554"/>
      <c r="Y15" s="342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4"/>
      <c r="Q16" s="1559" t="str">
        <f>B16</f>
        <v>公共配套设施</v>
      </c>
      <c r="R16" s="1560" t="s">
        <v>8</v>
      </c>
      <c r="S16" s="1561">
        <f>F16</f>
        <v>100</v>
      </c>
      <c r="T16" s="1560" t="s">
        <v>8</v>
      </c>
      <c r="U16" s="1561">
        <f>H16</f>
        <v>100</v>
      </c>
      <c r="V16" s="1560" t="s">
        <v>8</v>
      </c>
      <c r="W16" s="1561">
        <f>J16</f>
        <v>100</v>
      </c>
      <c r="X16" s="1554"/>
      <c r="Y16" s="342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4"/>
      <c r="Q17" s="1559"/>
      <c r="R17" s="1560"/>
      <c r="S17" s="1561"/>
      <c r="T17" s="1560"/>
      <c r="U17" s="1561"/>
      <c r="V17" s="1560"/>
      <c r="W17" s="1561"/>
      <c r="X17" s="1554"/>
      <c r="Y17" s="342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4"/>
      <c r="Q18" s="2544" t="str">
        <f>B18</f>
        <v>基础设施水平</v>
      </c>
      <c r="R18" s="1560" t="s">
        <v>8</v>
      </c>
      <c r="S18" s="1561">
        <f>F18</f>
        <v>100</v>
      </c>
      <c r="T18" s="1560" t="s">
        <v>8</v>
      </c>
      <c r="U18" s="1561">
        <f>H18</f>
        <v>100</v>
      </c>
      <c r="V18" s="1560" t="s">
        <v>8</v>
      </c>
      <c r="W18" s="1561">
        <f>J18</f>
        <v>100</v>
      </c>
      <c r="X18" s="2546"/>
      <c r="Y18" s="342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4"/>
      <c r="Q19" s="2544"/>
      <c r="R19" s="1560"/>
      <c r="S19" s="1561"/>
      <c r="T19" s="1560"/>
      <c r="U19" s="1561"/>
      <c r="V19" s="1560"/>
      <c r="W19" s="1561"/>
      <c r="X19" s="2546"/>
      <c r="Y19" s="342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4"/>
      <c r="Q20" s="1559" t="str">
        <f>B20</f>
        <v>自然及人文环境</v>
      </c>
      <c r="R20" s="1560" t="s">
        <v>8</v>
      </c>
      <c r="S20" s="1561">
        <f>F20</f>
        <v>100</v>
      </c>
      <c r="T20" s="1560" t="s">
        <v>8</v>
      </c>
      <c r="U20" s="1561">
        <f>H20</f>
        <v>100</v>
      </c>
      <c r="V20" s="1560" t="s">
        <v>8</v>
      </c>
      <c r="W20" s="1561">
        <f>J20</f>
        <v>100</v>
      </c>
      <c r="X20" s="1554"/>
      <c r="Y20" s="342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4"/>
      <c r="Q21" s="1559"/>
      <c r="R21" s="1560"/>
      <c r="S21" s="1561"/>
      <c r="T21" s="1560"/>
      <c r="U21" s="1561"/>
      <c r="V21" s="1560"/>
      <c r="W21" s="1561"/>
      <c r="X21" s="1554"/>
      <c r="Y21" s="342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4"/>
      <c r="Q22" s="1559" t="str">
        <f>B22</f>
        <v>楼层</v>
      </c>
      <c r="R22" s="1560" t="s">
        <v>8</v>
      </c>
      <c r="S22" s="1561">
        <f>F22</f>
        <v>100</v>
      </c>
      <c r="T22" s="1560" t="s">
        <v>8</v>
      </c>
      <c r="U22" s="1561">
        <f>H22</f>
        <v>100</v>
      </c>
      <c r="V22" s="1560" t="s">
        <v>8</v>
      </c>
      <c r="W22" s="1561">
        <f>J22</f>
        <v>100</v>
      </c>
      <c r="X22" s="1554"/>
      <c r="Y22" s="342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4"/>
      <c r="Q23" s="1559">
        <f>B23</f>
        <v>111</v>
      </c>
      <c r="R23" s="1560" t="s">
        <v>8</v>
      </c>
      <c r="S23" s="1561">
        <f>F23</f>
        <v>100</v>
      </c>
      <c r="T23" s="1560" t="s">
        <v>8</v>
      </c>
      <c r="U23" s="1561">
        <f>H23</f>
        <v>100</v>
      </c>
      <c r="V23" s="1560" t="s">
        <v>8</v>
      </c>
      <c r="W23" s="1561">
        <f>J23</f>
        <v>100</v>
      </c>
      <c r="X23" s="1554"/>
      <c r="Y23" s="342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4"/>
      <c r="Q24" s="1559">
        <f t="shared" ref="Q24:Q34" si="11">B24</f>
        <v>111</v>
      </c>
      <c r="R24" s="1560" t="s">
        <v>8</v>
      </c>
      <c r="S24" s="1561">
        <f>F24</f>
        <v>100</v>
      </c>
      <c r="T24" s="1560" t="s">
        <v>8</v>
      </c>
      <c r="U24" s="1561">
        <f>H24</f>
        <v>100</v>
      </c>
      <c r="V24" s="1560" t="s">
        <v>8</v>
      </c>
      <c r="W24" s="1561">
        <f>J24</f>
        <v>100</v>
      </c>
      <c r="X24" s="1554"/>
      <c r="Y24" s="342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4"/>
      <c r="Q25" s="1147">
        <f t="shared" si="11"/>
        <v>111</v>
      </c>
      <c r="R25" s="1555" t="s">
        <v>8</v>
      </c>
      <c r="S25" s="1556">
        <f>F25</f>
        <v>100</v>
      </c>
      <c r="T25" s="1555" t="s">
        <v>8</v>
      </c>
      <c r="U25" s="1556">
        <f>H25</f>
        <v>100</v>
      </c>
      <c r="V25" s="1555" t="s">
        <v>8</v>
      </c>
      <c r="W25" s="1556">
        <f>J25</f>
        <v>100</v>
      </c>
      <c r="X25" s="1557"/>
      <c r="Y25" s="342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6"/>
      <c r="Q27" s="1591" t="str">
        <f t="shared" si="11"/>
        <v>成新率</v>
      </c>
      <c r="R27" s="1564" t="s">
        <v>8</v>
      </c>
      <c r="S27" s="1565" t="e">
        <f t="shared" si="12"/>
        <v>#N/A</v>
      </c>
      <c r="T27" s="1564" t="s">
        <v>8</v>
      </c>
      <c r="U27" s="1565" t="e">
        <f t="shared" si="13"/>
        <v>#N/A</v>
      </c>
      <c r="V27" s="1564" t="s">
        <v>8</v>
      </c>
      <c r="W27" s="1565" t="e">
        <f t="shared" si="14"/>
        <v>#N/A</v>
      </c>
      <c r="X27" s="1566"/>
      <c r="Y27" s="342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6"/>
      <c r="Q28" s="1559" t="str">
        <f t="shared" si="11"/>
        <v>物业等级</v>
      </c>
      <c r="R28" s="1560" t="s">
        <v>8</v>
      </c>
      <c r="S28" s="1561">
        <f t="shared" si="12"/>
        <v>100</v>
      </c>
      <c r="T28" s="1560" t="s">
        <v>8</v>
      </c>
      <c r="U28" s="1561">
        <f t="shared" si="13"/>
        <v>100</v>
      </c>
      <c r="V28" s="1560" t="s">
        <v>8</v>
      </c>
      <c r="W28" s="1561">
        <f t="shared" si="14"/>
        <v>100</v>
      </c>
      <c r="X28" s="1554"/>
      <c r="Y28" s="342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6"/>
      <c r="Q29" s="1559" t="str">
        <f t="shared" si="11"/>
        <v>有无电梯</v>
      </c>
      <c r="R29" s="1560" t="s">
        <v>8</v>
      </c>
      <c r="S29" s="1561">
        <f t="shared" si="12"/>
        <v>100</v>
      </c>
      <c r="T29" s="1560" t="s">
        <v>8</v>
      </c>
      <c r="U29" s="1561">
        <f t="shared" si="13"/>
        <v>100</v>
      </c>
      <c r="V29" s="1560" t="s">
        <v>8</v>
      </c>
      <c r="W29" s="1561">
        <f t="shared" si="14"/>
        <v>100</v>
      </c>
      <c r="X29" s="1554"/>
      <c r="Y29" s="342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6"/>
      <c r="Q30" s="1559" t="str">
        <f t="shared" si="11"/>
        <v>建筑面积</v>
      </c>
      <c r="R30" s="1560" t="s">
        <v>8</v>
      </c>
      <c r="S30" s="1561" t="e">
        <f t="shared" si="12"/>
        <v>#N/A</v>
      </c>
      <c r="T30" s="1560" t="s">
        <v>8</v>
      </c>
      <c r="U30" s="1561" t="e">
        <f t="shared" si="13"/>
        <v>#N/A</v>
      </c>
      <c r="V30" s="1560" t="s">
        <v>8</v>
      </c>
      <c r="W30" s="1561" t="e">
        <f t="shared" si="14"/>
        <v>#N/A</v>
      </c>
      <c r="X30" s="1554"/>
      <c r="Y30" s="342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6"/>
      <c r="Q31" s="1147" t="str">
        <f t="shared" si="11"/>
        <v>是否封闭</v>
      </c>
      <c r="R31" s="1555" t="s">
        <v>8</v>
      </c>
      <c r="S31" s="1556">
        <f t="shared" si="12"/>
        <v>100</v>
      </c>
      <c r="T31" s="1555" t="s">
        <v>8</v>
      </c>
      <c r="U31" s="1556">
        <f t="shared" si="13"/>
        <v>100</v>
      </c>
      <c r="V31" s="1555" t="s">
        <v>8</v>
      </c>
      <c r="W31" s="1556">
        <f t="shared" si="14"/>
        <v>100</v>
      </c>
      <c r="X31" s="1557"/>
      <c r="Y31" s="342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6" t="s">
        <v>550</v>
      </c>
      <c r="Q32" s="1559">
        <f t="shared" si="11"/>
        <v>111</v>
      </c>
      <c r="R32" s="1560" t="s">
        <v>8</v>
      </c>
      <c r="S32" s="1561">
        <f t="shared" si="12"/>
        <v>100</v>
      </c>
      <c r="T32" s="1560" t="s">
        <v>8</v>
      </c>
      <c r="U32" s="1561">
        <f t="shared" si="13"/>
        <v>100</v>
      </c>
      <c r="V32" s="1560" t="s">
        <v>8</v>
      </c>
      <c r="W32" s="1561">
        <f t="shared" si="14"/>
        <v>100</v>
      </c>
      <c r="X32" s="1554"/>
      <c r="Y32" s="342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6"/>
      <c r="Q33" s="1559">
        <f t="shared" si="11"/>
        <v>111</v>
      </c>
      <c r="R33" s="1560" t="s">
        <v>8</v>
      </c>
      <c r="S33" s="1561">
        <f t="shared" si="12"/>
        <v>100</v>
      </c>
      <c r="T33" s="1560" t="s">
        <v>8</v>
      </c>
      <c r="U33" s="1561">
        <f t="shared" si="13"/>
        <v>100</v>
      </c>
      <c r="V33" s="1560" t="s">
        <v>8</v>
      </c>
      <c r="W33" s="1561">
        <f t="shared" si="14"/>
        <v>100</v>
      </c>
      <c r="X33" s="1554"/>
      <c r="Y33" s="342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6"/>
      <c r="Q34" s="1559">
        <f t="shared" si="11"/>
        <v>111</v>
      </c>
      <c r="R34" s="1560" t="s">
        <v>8</v>
      </c>
      <c r="S34" s="1561">
        <f t="shared" si="12"/>
        <v>100</v>
      </c>
      <c r="T34" s="1560" t="s">
        <v>8</v>
      </c>
      <c r="U34" s="1561">
        <f t="shared" si="13"/>
        <v>100</v>
      </c>
      <c r="V34" s="1560" t="s">
        <v>8</v>
      </c>
      <c r="W34" s="1561">
        <f t="shared" si="14"/>
        <v>100</v>
      </c>
      <c r="X34" s="1554"/>
      <c r="Y34" s="342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9" t="str">
        <f>A35</f>
        <v>成交单价（元/平方米）</v>
      </c>
      <c r="Q35" s="3389"/>
      <c r="R35" s="3508">
        <f>E35</f>
        <v>0</v>
      </c>
      <c r="S35" s="3508"/>
      <c r="T35" s="3508">
        <f>G35</f>
        <v>0</v>
      </c>
      <c r="U35" s="3508"/>
      <c r="V35" s="3508">
        <f>I35</f>
        <v>0</v>
      </c>
      <c r="W35" s="350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9" t="str">
        <f>A36</f>
        <v>比较价格（元/平方米）</v>
      </c>
      <c r="Q36" s="3389"/>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86" t="str">
        <f>A37</f>
        <v>估价对象XX用房的比较价格（楼面单价，元/平方米）</v>
      </c>
      <c r="Q37" s="3387"/>
      <c r="R37" s="3507" t="e">
        <f>IF(F1="售价",ROUND(AVERAGE(R36:V36),0),ROUND(AVERAGE(R36:V36),1))</f>
        <v>#DIV/0!</v>
      </c>
      <c r="S37" s="3507"/>
      <c r="T37" s="3507"/>
      <c r="U37" s="3507"/>
      <c r="V37" s="3507"/>
      <c r="W37" s="350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9" t="s">
        <v>2304</v>
      </c>
      <c r="D1" s="3520"/>
      <c r="E1" s="3520"/>
      <c r="F1" s="3520"/>
      <c r="G1" s="3520"/>
      <c r="H1" s="3520"/>
      <c r="I1" s="3520"/>
      <c r="J1" s="3520"/>
      <c r="K1" s="3520"/>
      <c r="L1" s="3520"/>
      <c r="M1" s="3520"/>
      <c r="N1" s="3520"/>
      <c r="O1" s="3520"/>
      <c r="P1" s="3520"/>
      <c r="Q1" s="3520"/>
      <c r="R1" s="3520"/>
      <c r="S1" s="352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6" t="s">
        <v>20</v>
      </c>
      <c r="D22" s="3517"/>
      <c r="E22" s="3517"/>
      <c r="F22" s="3517"/>
      <c r="G22" s="3517"/>
      <c r="H22" s="3517"/>
      <c r="I22" s="3517"/>
      <c r="J22" s="3517"/>
      <c r="K22" s="3517"/>
      <c r="L22" s="3517"/>
      <c r="M22" s="3517"/>
      <c r="N22" s="3517"/>
      <c r="O22" s="3517"/>
      <c r="P22" s="3517"/>
      <c r="Q22" s="351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51" zoomScale="87" workbookViewId="0">
      <selection activeCell="U74" sqref="U74"/>
    </sheetView>
  </sheetViews>
  <sheetFormatPr defaultColWidth="8.875"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G45"/>
  <sheetViews>
    <sheetView topLeftCell="B10" zoomScaleNormal="100" workbookViewId="0">
      <selection activeCell="G45" sqref="G45"/>
    </sheetView>
  </sheetViews>
  <sheetFormatPr defaultColWidth="8.875" defaultRowHeight="13.5"/>
  <sheetData>
    <row r="35" spans="3:7">
      <c r="C35" s="3218" t="s">
        <v>3172</v>
      </c>
      <c r="D35" s="3218" t="s">
        <v>3173</v>
      </c>
      <c r="E35" s="3218" t="s">
        <v>3170</v>
      </c>
      <c r="F35" s="3219"/>
      <c r="G35" s="3218" t="s">
        <v>3171</v>
      </c>
    </row>
    <row r="36" spans="3:7">
      <c r="C36" s="3220">
        <v>32232.14</v>
      </c>
      <c r="D36" s="3219">
        <f>ROUND((C36*3),2)</f>
        <v>96696.42</v>
      </c>
      <c r="E36" s="3219">
        <f>ROUND((C36*3*0.3),2)</f>
        <v>29008.93</v>
      </c>
      <c r="F36" s="3219"/>
      <c r="G36" s="3219">
        <f>ROUND((C36*3*0.7),2)</f>
        <v>67687.490000000005</v>
      </c>
    </row>
    <row r="37" spans="3:7">
      <c r="C37" s="3219"/>
      <c r="D37" s="3219">
        <f t="shared" ref="D37:D43" si="0">ROUND((C37*3),2)</f>
        <v>0</v>
      </c>
      <c r="E37" s="3219">
        <f t="shared" ref="E37:E43" si="1">ROUND((C37*3*0.3),2)</f>
        <v>0</v>
      </c>
      <c r="F37" s="3219"/>
      <c r="G37" s="3219">
        <f t="shared" ref="G37:G43" si="2">ROUND((C37*3*0.7),2)</f>
        <v>0</v>
      </c>
    </row>
    <row r="38" spans="3:7">
      <c r="C38" s="3220">
        <v>28334.82</v>
      </c>
      <c r="D38" s="3219">
        <f t="shared" si="0"/>
        <v>85004.46</v>
      </c>
      <c r="E38" s="3219">
        <f t="shared" si="1"/>
        <v>25501.34</v>
      </c>
      <c r="F38" s="3219"/>
      <c r="G38" s="3219">
        <f t="shared" si="2"/>
        <v>59503.12</v>
      </c>
    </row>
    <row r="39" spans="3:7">
      <c r="C39" s="3219"/>
      <c r="D39" s="3219">
        <f t="shared" si="0"/>
        <v>0</v>
      </c>
      <c r="E39" s="3219">
        <f t="shared" si="1"/>
        <v>0</v>
      </c>
      <c r="F39" s="3219"/>
      <c r="G39" s="3219">
        <f t="shared" si="2"/>
        <v>0</v>
      </c>
    </row>
    <row r="40" spans="3:7">
      <c r="C40" s="3220">
        <v>20463.46</v>
      </c>
      <c r="D40" s="3219">
        <f t="shared" si="0"/>
        <v>61390.38</v>
      </c>
      <c r="E40" s="3219">
        <f t="shared" si="1"/>
        <v>18417.11</v>
      </c>
      <c r="F40" s="3219"/>
      <c r="G40" s="3219">
        <f t="shared" si="2"/>
        <v>42973.27</v>
      </c>
    </row>
    <row r="41" spans="3:7">
      <c r="C41" s="3219"/>
      <c r="D41" s="3219">
        <f t="shared" si="0"/>
        <v>0</v>
      </c>
      <c r="E41" s="3219">
        <f t="shared" si="1"/>
        <v>0</v>
      </c>
      <c r="F41" s="3219"/>
      <c r="G41" s="3219">
        <f t="shared" si="2"/>
        <v>0</v>
      </c>
    </row>
    <row r="42" spans="3:7">
      <c r="C42" s="3220">
        <v>26450.79</v>
      </c>
      <c r="D42" s="3219">
        <f t="shared" si="0"/>
        <v>79352.37</v>
      </c>
      <c r="E42" s="3219">
        <f t="shared" si="1"/>
        <v>23805.71</v>
      </c>
      <c r="F42" s="3219"/>
      <c r="G42" s="3219">
        <f t="shared" si="2"/>
        <v>55546.66</v>
      </c>
    </row>
    <row r="43" spans="3:7">
      <c r="C43" s="3219"/>
      <c r="D43" s="3219">
        <f t="shared" si="0"/>
        <v>0</v>
      </c>
      <c r="E43" s="3219">
        <f t="shared" si="1"/>
        <v>0</v>
      </c>
      <c r="F43" s="3219"/>
      <c r="G43" s="3219">
        <f t="shared" si="2"/>
        <v>0</v>
      </c>
    </row>
    <row r="44" spans="3:7">
      <c r="C44" s="3219">
        <v>23878.02</v>
      </c>
      <c r="D44" s="3219">
        <f>ROUND((C44*2.5),2)</f>
        <v>59695.05</v>
      </c>
      <c r="E44" s="3219">
        <f>ROUND((C44*2.5*0.7),2)</f>
        <v>41786.54</v>
      </c>
      <c r="F44" s="3219"/>
      <c r="G44" s="3219">
        <f>ROUND((C44*2.5*0.3),2)</f>
        <v>17908.52</v>
      </c>
    </row>
    <row r="45" spans="3:7">
      <c r="C45">
        <f>SUM(C36+C38+C40+C42+C44)</f>
        <v>131359.22999999998</v>
      </c>
      <c r="D45">
        <f t="shared" ref="D45:G45" si="3">SUM(D36+D38+D40+D42+D44)</f>
        <v>382138.68</v>
      </c>
      <c r="E45">
        <f t="shared" si="3"/>
        <v>138519.63</v>
      </c>
      <c r="F45">
        <f t="shared" si="3"/>
        <v>0</v>
      </c>
      <c r="G45">
        <f t="shared" si="3"/>
        <v>243619.06</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G14" sqref="G14"/>
    </sheetView>
  </sheetViews>
  <sheetFormatPr defaultColWidth="11" defaultRowHeight="13.5"/>
  <sheetData>
    <row r="13" spans="7:8">
      <c r="G13" s="3189" t="s">
        <v>3100</v>
      </c>
      <c r="H13">
        <v>28334.82</v>
      </c>
    </row>
    <row r="14" spans="7:8">
      <c r="G14" s="3189" t="s">
        <v>3101</v>
      </c>
      <c r="H14">
        <v>32232.14</v>
      </c>
    </row>
    <row r="15" spans="7:8">
      <c r="G15" s="3189" t="s">
        <v>3102</v>
      </c>
      <c r="H15">
        <v>26450.79</v>
      </c>
    </row>
    <row r="16" spans="7:8">
      <c r="G16" s="3189" t="s">
        <v>3103</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6" t="s">
        <v>2029</v>
      </c>
      <c r="B3" s="3226" t="s">
        <v>2731</v>
      </c>
      <c r="C3" s="3227" t="s">
        <v>2030</v>
      </c>
      <c r="D3" s="3226" t="s">
        <v>2735</v>
      </c>
      <c r="E3" s="3229" t="s">
        <v>2031</v>
      </c>
      <c r="F3" s="3229"/>
      <c r="G3" s="3229"/>
      <c r="H3" s="3229" t="s">
        <v>2032</v>
      </c>
      <c r="I3" s="3229"/>
      <c r="J3" s="3229"/>
      <c r="K3" s="3227" t="s">
        <v>2033</v>
      </c>
      <c r="L3" s="3227" t="s">
        <v>2034</v>
      </c>
      <c r="M3" s="3226" t="s">
        <v>2732</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14" t="s">
        <v>2042</v>
      </c>
      <c r="F4" s="2614" t="s">
        <v>2744</v>
      </c>
      <c r="G4" s="2614" t="s">
        <v>2036</v>
      </c>
      <c r="H4" s="2614" t="s">
        <v>2037</v>
      </c>
      <c r="I4" s="2614" t="s">
        <v>2745</v>
      </c>
      <c r="J4" s="2614" t="s">
        <v>2036</v>
      </c>
      <c r="K4" s="3227"/>
      <c r="L4" s="3227"/>
      <c r="M4" s="3226"/>
      <c r="N4" s="3228"/>
      <c r="O4" s="3226"/>
      <c r="P4" s="3227"/>
      <c r="Q4" s="3227"/>
      <c r="R4" s="3227"/>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107481.21</v>
      </c>
      <c r="O5" s="1796">
        <f>项目基本情况!C21</f>
        <v>322443.63</v>
      </c>
      <c r="P5" s="1796">
        <f ca="1">结果表!E42</f>
        <v>2722</v>
      </c>
      <c r="Q5" s="1796">
        <f ca="1">结果表!D42</f>
        <v>907</v>
      </c>
      <c r="R5" s="1797">
        <f ca="1">结果表!C42</f>
        <v>29256</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8">
        <f ca="1">结果表!O39</f>
        <v>29256</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8" t="str">
        <f>结果表!O40</f>
        <v>——</v>
      </c>
    </row>
    <row r="8" spans="1:18">
      <c r="A8" s="3222" t="str">
        <f>IF(项目基本情况!B9="市场价格","——",项目基本情况!E9)</f>
        <v>抵押净值</v>
      </c>
      <c r="B8" s="3223"/>
      <c r="C8" s="3223"/>
      <c r="D8" s="3223"/>
      <c r="E8" s="3223"/>
      <c r="F8" s="3223"/>
      <c r="G8" s="3223"/>
      <c r="H8" s="3223"/>
      <c r="I8" s="3223"/>
      <c r="J8" s="3223"/>
      <c r="K8" s="3223"/>
      <c r="L8" s="3223"/>
      <c r="M8" s="3223"/>
      <c r="N8" s="3223"/>
      <c r="O8" s="3223"/>
      <c r="P8" s="3223"/>
      <c r="Q8" s="3224"/>
      <c r="R8" s="1798">
        <f ca="1">结果表!O41</f>
        <v>18864</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31" t="s">
        <v>2065</v>
      </c>
      <c r="B1" s="3231"/>
      <c r="C1" s="3231"/>
      <c r="D1" s="3231"/>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0" t="s">
        <v>2066</v>
      </c>
      <c r="B5" s="3230"/>
      <c r="C5" s="3230"/>
      <c r="D5" s="3230"/>
    </row>
    <row r="6" spans="1:4">
      <c r="A6" s="3231" t="s">
        <v>2044</v>
      </c>
      <c r="B6" s="3231"/>
      <c r="C6" s="3231"/>
      <c r="D6" s="3231"/>
    </row>
    <row r="7" spans="1:4" ht="33" customHeight="1">
      <c r="A7" s="3231" t="s">
        <v>2575</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0" t="s">
        <v>2068</v>
      </c>
      <c r="B12" s="3230"/>
      <c r="C12" s="3230"/>
      <c r="D12" s="3230"/>
    </row>
    <row r="13" spans="1:4">
      <c r="A13" s="3234" t="s">
        <v>2746</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2702</v>
      </c>
      <c r="B17" s="3231"/>
      <c r="C17" s="3231"/>
      <c r="D17" s="3231"/>
    </row>
    <row r="18" spans="1:4">
      <c r="A18" s="3231" t="s">
        <v>2694</v>
      </c>
      <c r="B18" s="3231"/>
      <c r="C18" s="3231"/>
      <c r="D18" s="323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1" t="s">
        <v>2699</v>
      </c>
      <c r="B23" s="3231"/>
      <c r="C23" s="3231"/>
      <c r="D23" s="323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2" t="s">
        <v>53</v>
      </c>
      <c r="B15" s="3243" t="s">
        <v>846</v>
      </c>
      <c r="C15" s="3239"/>
    </row>
    <row r="16" spans="1:7" ht="14.25">
      <c r="A16" s="3242"/>
      <c r="B16" s="3240" t="s">
        <v>54</v>
      </c>
      <c r="C16" s="1168" t="s">
        <v>53</v>
      </c>
    </row>
    <row r="17" spans="1:3" ht="14.25">
      <c r="A17" s="3242"/>
      <c r="B17" s="3240"/>
      <c r="C17" s="1168" t="s">
        <v>55</v>
      </c>
    </row>
    <row r="18" spans="1:3" ht="14.25">
      <c r="A18" s="3242"/>
      <c r="B18" s="3240"/>
      <c r="C18" s="1168" t="s">
        <v>56</v>
      </c>
    </row>
    <row r="19" spans="1:3" ht="14.25">
      <c r="A19" s="3242"/>
      <c r="B19" s="3238" t="s">
        <v>57</v>
      </c>
      <c r="C19" s="3239"/>
    </row>
    <row r="20" spans="1:3" ht="14.25">
      <c r="A20" s="1169" t="s">
        <v>58</v>
      </c>
      <c r="B20" s="1170"/>
      <c r="C20" s="1171"/>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2" t="s">
        <v>837</v>
      </c>
    </row>
    <row r="25" spans="1:3" ht="14.25">
      <c r="A25" s="3241"/>
      <c r="B25" s="3245"/>
      <c r="C25" s="1172" t="s">
        <v>838</v>
      </c>
    </row>
    <row r="26" spans="1:3" ht="14.25">
      <c r="A26" s="3241"/>
      <c r="B26" s="3245"/>
      <c r="C26" s="1172" t="s">
        <v>839</v>
      </c>
    </row>
    <row r="27" spans="1:3" ht="14.25">
      <c r="A27" s="3241"/>
      <c r="B27" s="3245"/>
      <c r="C27" s="1172" t="s">
        <v>840</v>
      </c>
    </row>
    <row r="28" spans="1:3" ht="14.25">
      <c r="A28" s="3241"/>
      <c r="B28" s="3245"/>
      <c r="C28" s="1172" t="s">
        <v>841</v>
      </c>
    </row>
    <row r="29" spans="1:3" ht="14.25">
      <c r="A29" s="3241"/>
      <c r="B29" s="3245"/>
      <c r="C29" s="1172" t="s">
        <v>842</v>
      </c>
    </row>
    <row r="30" spans="1:3" ht="14.25">
      <c r="A30" s="3241"/>
      <c r="B30" s="3245"/>
      <c r="C30" s="1172" t="s">
        <v>843</v>
      </c>
    </row>
    <row r="31" spans="1:3" ht="14.25">
      <c r="A31" s="3241"/>
      <c r="B31" s="3245"/>
      <c r="C31" s="1172" t="s">
        <v>844</v>
      </c>
    </row>
    <row r="32" spans="1:3" ht="14.25">
      <c r="A32" s="3241"/>
      <c r="B32" s="3245"/>
      <c r="C32" s="1172" t="s">
        <v>1646</v>
      </c>
    </row>
    <row r="33" spans="1:3" ht="14.25">
      <c r="A33" s="3241"/>
      <c r="B33" s="3235" t="s">
        <v>1652</v>
      </c>
      <c r="C33" s="1172" t="s">
        <v>1647</v>
      </c>
    </row>
    <row r="34" spans="1:3" ht="14.25">
      <c r="A34" s="3241"/>
      <c r="B34" s="3236"/>
      <c r="C34" s="1177" t="s">
        <v>1648</v>
      </c>
    </row>
    <row r="35" spans="1:3" ht="14.25">
      <c r="A35" s="3241"/>
      <c r="B35" s="3236"/>
      <c r="C35" s="1178" t="s">
        <v>1649</v>
      </c>
    </row>
    <row r="36" spans="1:3" ht="14.25">
      <c r="A36" s="3241"/>
      <c r="B36" s="3236"/>
      <c r="C36" s="1178" t="s">
        <v>1650</v>
      </c>
    </row>
    <row r="37" spans="1:3" ht="14.25">
      <c r="A37" s="3241"/>
      <c r="B37" s="323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46" t="s">
        <v>1926</v>
      </c>
      <c r="B25" s="3246"/>
      <c r="C25" s="3246"/>
      <c r="D25" s="3246"/>
      <c r="E25" s="3246"/>
      <c r="F25" s="3246"/>
      <c r="G25" s="3246"/>
    </row>
    <row r="26" spans="1:7" ht="20.25" customHeight="1">
      <c r="A26" s="3247" t="s">
        <v>1927</v>
      </c>
      <c r="B26" s="3247"/>
      <c r="C26" s="3247"/>
      <c r="D26" s="3247" t="s">
        <v>1928</v>
      </c>
      <c r="E26" s="3247"/>
      <c r="F26" s="3247"/>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比较法-住宅、综合 (商业)</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(商业)'!套工交易情况</vt:lpstr>
      <vt:lpstr>套工交易情况</vt:lpstr>
      <vt:lpstr>套工开发程度</vt:lpstr>
      <vt:lpstr>套工临街等级</vt:lpstr>
      <vt:lpstr>套工土地级别</vt:lpstr>
      <vt:lpstr>套工用途</vt:lpstr>
      <vt:lpstr>套工宗地形状</vt:lpstr>
      <vt:lpstr>'比较法-住宅、综合 (商业)'!套综道路等级</vt:lpstr>
      <vt:lpstr>套综道路等级</vt:lpstr>
      <vt:lpstr>'比较法-住宅、综合 (商业)'!套综工程地质条件</vt:lpstr>
      <vt:lpstr>套综工程地质条件</vt:lpstr>
      <vt:lpstr>'比较法-住宅、综合 (商业)'!套综交易情况</vt:lpstr>
      <vt:lpstr>套综交易情况</vt:lpstr>
      <vt:lpstr>'比较法-住宅、综合 (商业)'!套综临街宽度及深度</vt:lpstr>
      <vt:lpstr>套综临街宽度及深度</vt:lpstr>
      <vt:lpstr>'比较法-住宅、综合 (商业)'!套综土地级别</vt:lpstr>
      <vt:lpstr>套综土地级别</vt:lpstr>
      <vt:lpstr>'比较法-住宅、综合 (商业)'!套综用途</vt:lpstr>
      <vt:lpstr>套综用途</vt:lpstr>
      <vt:lpstr>'比较法-住宅、综合 (商业)'!套综宗地内开发程度</vt:lpstr>
      <vt:lpstr>套综宗地内开发程度</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2019-09-11T06:33:15Z</dcterms:modified>
</cp:coreProperties>
</file>