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5480" tabRatio="875" firstSheet="1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 name="Sheet3" sheetId="70" r:id="rId43"/>
    <sheet name="Sheet4" sheetId="71" r:id="rId44"/>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B22" i="1"/>
  <c r="C2" i="65"/>
  <c r="I1" i="65"/>
  <c r="I5" i="65"/>
  <c r="E2" i="65"/>
  <c r="B40" i="1"/>
  <c r="F24" i="15"/>
  <c r="F23"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37" i="21"/>
  <c r="AA37" i="21"/>
  <c r="R48" i="21"/>
  <c r="H37" i="21"/>
  <c r="AB37" i="21"/>
  <c r="T48" i="21"/>
  <c r="R49" i="21"/>
  <c r="C49" i="21"/>
  <c r="B3" i="21"/>
  <c r="B2" i="21"/>
  <c r="C10" i="12"/>
  <c r="C6" i="12"/>
  <c r="C13" i="12"/>
  <c r="C14" i="12"/>
  <c r="C15" i="12"/>
  <c r="D16" i="12"/>
  <c r="C16" i="12"/>
  <c r="C17" i="12"/>
  <c r="C18" i="12"/>
  <c r="D19" i="12"/>
  <c r="C19" i="12"/>
  <c r="D21" i="12"/>
  <c r="C21" i="12"/>
  <c r="D22" i="12"/>
  <c r="C22" i="12"/>
  <c r="C20" i="12"/>
  <c r="C23" i="12"/>
  <c r="C24" i="12"/>
  <c r="F26" i="12"/>
  <c r="B24" i="1"/>
  <c r="C28" i="12"/>
  <c r="C26" i="12"/>
  <c r="C29" i="12"/>
  <c r="C31" i="12"/>
  <c r="C30" i="12"/>
  <c r="F33" i="12"/>
  <c r="C35" i="12"/>
  <c r="C33" i="12"/>
  <c r="C27" i="12"/>
  <c r="D26" i="12"/>
  <c r="C32" i="12"/>
  <c r="D30" i="12"/>
  <c r="C34" i="12"/>
  <c r="D33" i="12"/>
  <c r="C36" i="12"/>
  <c r="B2" i="12"/>
  <c r="D19" i="9"/>
  <c r="G19" i="9"/>
  <c r="C32" i="9"/>
  <c r="C42" i="9"/>
  <c r="D14" i="66"/>
  <c r="K14" i="3"/>
  <c r="I13" i="3"/>
  <c r="I20" i="71"/>
  <c r="W23" i="1"/>
  <c r="W22" i="1"/>
  <c r="W21" i="1"/>
  <c r="O3" i="68"/>
  <c r="P3" i="68"/>
  <c r="O4" i="68"/>
  <c r="P4" i="68"/>
  <c r="O5" i="68"/>
  <c r="P5" i="68"/>
  <c r="O6" i="68"/>
  <c r="P6" i="68"/>
  <c r="O7" i="68"/>
  <c r="P7" i="68"/>
  <c r="O8" i="68"/>
  <c r="P8" i="68"/>
  <c r="O9" i="68"/>
  <c r="P9" i="68"/>
  <c r="O10" i="68"/>
  <c r="P10" i="68"/>
  <c r="O11" i="68"/>
  <c r="P11" i="68"/>
  <c r="O12" i="68"/>
  <c r="P12" i="68"/>
  <c r="O13" i="68"/>
  <c r="P13" i="68"/>
  <c r="O14" i="68"/>
  <c r="P14" i="68"/>
  <c r="O15" i="68"/>
  <c r="P15" i="68"/>
  <c r="O16" i="68"/>
  <c r="P16" i="68"/>
  <c r="P2" i="68"/>
  <c r="O2" i="68"/>
  <c r="H20" i="71"/>
  <c r="J17" i="71"/>
  <c r="H17" i="71"/>
  <c r="B2" i="1"/>
  <c r="C7" i="21"/>
  <c r="C58" i="21"/>
  <c r="D58" i="21"/>
  <c r="E58" i="21"/>
  <c r="F58" i="21"/>
  <c r="G58" i="21"/>
  <c r="H58" i="21"/>
  <c r="I58" i="21"/>
  <c r="J58" i="21"/>
  <c r="K58" i="21"/>
  <c r="L58" i="21"/>
  <c r="M58" i="21"/>
  <c r="N58" i="21"/>
  <c r="O58" i="21"/>
  <c r="F7" i="21"/>
  <c r="AA7" i="2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C33" i="21"/>
  <c r="F33" i="21"/>
  <c r="AA33" i="21"/>
  <c r="R47" i="21"/>
  <c r="F8" i="21"/>
  <c r="AA8" i="21"/>
  <c r="C63" i="21"/>
  <c r="F9" i="21"/>
  <c r="AA9" i="21"/>
  <c r="F10" i="21"/>
  <c r="AA10" i="21"/>
  <c r="D69" i="21"/>
  <c r="E69" i="21"/>
  <c r="F69" i="21"/>
  <c r="F11" i="21"/>
  <c r="AA11"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H7" i="21"/>
  <c r="AB7" i="21"/>
  <c r="H33" i="21"/>
  <c r="AB33"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8" i="21"/>
  <c r="AB38" i="21"/>
  <c r="H39" i="21"/>
  <c r="AB39" i="21"/>
  <c r="H40" i="21"/>
  <c r="AB40" i="21"/>
  <c r="H41" i="21"/>
  <c r="AB41" i="21"/>
  <c r="H42" i="21"/>
  <c r="AB42" i="21"/>
  <c r="H43" i="21"/>
  <c r="AB43" i="21"/>
  <c r="H44" i="21"/>
  <c r="AB44" i="21"/>
  <c r="H45" i="21"/>
  <c r="AB45" i="21"/>
  <c r="H46" i="21"/>
  <c r="AB46" i="21"/>
  <c r="J7" i="21"/>
  <c r="AC7" i="21"/>
  <c r="J33" i="21"/>
  <c r="AC33"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F19" i="6"/>
  <c r="E19" i="6"/>
  <c r="D3" i="21"/>
  <c r="C8" i="12"/>
  <c r="D59" i="21"/>
  <c r="E59" i="21"/>
  <c r="F59" i="21"/>
  <c r="G59" i="21"/>
  <c r="H59" i="21"/>
  <c r="I59" i="21"/>
  <c r="J59" i="21"/>
  <c r="K59" i="21"/>
  <c r="L59" i="21"/>
  <c r="M59" i="21"/>
  <c r="N59" i="21"/>
  <c r="O59" i="21"/>
  <c r="D73" i="39"/>
  <c r="E73" i="39"/>
  <c r="F73" i="39"/>
  <c r="G73" i="39"/>
  <c r="H73" i="39"/>
  <c r="I73" i="39"/>
  <c r="J73" i="39"/>
  <c r="K73" i="39"/>
  <c r="L73" i="39"/>
  <c r="M73" i="39"/>
  <c r="N73" i="39"/>
  <c r="I40" i="39"/>
  <c r="G40" i="39"/>
  <c r="E40" i="39"/>
  <c r="C40" i="39"/>
  <c r="I9" i="39"/>
  <c r="G9" i="39"/>
  <c r="E9" i="39"/>
  <c r="I7" i="39"/>
  <c r="G7" i="39"/>
  <c r="E7" i="39"/>
  <c r="A6" i="1"/>
  <c r="A7" i="1"/>
  <c r="G1" i="15"/>
  <c r="F20" i="6"/>
  <c r="E20" i="6"/>
  <c r="K7" i="1"/>
  <c r="C1" i="65"/>
  <c r="N1" i="65"/>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E3" i="6"/>
  <c r="D20" i="6"/>
  <c r="BQ5" i="3"/>
  <c r="BS5" i="3"/>
  <c r="F28" i="6"/>
  <c r="BR5" i="3"/>
  <c r="BT5" i="3"/>
  <c r="G28" i="6"/>
  <c r="E28" i="6"/>
  <c r="E21" i="6"/>
  <c r="E22" i="6"/>
  <c r="E23" i="6"/>
  <c r="E24" i="6"/>
  <c r="E25" i="6"/>
  <c r="E26" i="6"/>
  <c r="BA5" i="3"/>
  <c r="E27" i="6"/>
  <c r="K20" i="6"/>
  <c r="L20" i="6"/>
  <c r="M20" i="6"/>
  <c r="I20" i="6"/>
  <c r="H20" i="6"/>
  <c r="R20" i="6"/>
  <c r="R7" i="1"/>
  <c r="B52" i="1"/>
  <c r="F34" i="15"/>
  <c r="M7" i="1"/>
  <c r="T4" i="1"/>
  <c r="K14" i="1"/>
  <c r="M14" i="1"/>
  <c r="S7" i="1"/>
  <c r="K19" i="6"/>
  <c r="S6" i="1"/>
  <c r="A8" i="1"/>
  <c r="S8" i="1"/>
  <c r="A9" i="1"/>
  <c r="S9" i="1"/>
  <c r="A10" i="1"/>
  <c r="S10" i="1"/>
  <c r="A11" i="1"/>
  <c r="S11" i="1"/>
  <c r="A12" i="1"/>
  <c r="S12" i="1"/>
  <c r="A13" i="1"/>
  <c r="S13" i="1"/>
  <c r="S16" i="1"/>
  <c r="T7" i="1"/>
  <c r="F15" i="15"/>
  <c r="F17" i="15"/>
  <c r="F18" i="15"/>
  <c r="F20" i="15"/>
  <c r="H1" i="65"/>
  <c r="F21" i="15"/>
  <c r="F28" i="15"/>
  <c r="C28" i="15"/>
  <c r="E19" i="4"/>
  <c r="F7" i="1"/>
  <c r="J50" i="15"/>
  <c r="J51" i="15"/>
  <c r="M47" i="15"/>
  <c r="L46" i="15"/>
  <c r="B3" i="15"/>
  <c r="D8" i="12"/>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L24" i="4"/>
  <c r="L25"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BK5" i="3"/>
  <c r="BO5" i="3"/>
  <c r="BP5" i="3"/>
  <c r="BN5" i="3"/>
  <c r="BC5" i="3"/>
  <c r="E8" i="6"/>
  <c r="BD5"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8" i="1"/>
  <c r="AE6" i="1"/>
  <c r="W18" i="36"/>
  <c r="AC18" i="36"/>
  <c r="AG6" i="1"/>
  <c r="D12" i="11"/>
  <c r="C12" i="11"/>
  <c r="D16" i="43"/>
  <c r="C16" i="43"/>
  <c r="L19" i="6"/>
  <c r="L27" i="6"/>
  <c r="B21" i="55"/>
  <c r="B72" i="63"/>
  <c r="B20" i="55"/>
  <c r="B70" i="63"/>
  <c r="E6" i="6"/>
  <c r="L38" i="9"/>
  <c r="B14" i="66"/>
  <c r="B1" i="66"/>
  <c r="C45" i="9"/>
  <c r="H14" i="66"/>
  <c r="B7" i="66"/>
  <c r="C7" i="66"/>
  <c r="R9" i="1"/>
  <c r="R8" i="1"/>
  <c r="M19" i="6"/>
  <c r="I19" i="6"/>
  <c r="H19" i="6"/>
  <c r="D19" i="6"/>
  <c r="R19" i="6"/>
  <c r="R6"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E68" i="39"/>
  <c r="F68" i="39"/>
  <c r="B2" i="39"/>
  <c r="O7" i="1"/>
  <c r="P7" i="1"/>
  <c r="O9" i="1"/>
  <c r="P9" i="1"/>
  <c r="O11" i="1"/>
  <c r="P11" i="1"/>
  <c r="O12" i="1"/>
  <c r="P12" i="1"/>
  <c r="O13" i="1"/>
  <c r="P13" i="1"/>
  <c r="O14" i="1"/>
  <c r="P14" i="1"/>
  <c r="P16" i="1"/>
  <c r="Q16" i="1"/>
  <c r="C25" i="12"/>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D63" i="9"/>
  <c r="D71" i="9"/>
  <c r="D66" i="9"/>
  <c r="N72" i="9"/>
  <c r="C103" i="9"/>
  <c r="C111" i="9"/>
  <c r="C104" i="9"/>
  <c r="C113" i="9"/>
  <c r="C114" i="9"/>
  <c r="C115" i="9"/>
  <c r="D76" i="9"/>
  <c r="D74" i="9"/>
  <c r="N74" i="9"/>
  <c r="D77" i="9"/>
  <c r="N75" i="9"/>
  <c r="O77" i="9"/>
  <c r="O79"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J5" i="65"/>
  <c r="J6" i="65"/>
  <c r="F31" i="15"/>
  <c r="F58" i="15"/>
  <c r="I7" i="65"/>
  <c r="I4" i="65"/>
  <c r="J3" i="65"/>
  <c r="I3" i="65"/>
  <c r="J4" i="65"/>
  <c r="M17" i="15"/>
  <c r="M19" i="44"/>
  <c r="E65" i="40"/>
  <c r="D67" i="40"/>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8" i="6"/>
  <c r="H23" i="6"/>
  <c r="E45" i="9"/>
  <c r="F45" i="9"/>
  <c r="F44" i="9"/>
  <c r="K38" i="9"/>
  <c r="C14" i="66"/>
  <c r="B2" i="66"/>
  <c r="D24" i="6"/>
  <c r="D26" i="6"/>
  <c r="H26" i="6"/>
  <c r="R26" i="6"/>
  <c r="D22" i="6"/>
  <c r="D11" i="6"/>
  <c r="D12" i="6"/>
  <c r="H25" i="6"/>
  <c r="D9" i="6"/>
  <c r="D5" i="6"/>
  <c r="D29"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F21" i="43"/>
  <c r="C23" i="43"/>
  <c r="D21" i="43"/>
  <c r="F7" i="36"/>
  <c r="S7" i="36"/>
  <c r="C20" i="46"/>
  <c r="M20" i="46"/>
  <c r="C19" i="46"/>
  <c r="F26" i="44"/>
  <c r="C26" i="44"/>
  <c r="R24" i="6"/>
  <c r="D16" i="6"/>
  <c r="D30" i="6"/>
  <c r="R22" i="6"/>
  <c r="R23" i="6"/>
  <c r="R25" i="6"/>
  <c r="D27" i="6"/>
  <c r="M27" i="6"/>
  <c r="D7" i="66"/>
  <c r="D6"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N68" i="9"/>
  <c r="R5" i="54"/>
  <c r="B48" i="63"/>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82" i="9"/>
  <c r="C81" i="9"/>
  <c r="C85" i="9"/>
  <c r="C86" i="9"/>
  <c r="D72" i="9"/>
  <c r="D70" i="9"/>
  <c r="C96" i="9"/>
  <c r="C91" i="9"/>
  <c r="C90" i="9"/>
  <c r="B5" i="66"/>
  <c r="F14" i="66"/>
  <c r="E14" i="6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5" i="66"/>
  <c r="D5" i="66"/>
  <c r="C97" i="9"/>
  <c r="E7" i="67"/>
  <c r="F7" i="67"/>
  <c r="J65" i="40"/>
  <c r="I67" i="40"/>
  <c r="E4" i="67"/>
  <c r="E3" i="67"/>
  <c r="B2" i="46"/>
  <c r="D4" i="46"/>
  <c r="C18" i="43"/>
  <c r="C19" i="43"/>
  <c r="C25" i="43"/>
  <c r="C24" i="43"/>
  <c r="C28" i="44"/>
  <c r="C31" i="44"/>
  <c r="J19" i="15"/>
  <c r="K48" i="35"/>
  <c r="L48" i="35"/>
  <c r="M48" i="35"/>
  <c r="N48" i="35"/>
  <c r="O48" i="35"/>
  <c r="J7" i="35"/>
  <c r="K52" i="37"/>
  <c r="B3" i="46"/>
  <c r="E114" i="9"/>
  <c r="E115" i="9"/>
  <c r="O78" i="9"/>
  <c r="Q77" i="9"/>
  <c r="C98" i="9"/>
  <c r="C99" i="9"/>
  <c r="E98" i="9"/>
  <c r="E99" i="9"/>
  <c r="B7" i="67"/>
  <c r="C35" i="44"/>
  <c r="C33" i="44"/>
  <c r="J21" i="44"/>
  <c r="J19" i="44"/>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<sst xmlns="http://schemas.openxmlformats.org/spreadsheetml/2006/main" count="7083" uniqueCount="3114">
  <si>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</si>
  <si>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</si>
  <si>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</si>
  <si>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</si>
  <si>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</si>
  <si>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</si>
  <si>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</si>
  <si>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</si>
  <si>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</si>
  <si>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</si>
  <si>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</si>
  <si>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</si>
  <si>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</si>
  <si>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</si>
  <si>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</si>
  <si>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</si>
  <si>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</si>
  <si>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</si>
  <si>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</si>
  <si>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</si>
  <si>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</si>
  <si>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</si>
  <si>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</si>
  <si>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</si>
  <si>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</si>
  <si>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</si>
  <si>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</si>
  <si>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</si>
  <si>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</si>
  <si>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</si>
  <si>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</si>
  <si>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</si>
  <si>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</si>
  <si>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</si>
  <si>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</si>
  <si>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</si>
  <si>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</si>
  <si>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</si>
  <si>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</si>
  <si>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</si>
  <si>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</si>
  <si>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</si>
  <si>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</si>
  <si>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</si>
  <si>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</si>
  <si>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</si>
  <si>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</si>
  <si>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</si>
  <si>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</si>
  <si>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</si>
  <si>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</si>
  <si>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</si>
  <si>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</si>
  <si>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</si>
  <si>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</si>
  <si>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</si>
  <si>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</si>
  <si>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</si>
  <si>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</si>
  <si>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</si>
  <si>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</si>
  <si>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</si>
  <si>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</si>
  <si>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</si>
  <si>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</si>
  <si>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</si>
  <si>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</si>
  <si>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</si>
  <si>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</si>
  <si>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</si>
  <si>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</si>
  <si>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</si>
  <si>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</si>
  <si>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</si>
  <si>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</si>
  <si>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</si>
  <si>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</si>
  <si>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</si>
  <si>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</si>
  <si>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</si>
  <si>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</si>
  <si>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</si>
  <si>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</si>
  <si>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</si>
  <si>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</si>
  <si>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</si>
  <si>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</si>
  <si>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</si>
  <si>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</si>
  <si>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</si>
  <si>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</si>
  <si>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</si>
  <si>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</si>
  <si>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</si>
  <si>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</si>
  <si>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</si>
  <si>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</si>
  <si>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</si>
  <si>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</si>
  <si>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</si>
  <si>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</si>
  <si>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</si>
  <si>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</si>
  <si>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</si>
  <si>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</si>
  <si>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</si>
  <si>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</si>
  <si>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</si>
  <si>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</si>
  <si>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</si>
  <si>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</si>
  <si>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</si>
  <si>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</si>
  <si>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</si>
  <si>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</si>
  <si>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</si>
  <si>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</si>
  <si>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</si>
  <si>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</si>
  <si>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</si>
  <si>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</si>
  <si>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</si>
  <si>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</si>
  <si>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</si>
  <si>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</si>
  <si>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</si>
  <si>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</si>
  <si>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</si>
  <si>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</si>
  <si>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</si>
  <si>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</si>
  <si>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</si>
  <si>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</si>
  <si>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</si>
  <si>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</si>
  <si>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</si>
  <si>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</si>
  <si>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</si>
  <si>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</si>
  <si>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</si>
  <si>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</si>
  <si>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</si>
  <si>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</si>
  <si>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</si>
  <si>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</si>
  <si>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</si>
  <si>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</si>
  <si>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</si>
  <si>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</si>
  <si>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</si>
  <si>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</si>
  <si>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</si>
  <si>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</si>
  <si>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</si>
  <si>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</si>
  <si>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</si>
  <si>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</si>
  <si>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</si>
  <si>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</si>
  <si>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</si>
  <si>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</si>
  <si>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</si>
  <si>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</si>
  <si>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</si>
  <si>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</si>
  <si>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</si>
  <si>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</si>
  <si>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</si>
  <si>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</si>
  <si>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</si>
  <si>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</si>
  <si>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</si>
  <si>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</si>
  <si>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</si>
  <si>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</si>
  <si>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</si>
  <si>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</si>
  <si>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</si>
  <si>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</si>
  <si>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</si>
  <si>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</si>
  <si>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</si>
  <si>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</si>
  <si>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</si>
  <si>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</si>
  <si>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</si>
  <si>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</si>
  <si>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</si>
  <si>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</si>
  <si>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</si>
  <si>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</si>
  <si>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</si>
  <si>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</si>
  <si>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</si>
  <si>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</si>
  <si>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</si>
  <si>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</si>
  <si>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</si>
  <si>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</si>
  <si>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</si>
  <si>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</si>
  <si>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</si>
  <si>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</si>
  <si>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</si>
  <si>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</si>
  <si>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</si>
  <si>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</si>
  <si>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</si>
  <si>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</si>
  <si>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</si>
  <si>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</si>
  <si>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</si>
  <si>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</si>
  <si>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</si>
  <si>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</si>
  <si>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</si>
  <si>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</si>
  <si>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</si>
  <si>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</si>
  <si>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</si>
  <si>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</si>
  <si>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</si>
  <si>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</si>
  <si>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</si>
  <si>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</si>
  <si>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</si>
  <si>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</si>
  <si>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</si>
  <si>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</si>
  <si>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</si>
  <si>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</si>
  <si>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</si>
  <si>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</si>
  <si>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</si>
  <si>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</si>
  <si>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</si>
  <si>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</si>
  <si>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</si>
  <si>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</si>
  <si>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</si>
  <si>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</si>
  <si>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</si>
  <si>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</si>
  <si>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</si>
  <si>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</si>
  <si>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</si>
  <si>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</si>
  <si>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</si>
  <si>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</si>
  <si>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</si>
  <si>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</si>
  <si>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</si>
  <si>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</si>
  <si>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</si>
  <si>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</si>
  <si>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</si>
  <si>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</si>
  <si>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</si>
  <si>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</si>
  <si>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</si>
  <si>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</si>
  <si>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</si>
  <si>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</si>
  <si>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</si>
  <si>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</si>
  <si>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</si>
  <si>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</si>
  <si>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</si>
  <si>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</si>
  <si>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</si>
  <si>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</si>
  <si>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</si>
  <si>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</si>
  <si>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</si>
  <si>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</si>
  <si>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</si>
  <si>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</si>
  <si>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</si>
  <si>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</si>
  <si>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</si>
  <si>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</si>
  <si>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</si>
  <si>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</si>
  <si>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</si>
  <si>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</si>
  <si>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</si>
  <si>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</si>
  <si>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</si>
  <si>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</si>
  <si>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</si>
  <si>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</si>
  <si>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</si>
  <si>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</si>
  <si>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</si>
  <si>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</si>
  <si>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</si>
  <si>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</si>
  <si>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</si>
  <si>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</si>
  <si>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</si>
  <si>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</si>
  <si>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</si>
  <si>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</si>
  <si>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</si>
  <si>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</si>
  <si>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</si>
  <si>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</si>
  <si>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</si>
  <si>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</si>
  <si>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</si>
  <si>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</si>
  <si>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</si>
  <si>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</si>
  <si>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</si>
  <si>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</si>
  <si>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</si>
  <si>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</si>
  <si>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</si>
  <si>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</si>
  <si>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</si>
  <si>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</si>
  <si>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</si>
  <si>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</si>
  <si>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</si>
  <si>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</si>
  <si>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</si>
  <si>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</si>
  <si>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</si>
  <si>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</si>
  <si>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</si>
  <si>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</si>
  <si>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</si>
  <si>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</si>
  <si>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</si>
  <si>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</si>
  <si>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</si>
  <si>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</si>
  <si>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</si>
  <si>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</si>
  <si>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</si>
  <si>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</si>
  <si>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</si>
  <si>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</si>
  <si>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</si>
  <si>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</si>
  <si>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</si>
  <si>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</si>
  <si>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</si>
  <si>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</si>
  <si>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</si>
  <si>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</si>
  <si>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</si>
  <si>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</si>
  <si>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</si>
  <si>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</si>
  <si>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</si>
  <si>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</si>
  <si>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</si>
  <si>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</si>
  <si>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</si>
  <si>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</si>
  <si>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</si>
  <si>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</si>
  <si>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</si>
  <si>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</si>
  <si>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</si>
  <si>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</si>
  <si>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</si>
  <si>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</si>
  <si>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</si>
  <si>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</si>
  <si>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</si>
  <si>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</si>
  <si>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</si>
  <si>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</si>
  <si>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</si>
  <si>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</si>
  <si>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</si>
  <si>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</si>
  <si>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</si>
  <si>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</si>
  <si>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</si>
  <si>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</si>
  <si>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</si>
  <si>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</si>
  <si>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</si>
  <si>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</si>
  <si>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</si>
  <si>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</si>
  <si>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</si>
  <si>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</si>
  <si>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</si>
  <si>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</si>
  <si>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</si>
  <si>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</si>
  <si>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</si>
  <si>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</si>
  <si>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</si>
  <si>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</si>
  <si>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</si>
  <si>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</si>
  <si>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</si>
  <si>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</si>
  <si>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</si>
  <si>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</si>
  <si>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</si>
  <si>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</si>
  <si>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</si>
  <si>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</si>
  <si>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</si>
  <si>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</si>
  <si>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</si>
  <si>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</si>
  <si>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</si>
  <si>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</si>
  <si>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</si>
  <si>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</si>
  <si>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</si>
  <si>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</si>
  <si>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</si>
  <si>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</si>
  <si>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</si>
  <si>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</si>
  <si>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</si>
  <si>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</si>
  <si>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</si>
  <si>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</si>
  <si>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</si>
  <si>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</si>
  <si>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</si>
  <si>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</si>
  <si>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</si>
  <si>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</si>
  <si>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</si>
  <si>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</si>
  <si>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</si>
  <si>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</si>
  <si>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</si>
  <si>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</si>
  <si>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</si>
  <si>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</si>
  <si>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</si>
  <si>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</si>
  <si>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</si>
  <si>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</si>
  <si>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</si>
  <si>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</si>
  <si>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</si>
  <si>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</si>
  <si>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</si>
  <si>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</si>
  <si>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</si>
  <si>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</si>
  <si>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</si>
  <si>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</si>
  <si>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</si>
  <si>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</si>
  <si>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</si>
  <si>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</si>
  <si>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</si>
  <si>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</si>
  <si>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</si>
  <si>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</si>
  <si>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</si>
  <si>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</si>
  <si>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</si>
  <si>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</si>
  <si>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</si>
  <si>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</si>
  <si>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</si>
  <si>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</si>
  <si>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</si>
  <si>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</si>
  <si>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</si>
  <si>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</si>
  <si>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</si>
  <si>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</si>
  <si>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</si>
  <si>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</si>
  <si>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</si>
  <si>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</si>
  <si>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</si>
  <si>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</si>
  <si>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</si>
  <si>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</si>
  <si>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</si>
  <si>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</si>
  <si>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</si>
  <si>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</si>
  <si>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</si>
  <si>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</si>
  <si>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</si>
  <si>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</si>
  <si>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</si>
  <si>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</si>
  <si>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</si>
  <si>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</si>
  <si>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</si>
  <si>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</si>
  <si>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</si>
  <si>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</si>
  <si>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</si>
  <si>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</si>
  <si>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</si>
  <si>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</si>
  <si>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</si>
  <si>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</si>
  <si>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</si>
  <si>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</si>
  <si>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</si>
  <si>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</si>
  <si>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</si>
  <si>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</si>
  <si>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</si>
  <si>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</si>
  <si>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</si>
  <si>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</si>
  <si>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</si>
  <si>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</si>
  <si>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</si>
  <si>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</si>
  <si>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</si>
  <si>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</si>
  <si>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</si>
  <si>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</si>
  <si>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</si>
  <si>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</si>
  <si>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</si>
  <si>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</si>
  <si>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</si>
  <si>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</si>
  <si>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</si>
  <si>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</si>
  <si>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</si>
  <si>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</si>
  <si>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</si>
  <si>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</si>
  <si>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</si>
  <si>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</si>
  <si>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</si>
  <si>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</si>
  <si>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</si>
  <si>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</si>
  <si>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</si>
  <si>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</si>
  <si>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</si>
  <si>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</si>
  <si>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</si>
  <si>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</si>
  <si>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</si>
  <si>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</si>
  <si>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</si>
  <si>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</si>
  <si>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</si>
  <si>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</si>
  <si>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</si>
  <si>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</si>
  <si>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</si>
  <si>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</si>
  <si>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</si>
  <si>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</si>
  <si>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</si>
  <si>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</si>
  <si>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</si>
  <si>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</si>
  <si>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</si>
  <si>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</si>
  <si>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</si>
  <si>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</si>
  <si>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</si>
  <si>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</si>
  <si>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</si>
  <si>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</si>
  <si>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</si>
  <si>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</si>
  <si>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</si>
  <si>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</si>
  <si>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</si>
  <si>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</si>
  <si>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</si>
  <si>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</si>
  <si>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</si>
  <si>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</si>
  <si>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</si>
  <si>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</si>
  <si>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</si>
  <si>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</si>
  <si>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</si>
  <si>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</si>
  <si>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</si>
  <si>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</si>
  <si>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</si>
  <si>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</si>
  <si>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</si>
  <si>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</si>
  <si>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</si>
  <si>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</si>
  <si>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</si>
  <si>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</si>
  <si>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</si>
  <si>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</si>
  <si>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</si>
  <si>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</si>
  <si>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</si>
  <si>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</si>
  <si>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</si>
  <si>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</si>
  <si>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</si>
  <si>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</si>
  <si>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</si>
  <si>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</si>
  <si>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</si>
  <si>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</si>
  <si>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</si>
  <si>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</si>
  <si>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</si>
  <si>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</si>
  <si>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</si>
  <si>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</si>
  <si>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</si>
  <si>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</si>
  <si>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</si>
  <si>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</si>
  <si>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</si>
  <si>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</si>
  <si>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</si>
  <si>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</si>
  <si>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</si>
  <si>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</si>
  <si>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</si>
  <si>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</si>
  <si>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</si>
  <si>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</si>
  <si>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</si>
  <si>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</si>
  <si>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</si>
  <si>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</si>
  <si>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</si>
  <si>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</si>
  <si>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</si>
  <si>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</si>
  <si>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</si>
  <si>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</si>
  <si>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</si>
  <si>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</si>
  <si>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</si>
  <si>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</si>
  <si>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</si>
  <si>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</si>
  <si>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</si>
  <si>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</si>
  <si>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</si>
  <si>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</si>
  <si>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</si>
  <si>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</si>
  <si>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</si>
  <si>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</si>
  <si>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</si>
  <si>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</si>
  <si>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</si>
  <si>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</si>
  <si>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</si>
  <si>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</si>
  <si>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</si>
  <si>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</si>
  <si>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</si>
  <si>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</si>
  <si>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</si>
  <si>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</si>
  <si>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</si>
  <si>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</si>
  <si>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</si>
  <si>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</si>
  <si>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</si>
  <si>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</si>
  <si>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</si>
  <si>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</si>
  <si>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</si>
  <si>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</si>
  <si>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</si>
  <si>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</si>
  <si>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</si>
  <si>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</si>
  <si>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</si>
  <si>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</si>
  <si>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</si>
  <si>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</si>
  <si>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</si>
  <si>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</si>
  <si>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</si>
  <si>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</si>
  <si>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</si>
  <si>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</si>
  <si>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</si>
  <si>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</si>
  <si>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</si>
  <si>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</si>
  <si>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</si>
  <si>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</si>
  <si>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</si>
  <si>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</si>
  <si>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</si>
  <si>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</si>
  <si>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</si>
  <si>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</si>
  <si>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</si>
  <si>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</si>
  <si>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</si>
  <si>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</si>
  <si>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</si>
  <si>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</si>
  <si>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</si>
  <si>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</si>
  <si>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</si>
  <si>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</si>
  <si>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</si>
  <si>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</si>
  <si>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</si>
  <si>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</si>
  <si>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</si>
  <si>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</si>
  <si>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</si>
  <si>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</si>
  <si>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</si>
  <si>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</si>
  <si>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</si>
  <si>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</si>
  <si>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</si>
  <si>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</si>
  <si>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</si>
  <si>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</si>
  <si>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</si>
  <si>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</si>
  <si>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</si>
  <si>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</si>
  <si>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</si>
  <si>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</si>
  <si>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</si>
  <si>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</si>
  <si>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</si>
  <si>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</si>
  <si>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</si>
  <si>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</si>
  <si>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</si>
  <si>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</si>
  <si>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</si>
  <si>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</si>
  <si>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</si>
  <si>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</si>
  <si>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</si>
  <si>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</si>
  <si>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</si>
  <si>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</si>
  <si>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</si>
  <si>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</si>
  <si>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</si>
  <si>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</si>
  <si>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</si>
  <si>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</si>
  <si>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</si>
  <si>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</si>
  <si>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</si>
  <si>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</si>
  <si>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</si>
  <si>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</si>
  <si>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</si>
  <si>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</si>
  <si>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</si>
  <si>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</si>
  <si>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</si>
  <si>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</si>
  <si>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</si>
  <si>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</si>
  <si>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</si>
  <si>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</si>
  <si>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</si>
  <si>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</si>
  <si>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</si>
  <si>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</si>
  <si>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</si>
  <si>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</si>
  <si>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</si>
  <si>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</si>
  <si>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</si>
  <si>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</si>
  <si>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</si>
  <si>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</si>
  <si>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</si>
  <si>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</si>
  <si>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</si>
  <si>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</si>
  <si>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</si>
  <si>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</si>
  <si>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</si>
  <si>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</si>
  <si>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</si>
  <si>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</si>
  <si>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</si>
  <si>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</si>
  <si>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</si>
  <si>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</si>
  <si>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</si>
  <si>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</si>
  <si>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</si>
  <si>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</si>
  <si>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</si>
  <si>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</si>
  <si>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</si>
  <si>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</si>
  <si>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</si>
  <si>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</si>
  <si>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</si>
  <si>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</si>
  <si>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</si>
  <si>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</si>
  <si>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</si>
  <si>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</si>
  <si>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</si>
  <si>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</si>
  <si>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</si>
  <si>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</si>
  <si>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</si>
  <si>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</si>
  <si>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</si>
  <si>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</si>
  <si>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</si>
  <si>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</si>
  <si>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</si>
  <si>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</si>
  <si>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</si>
  <si>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</si>
  <si>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</si>
  <si>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</si>
  <si>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</si>
  <si>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</si>
  <si>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</si>
  <si>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</si>
  <si>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</si>
  <si>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</si>
  <si>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</si>
  <si>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</si>
  <si>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</si>
  <si>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</si>
  <si>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</si>
  <si>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</si>
  <si>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</si>
  <si>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</si>
  <si>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</si>
  <si>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</si>
  <si>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</si>
  <si>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</si>
  <si>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</si>
  <si>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</si>
  <si>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</si>
  <si>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</si>
  <si>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</si>
  <si>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</si>
  <si>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</si>
  <si>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</si>
  <si>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</si>
  <si>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</si>
  <si>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</si>
  <si>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</si>
  <si>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</si>
  <si>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</si>
  <si>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</si>
  <si>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</si>
  <si>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</si>
  <si>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</si>
  <si>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</si>
  <si>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</si>
  <si>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</si>
  <si>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</si>
  <si>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</si>
  <si>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</si>
  <si>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</si>
  <si>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</si>
  <si>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</si>
  <si>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</si>
  <si>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</si>
  <si>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</si>
  <si>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</si>
  <si>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</si>
  <si>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</si>
  <si>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</si>
  <si>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</si>
  <si>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</si>
  <si>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</si>
  <si>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</si>
  <si>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</si>
  <si>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</si>
  <si>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</si>
  <si>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</si>
  <si>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</si>
  <si>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</si>
  <si>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</si>
  <si>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</si>
  <si>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</si>
  <si>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</si>
  <si>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</si>
  <si>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</si>
  <si>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</si>
  <si>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</si>
  <si>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</si>
  <si>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</si>
  <si>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</si>
  <si>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</si>
  <si>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</si>
  <si>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</si>
  <si>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</si>
  <si>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</si>
  <si>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</si>
  <si>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</si>
  <si>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</si>
  <si>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</si>
  <si>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</si>
  <si>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</si>
  <si>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</si>
  <si>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</si>
  <si>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</si>
  <si>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</si>
  <si>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</si>
  <si>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</si>
  <si>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</si>
  <si>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</si>
  <si>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</si>
  <si>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</si>
  <si>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</si>
  <si>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</si>
  <si>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</si>
  <si>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</si>
  <si>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</si>
  <si>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</si>
  <si>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</si>
  <si>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</si>
  <si>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</si>
  <si>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</si>
  <si>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</si>
  <si>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</si>
  <si>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</si>
  <si>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</si>
  <si>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</si>
  <si>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</si>
  <si>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</si>
  <si>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</si>
  <si>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</si>
  <si>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</si>
  <si>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</si>
  <si>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</si>
  <si>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</si>
  <si>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</si>
  <si>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</si>
  <si>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</si>
  <si>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</si>
  <si>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</si>
  <si>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</si>
  <si>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</si>
  <si>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</si>
  <si>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</si>
  <si>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</si>
  <si>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</si>
  <si>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</si>
  <si>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</si>
  <si>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</si>
  <si>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</si>
  <si>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</si>
  <si>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</si>
  <si>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</si>
  <si>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</si>
  <si>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</si>
  <si>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</si>
  <si>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</si>
  <si>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</si>
  <si>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</si>
  <si>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</si>
  <si>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</si>
  <si>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</si>
  <si>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</si>
  <si>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</si>
  <si>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</si>
  <si>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</si>
  <si>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</si>
  <si>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</si>
  <si>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</si>
  <si>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</si>
  <si>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</si>
  <si>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</si>
  <si>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</si>
  <si>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</si>
  <si>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</si>
  <si>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</si>
  <si>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</si>
  <si>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</si>
  <si>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</si>
  <si>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</si>
  <si>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</si>
  <si>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</si>
  <si>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</si>
  <si>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</si>
  <si>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</si>
  <si>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</si>
  <si>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</si>
  <si>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</si>
  <si>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</si>
  <si>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</si>
  <si>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</si>
  <si>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</si>
  <si>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</si>
  <si>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</si>
  <si>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</si>
  <si>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</si>
  <si>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</si>
  <si>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</si>
  <si>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</si>
  <si>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</si>
  <si>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</si>
  <si>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</si>
  <si>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</si>
  <si>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</si>
  <si>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</si>
  <si>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</si>
  <si>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</si>
  <si>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</si>
  <si>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</si>
  <si>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</si>
  <si>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</si>
  <si>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</si>
  <si>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</si>
  <si>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</si>
  <si>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</si>
  <si>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</si>
  <si>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</si>
  <si>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</si>
  <si>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</si>
  <si>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</si>
  <si>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</si>
  <si>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</si>
  <si>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</si>
  <si>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</si>
  <si>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</si>
  <si>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</si>
  <si>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</si>
  <si>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</si>
  <si>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</si>
  <si>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</si>
  <si>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</si>
  <si>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</si>
  <si>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</si>
  <si>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</si>
  <si>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</si>
  <si>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</si>
  <si>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</si>
  <si>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</si>
  <si>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</si>
  <si>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</si>
  <si>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</si>
  <si>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</si>
  <si>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</si>
  <si>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</si>
  <si>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</si>
  <si>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</si>
  <si>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</si>
  <si>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</si>
  <si>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</si>
  <si>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</si>
  <si>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</si>
  <si>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</si>
  <si>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</si>
  <si>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</si>
  <si>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</si>
  <si>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</si>
  <si>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</si>
  <si>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</si>
  <si>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</si>
  <si>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</si>
  <si>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</si>
  <si>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</si>
  <si>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</si>
  <si>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</si>
  <si>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</si>
  <si>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</si>
  <si>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</si>
  <si>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</si>
  <si>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</si>
  <si>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</si>
  <si>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</si>
  <si>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</si>
  <si>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</si>
  <si>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</si>
  <si>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</si>
  <si>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</si>
  <si>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</si>
  <si>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</si>
  <si>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</si>
  <si>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</si>
  <si>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</si>
  <si>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</si>
  <si>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</si>
  <si>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</si>
  <si>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</si>
  <si>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</si>
  <si>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</si>
  <si>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</si>
  <si>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</si>
  <si>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</si>
  <si>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</si>
  <si>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</si>
  <si>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</si>
  <si>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</si>
  <si>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</si>
  <si>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</si>
  <si>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</si>
  <si>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</si>
  <si>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</si>
  <si>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</si>
  <si>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</si>
  <si>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</si>
  <si>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</si>
  <si>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</si>
  <si>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</si>
  <si>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</si>
  <si>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</si>
  <si>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</si>
  <si>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</si>
  <si>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</si>
  <si>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</si>
  <si>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</si>
  <si>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</si>
  <si>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</si>
  <si>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</si>
  <si>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</si>
  <si>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</si>
  <si>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</si>
  <si>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</si>
  <si>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</si>
  <si>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</si>
  <si>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</si>
  <si>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</si>
  <si>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</si>
  <si>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</si>
  <si>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</si>
  <si>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</si>
  <si>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</si>
  <si>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</si>
  <si>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</si>
  <si>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</si>
  <si>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</si>
  <si>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</si>
  <si>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</si>
  <si>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</si>
  <si>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</si>
  <si>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</si>
  <si>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</si>
  <si>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</si>
  <si>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</si>
  <si>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</si>
  <si>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</si>
  <si>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</si>
  <si>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</si>
  <si>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</si>
  <si>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</si>
  <si>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</si>
  <si>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</si>
  <si>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</si>
  <si>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</si>
  <si>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</si>
  <si>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</si>
  <si>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</si>
  <si>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</si>
  <si>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</si>
  <si>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</si>
  <si>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</si>
  <si>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</si>
  <si>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</si>
  <si>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</si>
  <si>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</si>
  <si>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</si>
  <si>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</si>
  <si>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</si>
  <si>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</si>
  <si>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</si>
  <si>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</si>
  <si>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</si>
  <si>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</si>
  <si>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</si>
  <si>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</si>
  <si>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</si>
  <si>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</si>
  <si>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</si>
  <si>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</si>
  <si>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</si>
  <si>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</si>
  <si>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</si>
  <si>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</si>
  <si>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</si>
  <si>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</si>
  <si>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</si>
  <si>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</si>
  <si>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</si>
  <si>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</si>
  <si>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</si>
  <si>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</si>
  <si>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</si>
  <si>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</si>
  <si>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</si>
  <si>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</si>
  <si>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</si>
  <si>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</si>
  <si>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</si>
  <si>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</si>
  <si>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</si>
  <si>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</si>
  <si>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</si>
  <si>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</si>
  <si>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</si>
  <si>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</si>
  <si>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</si>
  <si>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</si>
  <si>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</si>
  <si>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</si>
  <si>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</si>
  <si>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</si>
  <si>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</si>
  <si>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</si>
  <si>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</si>
  <si>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</si>
  <si>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</si>
  <si>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</si>
  <si>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</si>
  <si>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</si>
  <si>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</si>
  <si>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</si>
  <si>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</si>
  <si>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</si>
  <si>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</si>
  <si>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</si>
  <si>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</si>
  <si>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</si>
  <si>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</si>
  <si>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</si>
  <si>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</si>
  <si>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</si>
  <si>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</si>
  <si>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</si>
  <si>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</si>
  <si>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</si>
  <si>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</si>
  <si>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</si>
  <si>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</si>
  <si>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</si>
  <si>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</si>
  <si>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</si>
  <si>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</si>
  <si>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</si>
  <si>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</si>
  <si>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</si>
  <si>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</si>
  <si>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</si>
  <si>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</si>
  <si>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</si>
  <si>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</si>
  <si>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</si>
  <si>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</si>
  <si>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</si>
  <si>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</si>
  <si>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</si>
  <si>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</si>
  <si>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</si>
  <si>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</si>
  <si>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</si>
  <si>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</si>
  <si>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</si>
  <si>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</si>
  <si>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</si>
  <si>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</si>
  <si>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</si>
  <si>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</si>
  <si>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</si>
  <si>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</si>
  <si>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</si>
  <si>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</si>
  <si>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</si>
  <si>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</si>
  <si>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</si>
  <si>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</si>
  <si>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</si>
  <si>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</si>
  <si>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</si>
  <si>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</si>
  <si>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</si>
  <si>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</si>
  <si>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</si>
  <si>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</si>
  <si>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</si>
  <si>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</si>
  <si>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</si>
  <si>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</si>
  <si>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</si>
  <si>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</si>
  <si>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</si>
  <si>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</si>
  <si>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</si>
  <si>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</si>
  <si>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</si>
  <si>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</si>
  <si>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</si>
  <si>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</si>
  <si>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</si>
  <si>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</si>
  <si>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</si>
  <si>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</si>
  <si>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</si>
  <si>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</si>
  <si>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</si>
  <si>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</si>
  <si>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</si>
  <si>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</si>
  <si>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</si>
  <si>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</si>
  <si>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</si>
  <si>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</si>
  <si>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</si>
  <si>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</si>
  <si>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</si>
  <si>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</si>
  <si>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</si>
  <si>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</si>
  <si>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</si>
  <si>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</si>
  <si>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</si>
  <si>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</si>
  <si>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</si>
  <si>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</si>
  <si>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</si>
  <si>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</si>
  <si>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</si>
  <si>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</si>
  <si>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</si>
  <si>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</si>
  <si>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</si>
  <si>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</si>
  <si>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</si>
  <si>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</si>
  <si>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</si>
  <si>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</si>
  <si>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</si>
  <si>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</si>
  <si>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</si>
  <si>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</si>
  <si>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</si>
  <si>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</si>
  <si>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</si>
  <si>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</si>
  <si>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</si>
  <si>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</si>
  <si>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</si>
  <si>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</si>
  <si>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</si>
  <si>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</si>
  <si>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</si>
  <si>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</si>
  <si>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</si>
  <si>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</si>
  <si>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</si>
  <si>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</si>
  <si>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</si>
  <si>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</si>
  <si>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</si>
  <si>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</si>
  <si>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</si>
  <si>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</si>
  <si>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</si>
  <si>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</si>
  <si>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</si>
  <si>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</si>
  <si>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</si>
  <si>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</si>
  <si>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</si>
  <si>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</si>
  <si>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</si>
  <si>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</si>
  <si>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</si>
  <si>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</si>
  <si>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</si>
  <si>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</si>
  <si>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</si>
  <si>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</si>
  <si>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</si>
  <si>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</si>
  <si>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</si>
  <si>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</si>
  <si>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</si>
  <si>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</si>
  <si>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</si>
  <si>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</si>
  <si>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</si>
  <si>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</si>
  <si>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</si>
  <si>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</si>
  <si>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</si>
  <si>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</si>
  <si>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</si>
  <si>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</si>
  <si>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</si>
  <si>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</si>
  <si>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</si>
  <si>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</si>
  <si>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</si>
  <si>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</si>
  <si>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</si>
  <si>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</si>
  <si>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</si>
  <si>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</si>
  <si>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</si>
  <si>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</si>
  <si>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</si>
  <si>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</si>
  <si>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</si>
  <si>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</si>
  <si>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</si>
  <si>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</si>
  <si>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</si>
  <si>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</si>
  <si>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</si>
  <si>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</si>
  <si>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</si>
  <si>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</si>
  <si>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</si>
  <si>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</si>
  <si>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</si>
  <si>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</si>
  <si>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</si>
  <si>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</si>
  <si>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</si>
  <si>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</si>
  <si>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</si>
  <si>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</si>
  <si>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</si>
  <si>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</si>
  <si>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</si>
  <si>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</si>
  <si>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</si>
  <si>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</si>
  <si>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</si>
  <si>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</si>
  <si>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</si>
  <si>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</si>
  <si>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</si>
  <si>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</si>
  <si>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</si>
  <si>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</si>
  <si>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</si>
  <si>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</si>
  <si>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</si>
  <si>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</si>
  <si>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</si>
  <si>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</si>
  <si>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</si>
  <si>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</si>
  <si>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</si>
  <si>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</si>
  <si>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</si>
  <si>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</si>
  <si>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</si>
  <si>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</si>
  <si>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</si>
  <si>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</si>
  <si>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</si>
  <si>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</si>
  <si>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</si>
  <si>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</si>
  <si>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</si>
  <si>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</si>
  <si>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</si>
  <si>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</si>
  <si>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</si>
  <si>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</si>
  <si>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</si>
  <si>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</si>
  <si>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</si>
  <si>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</si>
  <si>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</si>
  <si>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</si>
  <si>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</si>
  <si>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</si>
  <si>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</si>
  <si>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</si>
  <si>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</si>
  <si>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</si>
  <si>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</si>
  <si>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</si>
  <si>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</si>
  <si>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</si>
  <si>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</si>
  <si>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</si>
  <si>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</si>
  <si>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</si>
  <si>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</si>
  <si>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</si>
  <si>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</si>
  <si>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</si>
  <si>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</si>
  <si>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</si>
  <si>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</si>
  <si>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</si>
  <si>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</si>
  <si>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</si>
  <si>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</si>
  <si>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</si>
  <si>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</si>
  <si>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</si>
  <si>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</si>
  <si>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</si>
  <si>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</si>
  <si>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</si>
  <si>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</si>
  <si>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</si>
  <si>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</si>
  <si>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</si>
  <si>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</si>
  <si>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</si>
  <si>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</si>
  <si>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</si>
  <si>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</si>
  <si>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</si>
  <si>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</si>
  <si>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</si>
  <si>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</si>
  <si>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</si>
  <si>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</si>
  <si>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</si>
  <si>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</si>
  <si>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</si>
  <si>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</si>
  <si>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</si>
  <si>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</si>
  <si>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</si>
  <si>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</si>
  <si>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</si>
  <si>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</si>
  <si>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</si>
  <si>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</si>
  <si>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</si>
  <si>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</si>
  <si>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</si>
  <si>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</si>
  <si>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</si>
  <si>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</si>
  <si>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</si>
  <si>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</si>
  <si>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</si>
  <si>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</si>
  <si>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</si>
  <si>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</si>
  <si>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</si>
  <si>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</si>
  <si>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</si>
  <si>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</si>
  <si>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</si>
  <si>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</si>
  <si>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</si>
  <si>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</si>
  <si>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</si>
  <si>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</si>
  <si>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</si>
  <si>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</si>
  <si>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</si>
  <si>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</si>
  <si>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</si>
  <si>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</si>
  <si>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</si>
  <si>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</si>
  <si>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</si>
  <si>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</si>
  <si>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</si>
  <si>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</si>
  <si>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</si>
  <si>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</si>
  <si>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</si>
  <si>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</si>
  <si>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</si>
  <si>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</si>
  <si>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</si>
  <si>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</si>
  <si>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</si>
  <si>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</si>
  <si>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</si>
  <si>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</si>
  <si>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</si>
  <si>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</si>
  <si>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</si>
  <si>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</si>
  <si>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</si>
  <si>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</si>
  <si>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</si>
  <si>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</si>
  <si>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</si>
  <si>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</si>
  <si>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</si>
  <si>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</si>
  <si>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</si>
  <si>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</si>
  <si>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</si>
  <si>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</si>
  <si>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</si>
  <si>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</si>
  <si>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</si>
  <si>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</si>
  <si>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</si>
  <si>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</si>
  <si>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</si>
  <si>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</si>
  <si>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</si>
  <si>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</si>
  <si>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</si>
  <si>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</si>
  <si>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</si>
  <si>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</si>
  <si>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</si>
  <si>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</si>
  <si>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</si>
  <si>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</si>
  <si>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</si>
  <si>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</si>
  <si>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</si>
  <si>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</si>
  <si>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</si>
  <si>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</si>
  <si>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</si>
  <si>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</si>
  <si>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</si>
  <si>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</si>
  <si>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</si>
  <si>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</si>
  <si>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</si>
  <si>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</si>
  <si>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</si>
  <si>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</si>
  <si>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</si>
  <si>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</si>
  <si>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</si>
  <si>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</si>
  <si>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</si>
  <si>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</si>
  <si>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</si>
  <si>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</si>
  <si>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</si>
  <si>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</si>
  <si>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</si>
  <si>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</si>
  <si>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</si>
  <si>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</si>
  <si>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</si>
  <si>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</si>
  <si>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</si>
  <si>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</si>
  <si>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</si>
  <si>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</si>
  <si>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</si>
  <si>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</si>
  <si>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</si>
  <si>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</si>
  <si>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</si>
  <si>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</si>
  <si>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</si>
  <si>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</si>
  <si>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</si>
  <si>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</si>
  <si>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</si>
  <si>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</si>
  <si>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</si>
  <si>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</si>
  <si>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</si>
  <si>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</si>
  <si>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</si>
  <si>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</si>
  <si>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</si>
  <si>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</si>
  <si>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</si>
  <si>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</si>
  <si>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</si>
  <si>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</si>
  <si>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</si>
  <si>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</si>
  <si>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</si>
  <si>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</si>
  <si>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</si>
  <si>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</si>
  <si>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</si>
  <si>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</si>
  <si>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</si>
  <si>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</si>
  <si>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</si>
  <si>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</si>
  <si>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</si>
  <si>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</si>
  <si>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</si>
  <si>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</si>
  <si>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</si>
  <si>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</si>
  <si>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</si>
  <si>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</si>
  <si>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</si>
  <si>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</si>
  <si>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</si>
  <si>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</si>
  <si>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</si>
  <si>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</si>
  <si>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</si>
  <si>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</si>
  <si>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</si>
  <si>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</si>
  <si>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</si>
  <si>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</si>
  <si>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</si>
  <si>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</si>
  <si>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</si>
  <si>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</si>
  <si>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</si>
  <si>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</si>
  <si>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</si>
  <si>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</si>
  <si>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</si>
  <si>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</si>
  <si>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</si>
  <si>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</si>
  <si>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</si>
  <si>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</si>
  <si>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</si>
  <si>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</si>
  <si>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</si>
  <si>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</si>
  <si>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</si>
  <si>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</si>
  <si>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</si>
  <si>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</si>
  <si>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</si>
  <si>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</si>
  <si>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</si>
  <si>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</si>
  <si>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</si>
  <si>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</si>
  <si>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</si>
  <si>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</si>
  <si>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</si>
  <si>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</si>
  <si>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</si>
  <si>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</si>
  <si>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</si>
  <si>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</si>
  <si>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</si>
  <si>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</si>
  <si>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</si>
  <si>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</si>
  <si>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</si>
  <si>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</si>
  <si>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</si>
  <si>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</si>
  <si>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</si>
  <si>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</si>
  <si>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</si>
  <si>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</si>
  <si>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</si>
  <si>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</si>
  <si>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</si>
  <si>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</si>
  <si>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</si>
  <si>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</si>
  <si>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</si>
  <si>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</si>
  <si>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</si>
  <si>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</si>
  <si>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</si>
  <si>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</si>
  <si>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</si>
  <si>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</si>
  <si>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</si>
  <si>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</si>
  <si>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</si>
  <si>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</si>
  <si>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</si>
  <si>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</si>
  <si>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</si>
  <si>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</si>
  <si>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</si>
  <si>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</si>
  <si>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</si>
  <si>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</si>
  <si>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</si>
  <si>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</si>
  <si>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</si>
  <si>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</si>
  <si>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</si>
  <si>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</si>
  <si>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</si>
  <si>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</si>
  <si>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</si>
  <si>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</si>
  <si>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</si>
  <si>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</si>
  <si>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</si>
  <si>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</si>
  <si>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</si>
  <si>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</si>
  <si>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</si>
  <si>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</si>
  <si>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</si>
  <si>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</si>
  <si>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</si>
  <si>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</si>
  <si>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</si>
  <si>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</si>
  <si>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</si>
  <si>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</si>
  <si>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</si>
  <si>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</si>
  <si>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</si>
  <si>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</si>
  <si>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</si>
  <si>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</si>
  <si>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</si>
  <si>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</si>
  <si>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</si>
  <si>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</si>
  <si>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</si>
  <si>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</si>
  <si>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</si>
  <si>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</si>
  <si>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</si>
  <si>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</si>
  <si>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</si>
  <si>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</si>
  <si>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</si>
  <si>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</si>
  <si>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</si>
  <si>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</si>
  <si>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</si>
  <si>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</si>
  <si>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</si>
  <si>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</si>
  <si>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</si>
  <si>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</si>
  <si>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</si>
  <si>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</si>
  <si>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</si>
  <si>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</si>
  <si>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</si>
  <si>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</si>
  <si>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</si>
  <si>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</si>
  <si>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</si>
  <si>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</si>
  <si>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</si>
  <si>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</si>
  <si>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</si>
  <si>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</si>
  <si>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</si>
  <si>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</si>
  <si>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</si>
  <si>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</si>
  <si>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</si>
  <si>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</si>
  <si>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</si>
  <si>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</si>
  <si>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</si>
  <si>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</si>
  <si>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</si>
  <si>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</si>
  <si>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</si>
  <si>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</si>
  <si>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</si>
  <si>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</si>
  <si>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</si>
  <si>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</si>
  <si>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</si>
  <si>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</si>
  <si>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</si>
  <si>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</si>
  <si>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</si>
  <si>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</si>
  <si>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</si>
  <si>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</si>
  <si>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</si>
  <si>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</si>
  <si>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</si>
  <si>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</si>
  <si>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</si>
  <si>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</si>
  <si>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</si>
  <si>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</si>
  <si>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</si>
  <si>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</si>
  <si>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</si>
  <si>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</si>
  <si>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</si>
  <si>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</si>
  <si>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</si>
  <si>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</si>
  <si>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</si>
  <si>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</si>
  <si>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</si>
  <si>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</si>
  <si>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</si>
  <si>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</si>
  <si>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</si>
  <si>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</si>
  <si>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</si>
  <si>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</si>
  <si>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</si>
  <si>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</si>
  <si>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</si>
  <si>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</si>
  <si>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</si>
  <si>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</si>
  <si>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</si>
  <si>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</si>
  <si>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</si>
  <si>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</si>
  <si>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</si>
  <si>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</si>
  <si>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</si>
  <si>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</si>
  <si>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</si>
  <si>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</si>
  <si>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</si>
  <si>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</si>
  <si>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</si>
  <si>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</si>
  <si>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</si>
  <si>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</si>
  <si>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</si>
  <si>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</si>
  <si>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</si>
  <si>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</si>
  <si>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</si>
  <si>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</si>
  <si>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</si>
  <si>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</si>
  <si>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</si>
  <si>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</si>
  <si>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</si>
  <si>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</si>
  <si>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</si>
  <si>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</si>
  <si>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</si>
  <si>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</si>
  <si>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</si>
  <si>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</si>
  <si>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</si>
  <si>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</si>
  <si>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</si>
  <si>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</si>
  <si>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</si>
  <si>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</si>
  <si>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</si>
  <si>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</si>
  <si>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</si>
  <si>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</si>
  <si>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</si>
  <si>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</si>
  <si>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</si>
  <si>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</si>
  <si>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</si>
  <si>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</si>
  <si>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</si>
  <si>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</si>
  <si>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</si>
  <si>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</si>
  <si>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</si>
  <si>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</si>
  <si>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</si>
  <si>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</si>
  <si>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</si>
  <si>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</si>
  <si>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</si>
  <si>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</si>
  <si>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</si>
  <si>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</si>
  <si>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</si>
  <si>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</si>
  <si>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</si>
  <si>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</si>
  <si>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</si>
  <si>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</si>
  <si>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</si>
  <si>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</si>
  <si>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</si>
  <si>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</si>
  <si>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</si>
  <si>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</si>
  <si>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</si>
  <si>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</si>
  <si>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</si>
  <si>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</si>
  <si>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</si>
  <si>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</si>
  <si>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</si>
  <si>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</si>
  <si>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</si>
  <si>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</si>
  <si>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</si>
  <si>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</si>
  <si>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</si>
  <si>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</si>
  <si>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</si>
  <si>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</si>
  <si>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</si>
  <si>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</si>
  <si>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</si>
  <si>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</si>
  <si>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</si>
  <si>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</si>
  <si>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</si>
  <si>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</si>
  <si>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</si>
  <si>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</si>
  <si>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</si>
  <si>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</si>
  <si>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</si>
  <si>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</si>
  <si>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</si>
  <si>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</si>
  <si>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</si>
  <si>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</si>
  <si>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</si>
  <si>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</si>
  <si>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</si>
  <si>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</si>
  <si>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</si>
  <si>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</si>
  <si>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</si>
  <si>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</si>
  <si>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</si>
  <si>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</si>
  <si>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</si>
  <si>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</si>
  <si>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</si>
  <si>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</si>
  <si>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</si>
  <si>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</si>
  <si>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</si>
  <si>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</si>
  <si>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</si>
  <si>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</si>
  <si>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</si>
  <si>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</si>
  <si>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</si>
  <si>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</si>
  <si>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</si>
  <si>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</si>
  <si>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</si>
  <si>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</si>
  <si>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</si>
  <si>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</si>
  <si>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</si>
  <si>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</si>
  <si>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</si>
  <si>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</si>
  <si>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</si>
  <si>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</si>
  <si>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</si>
  <si>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</si>
  <si>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</si>
  <si>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</si>
  <si>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</si>
  <si>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</si>
  <si>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</si>
  <si>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</si>
  <si>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</si>
  <si>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</si>
  <si>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</si>
  <si>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</si>
  <si>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</si>
  <si>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</si>
  <si>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</si>
  <si>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</si>
  <si>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</si>
  <si>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</si>
  <si>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</si>
  <si>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</si>
  <si>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</si>
  <si>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</si>
  <si>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</si>
  <si>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</si>
  <si>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</si>
  <si>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</si>
  <si>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</si>
  <si>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</si>
  <si>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</si>
  <si>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</si>
  <si>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</si>
  <si>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</si>
  <si>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</si>
  <si>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</si>
  <si>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</si>
  <si>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</si>
  <si>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</si>
  <si>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</si>
  <si>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</si>
  <si>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</si>
  <si>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</si>
  <si>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</si>
  <si>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</si>
  <si>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</si>
  <si>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</si>
  <si>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</si>
  <si>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</si>
  <si>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</si>
  <si>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</si>
  <si>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</si>
  <si>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</si>
  <si>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</si>
  <si>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</si>
  <si>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</si>
  <si>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</si>
  <si>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</si>
  <si>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</si>
  <si>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</si>
  <si>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</si>
  <si>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</si>
  <si>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</si>
  <si>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</si>
  <si>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</si>
  <si>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</si>
  <si>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</si>
  <si>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</si>
  <si>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</si>
  <si>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</si>
  <si>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</si>
  <si>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</si>
  <si>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</si>
  <si>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</si>
  <si>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</si>
  <si>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</si>
  <si>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</si>
  <si>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</si>
  <si>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</si>
  <si>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</si>
  <si>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</si>
  <si>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</si>
  <si>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</si>
  <si>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</si>
  <si>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</si>
  <si>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</si>
  <si>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</si>
  <si>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</si>
  <si>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</si>
  <si>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</si>
  <si>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</si>
  <si>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</si>
  <si>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</si>
  <si>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</si>
  <si>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</si>
  <si>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</si>
  <si>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</si>
  <si>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</si>
  <si>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</si>
  <si>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</si>
  <si>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</si>
  <si>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</si>
  <si>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</si>
  <si>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</si>
  <si>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</si>
  <si>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</si>
  <si>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</si>
  <si>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</si>
  <si>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</si>
  <si>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</si>
  <si>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</si>
  <si>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</si>
  <si>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</si>
  <si>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</si>
  <si>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</si>
  <si>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</si>
  <si>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</si>
  <si>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</si>
  <si>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</si>
  <si>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</si>
  <si>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</si>
  <si>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</si>
  <si>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</si>
  <si>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</si>
  <si>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</si>
  <si>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</si>
  <si>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</si>
  <si>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</si>
  <si>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</si>
  <si>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</si>
  <si>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</si>
  <si>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</si>
  <si>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</si>
  <si>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</si>
  <si>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</si>
  <si>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</si>
  <si>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</si>
  <si>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</si>
  <si>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</si>
  <si>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</si>
  <si>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</si>
  <si>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</si>
  <si>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</si>
  <si>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</si>
  <si>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</si>
  <si>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</si>
  <si>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</si>
  <si>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</si>
  <si>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</si>
  <si>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</si>
  <si>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</si>
  <si>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</si>
  <si>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</si>
  <si>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</si>
  <si>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</si>
  <si>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</si>
  <si>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</si>
  <si>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</si>
  <si>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</si>
  <si>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</si>
  <si>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</si>
  <si>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</si>
  <si>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</si>
  <si>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</si>
  <si>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</si>
  <si>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</si>
  <si>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</si>
  <si>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</si>
  <si>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</si>
  <si>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</si>
  <si>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</si>
  <si>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</si>
  <si>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</si>
  <si>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</si>
  <si>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</si>
  <si>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</si>
  <si>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</si>
  <si>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</si>
  <si>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</si>
  <si>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</si>
  <si>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</si>
  <si>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</si>
  <si>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</si>
  <si>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</si>
  <si>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</si>
  <si>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</si>
  <si>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</si>
  <si>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</si>
  <si>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</si>
  <si>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</si>
  <si>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</si>
  <si>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</si>
  <si>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</si>
  <si>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</si>
  <si>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</si>
  <si>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</si>
  <si>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</si>
  <si>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</si>
  <si>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</si>
  <si>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</si>
  <si>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</si>
  <si>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</si>
  <si>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</si>
  <si>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</si>
  <si>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</si>
  <si>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</si>
  <si>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</si>
  <si>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</si>
  <si>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</si>
  <si>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</si>
  <si>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</si>
  <si>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</si>
  <si>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</si>
  <si>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</si>
  <si>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</si>
  <si>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</si>
  <si>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</si>
  <si>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</si>
  <si>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</si>
  <si>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</si>
  <si>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</si>
  <si>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</si>
  <si>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</si>
  <si>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</si>
  <si>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</si>
  <si>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</si>
  <si>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</si>
  <si>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</si>
  <si>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</si>
  <si>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</si>
  <si>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</si>
  <si>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</si>
  <si>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</si>
  <si>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</si>
  <si>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</si>
  <si>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</si>
  <si>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</si>
  <si>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</si>
  <si>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</si>
  <si>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</si>
  <si>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</si>
  <si>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</si>
  <si>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</si>
  <si>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</si>
  <si>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</si>
  <si>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</si>
  <si>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</si>
  <si>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</si>
  <si>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</si>
  <si>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</si>
  <si>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</si>
  <si>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</si>
  <si>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</si>
  <si>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</si>
  <si>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</si>
  <si>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</si>
  <si>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</si>
  <si>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</si>
  <si>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</si>
  <si>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</si>
  <si>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</si>
  <si>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</si>
  <si>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</si>
  <si>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</si>
  <si>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</si>
  <si>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</si>
  <si>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</si>
  <si>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</si>
  <si>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</si>
  <si>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</si>
  <si>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</si>
  <si>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</si>
  <si>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</si>
  <si>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</si>
  <si>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</si>
  <si>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</si>
  <si>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</si>
  <si>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</si>
  <si>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</si>
  <si>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</si>
  <si>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</si>
  <si>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</si>
  <si>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</si>
  <si>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</si>
  <si>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</si>
  <si>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</si>
  <si>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</si>
  <si>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</si>
  <si>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</si>
  <si>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</si>
  <si>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</si>
  <si>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</si>
  <si>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</si>
  <si>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</si>
  <si>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</si>
  <si>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</si>
  <si>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</si>
  <si>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</si>
  <si>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</si>
  <si>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</si>
  <si>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</si>
  <si>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</si>
  <si>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</si>
  <si>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</si>
  <si>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</si>
  <si>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</si>
  <si>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</si>
  <si>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</si>
  <si>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</si>
  <si>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</si>
  <si>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</si>
  <si>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</si>
  <si>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</si>
  <si>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</si>
  <si>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</si>
  <si>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</si>
  <si>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</si>
  <si>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</si>
  <si>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</si>
  <si>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</si>
  <si>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</si>
  <si>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</si>
  <si>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</si>
  <si>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</si>
  <si>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</si>
  <si>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</si>
  <si>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</si>
  <si>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</si>
  <si>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</si>
  <si>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</si>
  <si>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</si>
  <si>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</si>
  <si>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</si>
  <si>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</si>
  <si>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</si>
  <si>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</si>
  <si>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</si>
  <si>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</si>
  <si>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</si>
  <si>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</si>
  <si>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</si>
  <si>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</si>
  <si>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</si>
  <si>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</si>
  <si>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</si>
  <si>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</si>
  <si>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</si>
  <si>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</si>
  <si>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</si>
  <si>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</si>
  <si>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</si>
  <si>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</si>
  <si>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</si>
  <si>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</si>
  <si>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</si>
  <si>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</si>
  <si>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</si>
  <si>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</si>
  <si>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</si>
  <si>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</si>
  <si>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</si>
  <si>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</si>
  <si>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</si>
  <si>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</si>
  <si>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</si>
  <si>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</si>
  <si>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</si>
  <si>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</si>
  <si>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</si>
  <si>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</si>
  <si>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</si>
  <si>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</si>
  <si>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</si>
  <si>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</si>
  <si>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</si>
  <si>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</si>
  <si>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</si>
  <si>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</si>
  <si>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</si>
  <si>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</si>
  <si>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</si>
  <si>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</si>
  <si>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</si>
  <si>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</si>
  <si>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</si>
  <si>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</si>
  <si>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</si>
  <si>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</si>
  <si>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</si>
  <si>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</si>
  <si>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</si>
  <si>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</si>
  <si>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</si>
  <si>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</si>
  <si>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</si>
  <si>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</si>
  <si>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</si>
  <si>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</si>
  <si>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</si>
  <si>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</si>
  <si>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</si>
  <si>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</si>
  <si>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</si>
  <si>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</si>
  <si>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</si>
  <si>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</si>
  <si>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</si>
  <si>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</si>
  <si>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</si>
  <si>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</si>
  <si>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</si>
  <si>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</si>
  <si>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</si>
  <si>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</si>
  <si>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</si>
  <si>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</si>
  <si>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</si>
  <si>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</si>
  <si>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</si>
  <si>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</si>
  <si>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</si>
  <si>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</si>
  <si>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</si>
  <si>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</si>
  <si>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</si>
  <si>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</si>
  <si>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</si>
  <si>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</si>
  <si>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</si>
  <si>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</si>
  <si>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</si>
  <si>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</si>
  <si>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</si>
  <si>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</si>
  <si>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</si>
  <si>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</si>
  <si>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</si>
  <si>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</si>
  <si>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</si>
  <si>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</si>
  <si>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</si>
  <si>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</si>
  <si>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</si>
  <si>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</si>
  <si>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</si>
  <si>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</si>
  <si>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</si>
  <si>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</si>
  <si>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</si>
  <si>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</si>
  <si>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</si>
  <si>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</si>
  <si>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</si>
  <si>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</si>
  <si>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</si>
  <si>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</si>
  <si>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</si>
  <si>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</si>
  <si>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</si>
  <si>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</si>
  <si>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</si>
  <si>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</si>
  <si>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</si>
  <si>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</si>
  <si>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</si>
  <si>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</si>
  <si>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</si>
  <si>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</si>
  <si>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</si>
  <si>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</si>
  <si>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</si>
  <si>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</si>
  <si>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</si>
  <si>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</si>
  <si>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</si>
  <si>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</si>
  <si>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</si>
  <si>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</si>
  <si>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</si>
  <si>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</si>
  <si>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</si>
  <si>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</si>
  <si>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</si>
  <si>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</si>
  <si>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</si>
  <si>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</si>
  <si>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</si>
  <si>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</si>
  <si>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</si>
  <si>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</si>
  <si>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</si>
  <si>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</si>
  <si>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</si>
  <si>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</si>
  <si>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</si>
  <si>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</si>
  <si>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</si>
  <si>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</si>
  <si>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</si>
  <si>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</si>
  <si>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</si>
  <si>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</si>
  <si>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</si>
  <si>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</si>
  <si>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</si>
  <si>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</si>
  <si>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</si>
  <si>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</si>
  <si>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</si>
  <si>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</si>
  <si>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</si>
  <si>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</si>
  <si>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</si>
  <si>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</si>
  <si>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</si>
  <si>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</si>
  <si>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</si>
  <si>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</si>
  <si>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</si>
  <si>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</si>
  <si>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</si>
  <si>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</si>
  <si>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</si>
  <si>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</si>
  <si>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</si>
  <si>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</si>
  <si>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</si>
  <si>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</si>
  <si>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</si>
  <si>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</si>
  <si>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</si>
  <si>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</si>
  <si>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</si>
  <si>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</si>
  <si>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</si>
  <si>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</si>
  <si>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</si>
  <si>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</si>
  <si>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</si>
  <si>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</si>
  <si>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</si>
  <si>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</si>
  <si>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</si>
  <si>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</si>
  <si>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</si>
  <si>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</si>
  <si>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</si>
  <si>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</si>
  <si>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</si>
  <si>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</si>
  <si>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</si>
  <si>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</si>
  <si>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</si>
  <si>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</si>
  <si>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</si>
  <si>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</si>
  <si>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</si>
  <si>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</si>
  <si>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</si>
  <si>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</si>
  <si>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</si>
  <si>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</si>
  <si>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</si>
  <si>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</si>
  <si>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</si>
  <si>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</si>
  <si>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</si>
  <si>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</si>
  <si>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</si>
  <si>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</si>
  <si>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</si>
  <si>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</si>
  <si>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</si>
  <si>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</si>
  <si>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</si>
  <si>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</si>
  <si>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</si>
  <si>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</si>
  <si>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</si>
  <si>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</si>
  <si>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</si>
  <si>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</si>
  <si>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</si>
  <si>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</si>
  <si>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</si>
  <si>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</si>
  <si>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</si>
  <si>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</si>
  <si>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</si>
  <si>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</si>
  <si>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</si>
  <si>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</si>
  <si>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</si>
  <si>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</si>
  <si>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</si>
  <si>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</si>
  <si>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</si>
  <si>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</si>
  <si>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</si>
  <si>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</si>
  <si>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</si>
  <si>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</si>
  <si>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</si>
  <si>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</si>
  <si>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</si>
  <si>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</si>
  <si>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</si>
  <si>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</si>
  <si>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</si>
  <si>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</si>
  <si>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</si>
  <si>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</si>
  <si>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</si>
  <si>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</si>
  <si>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</si>
  <si>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</si>
  <si>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</si>
  <si>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</si>
  <si>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</si>
  <si>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</si>
  <si>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</si>
  <si>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</si>
  <si>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</si>
  <si>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</si>
  <si>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</si>
  <si>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</si>
  <si>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</si>
  <si>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</si>
  <si>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</si>
  <si>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</si>
  <si>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</si>
  <si>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</si>
  <si>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</si>
  <si>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</si>
  <si>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</si>
  <si>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</si>
  <si>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</si>
  <si>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</si>
  <si>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</si>
  <si>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</si>
  <si>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</si>
  <si>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</si>
  <si>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</si>
  <si>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</si>
  <si>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</si>
  <si>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</si>
  <si>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</si>
  <si>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</si>
  <si>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</si>
  <si>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</si>
  <si>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</si>
  <si>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</si>
  <si>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</si>
  <si>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</si>
  <si>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</si>
  <si>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</si>
  <si>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</si>
  <si>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</si>
  <si>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</si>
  <si>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</si>
  <si>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</si>
  <si>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</si>
  <si>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</si>
  <si>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</si>
  <si>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</si>
  <si>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</si>
  <si>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</si>
  <si>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</si>
  <si>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</si>
  <si>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</si>
  <si>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</si>
  <si>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</si>
  <si>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</si>
  <si>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</si>
  <si>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</si>
  <si>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</si>
  <si>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</si>
  <si>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</si>
  <si>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</si>
  <si>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</si>
  <si>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</si>
  <si>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</si>
  <si>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</si>
  <si>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</si>
  <si>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</si>
  <si>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</si>
  <si>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</si>
  <si>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</si>
  <si>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</si>
  <si>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</si>
  <si>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</si>
  <si>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</si>
  <si>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</si>
  <si>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</si>
  <si>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</si>
  <si>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</si>
  <si>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</si>
  <si>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</si>
  <si>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</si>
  <si>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</si>
  <si>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</si>
  <si>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</si>
  <si>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</si>
  <si>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</si>
  <si>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</si>
  <si>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</si>
  <si>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</si>
  <si>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</si>
  <si>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</si>
  <si>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</si>
  <si>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</si>
  <si>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</si>
  <si>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</si>
  <si>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</si>
  <si>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</si>
  <si>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</si>
  <si>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</si>
  <si>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</si>
  <si>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</si>
  <si>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</si>
  <si>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</si>
  <si>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</si>
  <si>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</si>
  <si>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</si>
  <si>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</si>
  <si>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</si>
  <si>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</si>
  <si>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</si>
  <si>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</si>
  <si>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</si>
  <si>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</si>
  <si>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</si>
  <si>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</si>
  <si>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</si>
  <si>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</si>
  <si>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</si>
  <si>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</si>
  <si>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</si>
  <si>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</si>
  <si>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</si>
  <si>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</si>
  <si>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</si>
  <si>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</si>
  <si>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</si>
  <si>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</si>
  <si>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</si>
  <si>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</si>
  <si>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</si>
  <si>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</si>
  <si>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</si>
  <si>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</si>
  <si>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</si>
  <si>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</si>
  <si>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</si>
  <si>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</si>
  <si>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</si>
  <si>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</si>
  <si>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</si>
  <si>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</si>
  <si>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</si>
  <si>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</si>
  <si>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</si>
  <si>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</si>
  <si>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</si>
  <si>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</si>
  <si>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</si>
  <si>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</si>
  <si>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</si>
  <si>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</si>
  <si>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</si>
  <si>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</si>
  <si>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</si>
  <si>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</si>
  <si>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</si>
  <si>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</si>
  <si>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</si>
  <si>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</si>
  <si>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</si>
  <si>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</si>
  <si>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</si>
  <si>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</si>
  <si>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</si>
  <si>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</si>
  <si>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</si>
  <si>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</si>
  <si>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</si>
  <si>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</si>
  <si>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</si>
  <si>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</si>
  <si>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</si>
  <si>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</si>
  <si>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</si>
  <si>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</si>
  <si>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</si>
  <si>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</si>
  <si>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</si>
  <si>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</si>
  <si>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</si>
  <si>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</si>
  <si>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</si>
  <si>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</si>
  <si>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</si>
  <si>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</si>
  <si>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</si>
  <si>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</si>
  <si>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</si>
  <si>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</si>
  <si>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</si>
  <si>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</si>
  <si>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</si>
  <si>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</si>
  <si>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</si>
  <si>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</si>
  <si>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</si>
  <si>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</si>
  <si>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</si>
  <si>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</si>
  <si>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</si>
  <si>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</si>
  <si>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</si>
  <si>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</si>
  <si>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</si>
  <si>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</si>
  <si>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</si>
  <si>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</si>
  <si>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</si>
  <si>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</si>
  <si>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</si>
  <si>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</si>
  <si>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</si>
  <si>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</si>
  <si>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</si>
  <si>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</si>
  <si>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</si>
  <si>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</si>
  <si>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</si>
  <si>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</si>
  <si>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</si>
  <si>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</si>
  <si>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</si>
  <si>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</si>
  <si>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</si>
  <si>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</si>
  <si>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</si>
  <si>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</si>
  <si>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</si>
  <si>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</si>
  <si>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</si>
  <si>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</si>
  <si>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</si>
  <si>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</si>
  <si>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</si>
  <si>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</si>
  <si>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</si>
  <si>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</si>
  <si>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</si>
  <si>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</si>
  <si>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</si>
  <si>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</si>
  <si>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</si>
  <si>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</si>
  <si>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</si>
  <si>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</si>
  <si>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</si>
  <si>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</si>
  <si>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</si>
  <si>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</si>
  <si>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</si>
  <si>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</si>
  <si>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</si>
  <si>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</si>
  <si>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</si>
  <si>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</si>
  <si>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</si>
  <si>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</si>
  <si>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</si>
  <si>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</si>
  <si>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</si>
  <si>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</si>
  <si>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</si>
  <si>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</si>
  <si>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</si>
  <si>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</si>
  <si>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</si>
  <si>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</si>
  <si>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</si>
  <si>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</si>
  <si>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</si>
  <si>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</si>
  <si>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</si>
  <si>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</si>
  <si>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</si>
  <si>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</si>
  <si>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</si>
  <si>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</si>
  <si>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</si>
  <si>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</si>
  <si>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</si>
  <si>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</si>
  <si>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</si>
  <si>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</si>
  <si>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</si>
  <si>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</si>
  <si>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</si>
  <si>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</si>
  <si>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</si>
  <si>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</si>
  <si>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</si>
  <si>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</si>
  <si>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</si>
  <si>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</si>
  <si>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</si>
  <si>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</si>
  <si>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</si>
  <si>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</si>
  <si>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</si>
  <si>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</si>
  <si>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</si>
  <si>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</si>
  <si>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</si>
  <si>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</si>
  <si>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</si>
  <si>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</si>
  <si>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</si>
  <si>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</si>
  <si>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</si>
  <si>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</si>
  <si>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</si>
  <si>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</si>
  <si>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</si>
  <si>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</si>
  <si>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</si>
  <si>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</si>
  <si>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</si>
  <si>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</si>
  <si>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</si>
  <si>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</si>
  <si>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</si>
  <si>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</si>
  <si>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</si>
  <si>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</si>
  <si>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</si>
  <si>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</si>
  <si>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</si>
  <si>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</si>
  <si>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</si>
  <si>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</si>
  <si>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</si>
  <si>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</si>
  <si>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</si>
  <si>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</si>
  <si>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</si>
  <si>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</si>
  <si>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</si>
  <si>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来宾市兴宾区小平阳镇工商所西北面</t>
  </si>
  <si>
    <t>来宾市</t>
  </si>
  <si>
    <t>住宅用地</t>
  </si>
  <si>
    <t>大于或等于1并且小于或等于2.2</t>
  </si>
  <si>
    <t>挂牌</t>
  </si>
  <si>
    <t>2019-06-24</t>
  </si>
  <si>
    <t>广西来宾兴宾农业开发投资有限公司</t>
  </si>
  <si>
    <t>2星</t>
  </si>
  <si>
    <t>来宾市仙池路与西E路交叉口东北角</t>
  </si>
  <si>
    <t>大于或等于1并且小于或等于2.5</t>
  </si>
  <si>
    <t>2019-06-21</t>
  </si>
  <si>
    <t>广西来宾城建投资集团有限公司</t>
  </si>
  <si>
    <t>3星</t>
  </si>
  <si>
    <t>来宾市仙池路与西E路交叉口东南角</t>
  </si>
  <si>
    <t>2019-04-15</t>
  </si>
  <si>
    <t>来宾市华侨大道与侨兴路交叉西南角</t>
  </si>
  <si>
    <t>大于或等于1并且小于或等于3</t>
  </si>
  <si>
    <t>拍卖</t>
  </si>
  <si>
    <t>2018-12-04</t>
  </si>
  <si>
    <t>广西拓宾投资有限公司</t>
  </si>
  <si>
    <t>来宾市之江路与侨仁路交叉口西南角</t>
  </si>
  <si>
    <t>2018-09-12</t>
  </si>
  <si>
    <t>广西来宾现代农业投资集团有限公司</t>
  </si>
  <si>
    <t>来宾市侨兴路与华侨纵二路交叉口西北角</t>
  </si>
  <si>
    <t>来宾市迁江汽车站西面</t>
  </si>
  <si>
    <t>大于或等于1并且小于或等于2</t>
  </si>
  <si>
    <t>2018-01-10</t>
  </si>
  <si>
    <t>来宾市金河房地产开发有限责任公司</t>
  </si>
  <si>
    <t>来宾市迁江华侨工业园铝水运输干道与丰润路交叉口东南侧</t>
  </si>
  <si>
    <t>来宾市河南工业园区建设开发有限公司</t>
  </si>
  <si>
    <t>1星</t>
  </si>
  <si>
    <t>来宾市城南新区福安路与盛安路交叉口东南角</t>
  </si>
  <si>
    <t>大于或等于1并且小于或等于4.5</t>
  </si>
  <si>
    <t>2017-05-10</t>
  </si>
  <si>
    <t>广西裕达集团有限公司</t>
  </si>
  <si>
    <t>来宾市城南新区福安路与宾城路交叉口东北角</t>
  </si>
  <si>
    <t>大于或等于1并且小于或等于4.3</t>
  </si>
  <si>
    <t>2017-01-05</t>
  </si>
  <si>
    <t>来宾市教育园区学院路北侧</t>
  </si>
  <si>
    <t>2016-12-01</t>
  </si>
  <si>
    <t>来宾市鑫城房地产开发有限责任公司</t>
  </si>
  <si>
    <t>来宾市城南新区龙湾路与永康路交叉口东南角</t>
  </si>
  <si>
    <t>2016-08-05</t>
  </si>
  <si>
    <t>广西桂中鑫元投资有限公司</t>
  </si>
  <si>
    <t>来宾市江滨北路与文明路交叉口东南角</t>
  </si>
  <si>
    <t>大于或等于1并且小于或等于3.5</t>
  </si>
  <si>
    <t>2016-06-23</t>
  </si>
  <si>
    <t>广西桂中鑫和投资有限公司</t>
  </si>
  <si>
    <t>来宾市铁北路与之江路交叉口东北角</t>
  </si>
  <si>
    <t>大于或等于1并且小于或等于4</t>
  </si>
  <si>
    <t>2015-10-22</t>
  </si>
  <si>
    <t>广西旭航工程有限公司</t>
  </si>
  <si>
    <t>抵押价格</t>
  </si>
  <si>
    <t>商业</t>
  </si>
  <si>
    <t>地上</t>
  </si>
  <si>
    <t>住宅</t>
    <phoneticPr fontId="7" type="noConversion"/>
  </si>
  <si>
    <t xml:space="preserve">商业 </t>
  </si>
  <si>
    <t xml:space="preserve">商业 </t>
    <phoneticPr fontId="7" type="noConversion"/>
  </si>
  <si>
    <t>不动产收益法</t>
  </si>
  <si>
    <t>土地（套用方法）</t>
  </si>
  <si>
    <t>钢混</t>
  </si>
  <si>
    <t>押一</t>
  </si>
  <si>
    <t>按租金收入计税</t>
  </si>
  <si>
    <t>比较法-住宅、综合</t>
  </si>
  <si>
    <t>剩余法-待开发</t>
  </si>
  <si>
    <t>正常</t>
  </si>
  <si>
    <t>较适宜</t>
  </si>
  <si>
    <t>较适宜</t>
    <phoneticPr fontId="26" type="noConversion"/>
  </si>
  <si>
    <t>较好</t>
  </si>
  <si>
    <t>较好</t>
    <phoneticPr fontId="26" type="noConversion"/>
  </si>
  <si>
    <t>较规整</t>
  </si>
  <si>
    <t>较规整</t>
    <phoneticPr fontId="26" type="noConversion"/>
  </si>
  <si>
    <t>一般</t>
  </si>
  <si>
    <t>六通</t>
  </si>
  <si>
    <t>楼面地价</t>
  </si>
  <si>
    <t>泰和华府</t>
    <phoneticPr fontId="3" type="noConversion"/>
  </si>
  <si>
    <t>阳光西西里</t>
    <phoneticPr fontId="3" type="noConversion"/>
  </si>
  <si>
    <t>碧桂园</t>
    <phoneticPr fontId="3" type="noConversion"/>
  </si>
  <si>
    <t>钢混</t>
    <phoneticPr fontId="21" type="noConversion"/>
  </si>
  <si>
    <t>较好</t>
    <phoneticPr fontId="21" type="noConversion"/>
  </si>
  <si>
    <t>精装</t>
  </si>
  <si>
    <t>精装</t>
    <phoneticPr fontId="21" type="noConversion"/>
  </si>
  <si>
    <t>专业</t>
  </si>
  <si>
    <t>专业</t>
    <phoneticPr fontId="21" type="noConversion"/>
  </si>
  <si>
    <t>六通</t>
    <phoneticPr fontId="21" type="noConversion"/>
  </si>
  <si>
    <t>普通</t>
    <phoneticPr fontId="21" type="noConversion"/>
  </si>
  <si>
    <t>毛坯</t>
  </si>
  <si>
    <t>毛坯</t>
    <phoneticPr fontId="21" type="noConversion"/>
  </si>
  <si>
    <t>高层</t>
  </si>
  <si>
    <t>高层</t>
    <phoneticPr fontId="21" type="noConversion"/>
  </si>
  <si>
    <t>售价</t>
  </si>
  <si>
    <t>桂（2019）来宾市不动产权第0011268号</t>
    <phoneticPr fontId="228" type="noConversion"/>
  </si>
  <si>
    <t>桂（2019）来宾市不动产权第0011267号</t>
    <phoneticPr fontId="228" type="noConversion"/>
  </si>
  <si>
    <t>桂（2019）来宾市不动产权第0011270号</t>
    <phoneticPr fontId="228" type="noConversion"/>
  </si>
  <si>
    <t>桂（2019）来宾市不动产权第0011269号</t>
    <phoneticPr fontId="228" type="noConversion"/>
  </si>
  <si>
    <t>成交每亩价格</t>
    <phoneticPr fontId="228" type="noConversion"/>
  </si>
  <si>
    <t>地面单价</t>
    <phoneticPr fontId="228" type="noConversion"/>
  </si>
  <si>
    <t>1层</t>
    <phoneticPr fontId="3" type="noConversion"/>
  </si>
  <si>
    <t>租金</t>
    <phoneticPr fontId="3" type="noConversion"/>
  </si>
  <si>
    <t>2层</t>
    <phoneticPr fontId="3" type="noConversion"/>
  </si>
  <si>
    <t>3层</t>
    <phoneticPr fontId="3" type="noConversion"/>
  </si>
  <si>
    <t xml:space="preserve">undongde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</si>
</sst>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9"/>
      <color rgb="FF000000"/>
      <name val="宋体"/>
      <family val="3"/>
      <charset val="134"/>
    </font>
    <font>
      <sz val="12"/>
      <color rgb="FF000000"/>
      <name val="宋体"/>
      <family val="3"/>
      <charset val="134"/>
    </font>
    <font>
      <sz val="9"/>
      <color rgb="FF000000"/>
      <name val="宋体"/>
      <family val="3"/>
      <charset val="134"/>
    </font>
    <font>
      <sz val="11"/>
      <name val="SimSun"/>
      <family val="3"/>
      <charset val="134"/>
    </font>
    <font>
      <sz val="11"/>
      <color rgb="FF000000"/>
      <name val="SimSun"/>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181" fontId="152" fillId="18" borderId="2" xfId="0" applyNumberFormat="1" applyFont="1" applyFill="1" applyBorder="1" applyAlignment="1" applyProtection="1">
      <alignment horizontal="center" vertical="center"/>
      <protection locked="0"/>
    </xf>
    <xf numFmtId="176" fontId="71" fillId="18" borderId="12" xfId="2" applyNumberFormat="1" applyFont="1" applyFill="1" applyBorder="1" applyAlignment="1" applyProtection="1">
      <alignment horizontal="center" vertical="center"/>
      <protection locked="0"/>
    </xf>
    <xf numFmtId="0" fontId="145" fillId="0" borderId="0" xfId="0" applyFont="1" applyAlignment="1"/>
    <xf numFmtId="0" fontId="0" fillId="0" borderId="0" xfId="0" applyFont="1" applyAlignment="1"/>
    <xf numFmtId="0" fontId="71" fillId="18" borderId="44" xfId="0" applyNumberFormat="1" applyFont="1" applyFill="1" applyBorder="1" applyAlignment="1" applyProtection="1">
      <alignment horizontal="center" vertical="center" wrapText="1"/>
      <protection locked="0"/>
    </xf>
    <xf numFmtId="0" fontId="84" fillId="18" borderId="44"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2" xfId="0" applyNumberFormat="1" applyFont="1" applyFill="1" applyBorder="1" applyAlignment="1" applyProtection="1">
      <alignment horizontal="center" vertical="center" wrapText="1"/>
      <protection locked="0"/>
    </xf>
    <xf numFmtId="0" fontId="71" fillId="18" borderId="71" xfId="0" applyNumberFormat="1" applyFont="1" applyFill="1" applyBorder="1" applyAlignment="1" applyProtection="1">
      <alignment horizontal="center" vertical="center" wrapText="1"/>
      <protection locked="0"/>
    </xf>
    <xf numFmtId="0" fontId="84" fillId="18" borderId="71"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9" fontId="71" fillId="18" borderId="9" xfId="0" applyNumberFormat="1" applyFont="1" applyFill="1" applyBorder="1" applyAlignment="1" applyProtection="1">
      <alignment horizontal="center" vertical="center" wrapText="1"/>
      <protection locked="0"/>
    </xf>
    <xf numFmtId="0" fontId="278" fillId="0" borderId="64"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vertical="center" wrapText="1"/>
      <protection locked="0"/>
    </xf>
    <xf numFmtId="181" fontId="76" fillId="18" borderId="12" xfId="0" applyNumberFormat="1" applyFont="1" applyFill="1" applyBorder="1" applyAlignment="1" applyProtection="1">
      <alignment horizontal="center" vertical="center"/>
      <protection locked="0"/>
    </xf>
    <xf numFmtId="177" fontId="76"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8</xdr:col>
      <xdr:colOff>27747</xdr:colOff>
      <xdr:row>50</xdr:row>
      <xdr:rowOff>27865</xdr:rowOff>
    </xdr:to>
    <xdr:pic>
      <xdr:nvPicPr>
        <xdr:cNvPr id="2" name="图片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848100" y="2914650"/>
          <a:ext cx="6628572"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38100</xdr:rowOff>
    </xdr:from>
    <xdr:to>
      <xdr:col>14</xdr:col>
      <xdr:colOff>676275</xdr:colOff>
      <xdr:row>43</xdr:row>
      <xdr:rowOff>161925</xdr:rowOff>
    </xdr:to>
    <xdr:pic>
      <xdr:nvPicPr>
        <xdr:cNvPr id="54273" name="Picture 1">
          <a:extLst>
            <a:ext uri="{FF2B5EF4-FFF2-40B4-BE49-F238E27FC236}">
              <a16:creationId xmlns="" xmlns:a16="http://schemas.microsoft.com/office/drawing/2014/main" id="{00000000-0008-0000-2900-000001D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3638550"/>
          <a:ext cx="10277475" cy="3895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381000</xdr:colOff>
      <xdr:row>20</xdr:row>
      <xdr:rowOff>57150</xdr:rowOff>
    </xdr:to>
    <xdr:pic>
      <xdr:nvPicPr>
        <xdr:cNvPr id="54274" name="Picture 2">
          <a:extLst>
            <a:ext uri="{FF2B5EF4-FFF2-40B4-BE49-F238E27FC236}">
              <a16:creationId xmlns="" xmlns:a16="http://schemas.microsoft.com/office/drawing/2014/main" id="{00000000-0008-0000-2900-000002D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0"/>
          <a:ext cx="9296400" cy="3486150"/>
        </a:xfrm>
        <a:prstGeom prst="rect">
          <a:avLst/>
        </a:prstGeom>
        <a:noFill/>
        <a:ln w="1">
          <a:noFill/>
          <a:miter lim="800000"/>
          <a:headEnd/>
          <a:tailEnd type="none" w="med" len="med"/>
        </a:ln>
        <a:effectLst/>
      </xdr:spPr>
    </xdr:pic>
    <xdr:clientData/>
  </xdr:twoCellAnchor>
  <xdr:twoCellAnchor editAs="oneCell">
    <xdr:from>
      <xdr:col>16</xdr:col>
      <xdr:colOff>0</xdr:colOff>
      <xdr:row>1</xdr:row>
      <xdr:rowOff>0</xdr:rowOff>
    </xdr:from>
    <xdr:to>
      <xdr:col>30</xdr:col>
      <xdr:colOff>409575</xdr:colOff>
      <xdr:row>20</xdr:row>
      <xdr:rowOff>57150</xdr:rowOff>
    </xdr:to>
    <xdr:pic>
      <xdr:nvPicPr>
        <xdr:cNvPr id="54275" name="Picture 3">
          <a:extLst>
            <a:ext uri="{FF2B5EF4-FFF2-40B4-BE49-F238E27FC236}">
              <a16:creationId xmlns="" xmlns:a16="http://schemas.microsoft.com/office/drawing/2014/main" id="{00000000-0008-0000-2900-000003D4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0972800" y="171450"/>
          <a:ext cx="10010775" cy="3314700"/>
        </a:xfrm>
        <a:prstGeom prst="rect">
          <a:avLst/>
        </a:prstGeom>
        <a:noFill/>
        <a:ln w="1">
          <a:noFill/>
          <a:miter lim="800000"/>
          <a:headEnd/>
          <a:tailEnd type="none" w="med" len="med"/>
        </a:ln>
        <a:effectLst/>
      </xdr:spPr>
    </xdr:pic>
    <xdr:clientData/>
  </xdr:twoCellAnchor>
  <xdr:twoCellAnchor editAs="oneCell">
    <xdr:from>
      <xdr:col>14</xdr:col>
      <xdr:colOff>657225</xdr:colOff>
      <xdr:row>22</xdr:row>
      <xdr:rowOff>161925</xdr:rowOff>
    </xdr:from>
    <xdr:to>
      <xdr:col>26</xdr:col>
      <xdr:colOff>523875</xdr:colOff>
      <xdr:row>64</xdr:row>
      <xdr:rowOff>161925</xdr:rowOff>
    </xdr:to>
    <xdr:pic>
      <xdr:nvPicPr>
        <xdr:cNvPr id="54276" name="Picture 4">
          <a:extLst>
            <a:ext uri="{FF2B5EF4-FFF2-40B4-BE49-F238E27FC236}">
              <a16:creationId xmlns="" xmlns:a16="http://schemas.microsoft.com/office/drawing/2014/main" id="{00000000-0008-0000-2900-000004D4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0258425" y="3933825"/>
          <a:ext cx="8096250" cy="72009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47625</xdr:colOff>
      <xdr:row>31</xdr:row>
      <xdr:rowOff>152400</xdr:rowOff>
    </xdr:to>
    <xdr:pic>
      <xdr:nvPicPr>
        <xdr:cNvPr id="55297" name="Picture 1">
          <a:extLst>
            <a:ext uri="{FF2B5EF4-FFF2-40B4-BE49-F238E27FC236}">
              <a16:creationId xmlns="" xmlns:a16="http://schemas.microsoft.com/office/drawing/2014/main" id="{00000000-0008-0000-2A00-000001D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8277225" cy="54673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125" style="2843" customWidth="1"/>
    <col min="3" max="18" width="9" style="2837"/>
    <col min="19" max="19" width="17.875" style="2837" customWidth="1"/>
    <col min="20" max="51" width="9" style="2837"/>
    <col min="52" max="52" width="13.1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23878.02平方米。根据《建设工程规划许可证》[]、《出让合同》[]，估价对象规划建筑面积为59695.06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根据《国有土地使用证》[]，估价对象（分摊）出让国有建设用地使用权面积为23878.02平方米。根据《建设工程规划许可证》[]、《出让合同》[]，估价对象规划建筑面积为59695.06平方米。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23878.02</v>
      </c>
    </row>
    <row r="44" spans="1:2">
      <c r="A44" s="2833" t="s">
        <v>2740</v>
      </c>
      <c r="B44" s="2834" t="str">
        <f>'预评函-2'!O3</f>
        <v>规划建筑面积/㎡</v>
      </c>
    </row>
    <row r="45" spans="1:2">
      <c r="A45" s="2833" t="s">
        <v>2722</v>
      </c>
      <c r="B45" s="2834">
        <f>'预评函-2'!O5</f>
        <v>59695.06</v>
      </c>
    </row>
    <row r="46" spans="1:2">
      <c r="A46" s="2833" t="s">
        <v>2723</v>
      </c>
      <c r="B46" s="2834">
        <f ca="1">'预评函-2'!P5</f>
        <v>2561</v>
      </c>
    </row>
    <row r="47" spans="1:2">
      <c r="A47" s="2833" t="s">
        <v>2724</v>
      </c>
      <c r="B47" s="2834">
        <f ca="1">'预评函-2'!Q5</f>
        <v>1024</v>
      </c>
    </row>
    <row r="48" spans="1:2">
      <c r="A48" s="2833" t="s">
        <v>2725</v>
      </c>
      <c r="B48" s="2834">
        <f ca="1">'预评函-2'!R5</f>
        <v>6115</v>
      </c>
    </row>
    <row r="49" spans="1:2">
      <c r="A49" s="2833" t="s">
        <v>2741</v>
      </c>
      <c r="B49" s="2834" t="str">
        <f>'预评函-2'!A6</f>
        <v>抵押价格</v>
      </c>
    </row>
    <row r="50" spans="1:2">
      <c r="A50" s="2833" t="s">
        <v>2726</v>
      </c>
      <c r="B50" s="2834">
        <f ca="1">'预评函-2'!R6</f>
        <v>6115</v>
      </c>
    </row>
    <row r="51" spans="1:2">
      <c r="A51" s="2833" t="s">
        <v>2742</v>
      </c>
      <c r="B51" s="2834" t="str">
        <f>'预评函-2'!A7</f>
        <v>——</v>
      </c>
    </row>
    <row r="52" spans="1:2">
      <c r="A52" s="2833" t="s">
        <v>2727</v>
      </c>
      <c r="B52" s="2834" t="str">
        <f>'预评函-2'!R7</f>
        <v>——</v>
      </c>
    </row>
    <row r="53" spans="1:2">
      <c r="A53" s="2833" t="s">
        <v>2743</v>
      </c>
      <c r="B53" s="2834" t="str">
        <f>'预评函-2'!A8</f>
        <v>抵押净值</v>
      </c>
    </row>
    <row r="54" spans="1:2" s="2848" customFormat="1" ht="15" thickBot="1">
      <c r="A54" s="2855" t="s">
        <v>2728</v>
      </c>
      <c r="B54" s="2856">
        <f ca="1">'预评函-2'!R8</f>
        <v>4461</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9" sqref="D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50" t="str">
        <f>IF(B10="北京市","北京市",C10)&amp;F10&amp;B16&amp;"国有建设用地使用权"&amp;B9&amp;"预评估"</f>
        <v>出让国有建设用地使用权抵押价格预评估</v>
      </c>
      <c r="C1" s="3251"/>
      <c r="D1" s="3251"/>
      <c r="E1" s="3251"/>
      <c r="F1" s="3251"/>
      <c r="G1" s="3251"/>
      <c r="H1" s="3251"/>
      <c r="I1" s="3252"/>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43712</v>
      </c>
      <c r="C3" s="1647" t="s">
        <v>1995</v>
      </c>
      <c r="D3" s="1646">
        <v>43712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56" t="s">
        <v>1944</v>
      </c>
      <c r="E8" s="1828" t="s">
        <v>3064</v>
      </c>
      <c r="F8" s="1656"/>
      <c r="G8" s="1644"/>
      <c r="H8" s="1644"/>
      <c r="I8" s="1691"/>
      <c r="J8" s="1678"/>
      <c r="K8" s="1758"/>
      <c r="L8" s="1707"/>
      <c r="M8" s="1707"/>
      <c r="N8" s="1678"/>
      <c r="O8" s="1679"/>
      <c r="P8" s="1678"/>
      <c r="Q8" s="1678"/>
      <c r="R8" s="1678"/>
      <c r="S8" s="1678"/>
      <c r="T8" s="1678"/>
      <c r="U8" s="1678"/>
    </row>
    <row r="9" spans="1:21" ht="15" thickBot="1">
      <c r="A9" s="1657" t="s">
        <v>1943</v>
      </c>
      <c r="B9" s="1658" t="s">
        <v>3064</v>
      </c>
      <c r="C9" s="1659"/>
      <c r="D9" s="3257"/>
      <c r="E9" s="1658" t="s">
        <v>2854</v>
      </c>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53"/>
      <c r="C12" s="3254"/>
      <c r="D12" s="3255"/>
      <c r="E12" s="1683" t="s">
        <v>2061</v>
      </c>
      <c r="F12" s="3271" t="s">
        <v>2890</v>
      </c>
      <c r="G12" s="3272"/>
      <c r="H12" s="3272"/>
      <c r="I12" s="3273"/>
      <c r="J12" s="1678"/>
      <c r="K12" s="1758"/>
      <c r="L12" s="1707"/>
      <c r="M12" s="1707"/>
      <c r="N12" s="1678"/>
      <c r="O12" s="1679"/>
      <c r="P12" s="1678"/>
      <c r="Q12" s="1678"/>
      <c r="R12" s="1678"/>
      <c r="S12" s="1678"/>
      <c r="T12" s="1678"/>
      <c r="U12" s="1678"/>
    </row>
    <row r="13" spans="1:21">
      <c r="A13" s="1671" t="s">
        <v>2059</v>
      </c>
      <c r="B13" s="3253"/>
      <c r="C13" s="3254"/>
      <c r="D13" s="3255"/>
      <c r="E13" s="1683" t="s">
        <v>2061</v>
      </c>
      <c r="F13" s="3271" t="s">
        <v>2891</v>
      </c>
      <c r="G13" s="3272"/>
      <c r="H13" s="3272"/>
      <c r="I13" s="3273"/>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t="s">
        <v>3065</v>
      </c>
      <c r="F16" s="1706"/>
      <c r="G16" s="1706"/>
      <c r="H16" s="1706"/>
      <c r="I16" s="1670" t="s">
        <v>1954</v>
      </c>
      <c r="J16" s="1678"/>
      <c r="K16" s="2420" t="str">
        <f>IF(D17="","",D16&amp;TEXT(D17,"yyyy年m月d日;;"))</f>
        <v>住宅2087年12月20日</v>
      </c>
      <c r="L16" s="1683" t="str">
        <f>IF(OR(K16="",M16=""),"","、")</f>
        <v>、</v>
      </c>
      <c r="M16" s="2420" t="str">
        <f>IF(E17="","",E16&amp;TEXT(E17,"yyyy年m月d日;;"))</f>
        <v>商业2057年12月20日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68656</v>
      </c>
      <c r="E17" s="1684">
        <v>57699</v>
      </c>
      <c r="F17" s="1684"/>
      <c r="G17" s="1684"/>
      <c r="H17" s="1684"/>
      <c r="I17" s="1684"/>
      <c r="J17" s="1678"/>
      <c r="K17" s="2419" t="str">
        <f>CONCATENATE(K16,L16,M16,N16,O16,P16,Q16,R16,S16,T16,,U16)</f>
        <v>住宅2087年12月20日、商业2057年12月20日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68.33</v>
      </c>
      <c r="E19" s="1669">
        <f>IF(B16="出让",IF(E17="","",ROUNDDOWN(MIN((E17-$D$3)/365,E18),2)),E18)</f>
        <v>38.32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68"/>
      <c r="E20" s="3269"/>
      <c r="F20" s="3269"/>
      <c r="G20" s="3269"/>
      <c r="H20" s="3269"/>
      <c r="I20" s="3270"/>
      <c r="J20" s="1678"/>
      <c r="K20" s="1758"/>
      <c r="L20" s="1707"/>
      <c r="M20" s="1707"/>
      <c r="N20" s="1678"/>
      <c r="O20" s="1679"/>
      <c r="P20" s="1678"/>
      <c r="Q20" s="1678"/>
      <c r="R20" s="1678"/>
      <c r="S20" s="1678"/>
      <c r="T20" s="1678"/>
      <c r="U20" s="1678"/>
    </row>
    <row r="21" spans="1:21">
      <c r="A21" s="1747" t="s">
        <v>1958</v>
      </c>
      <c r="B21" s="1748" t="s">
        <v>1959</v>
      </c>
      <c r="C21" s="1743">
        <f>'数据-汇总表'!E3</f>
        <v>59695.06</v>
      </c>
      <c r="D21" s="1744" t="s">
        <v>1960</v>
      </c>
      <c r="E21" s="3258" t="s">
        <v>1998</v>
      </c>
      <c r="F21" s="3259"/>
      <c r="G21" s="3259"/>
      <c r="H21" s="3259"/>
      <c r="I21" s="3260"/>
      <c r="J21" s="1678"/>
      <c r="K21" s="1758"/>
      <c r="L21" s="1707"/>
      <c r="M21" s="1707"/>
      <c r="N21" s="1678"/>
      <c r="O21" s="1679"/>
      <c r="P21" s="1678"/>
      <c r="Q21" s="1678"/>
      <c r="R21" s="1678"/>
      <c r="S21" s="1678"/>
      <c r="T21" s="1678"/>
      <c r="U21" s="1678"/>
    </row>
    <row r="22" spans="1:21">
      <c r="A22" s="3097" t="s">
        <v>952</v>
      </c>
      <c r="B22" s="1645" t="s">
        <v>1961</v>
      </c>
      <c r="C22" s="1670">
        <f>'数据-汇总表'!D3</f>
        <v>23878.02</v>
      </c>
      <c r="D22" s="1671" t="s">
        <v>1960</v>
      </c>
      <c r="E22" s="3258" t="s">
        <v>2892</v>
      </c>
      <c r="F22" s="3259"/>
      <c r="G22" s="3259"/>
      <c r="H22" s="3259"/>
      <c r="I22" s="3260"/>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61" t="s">
        <v>1966</v>
      </c>
      <c r="C24" s="3262"/>
      <c r="D24" s="3263" t="s">
        <v>1967</v>
      </c>
      <c r="E24" s="3264"/>
      <c r="F24" s="1692" t="s">
        <v>1968</v>
      </c>
      <c r="G24" s="1678"/>
      <c r="H24" s="1678"/>
      <c r="I24" s="1691"/>
      <c r="J24" s="1678"/>
      <c r="K24" s="3249"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4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4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35" t="s">
        <v>2001</v>
      </c>
      <c r="B31" s="1748" t="s">
        <v>2002</v>
      </c>
      <c r="C31" s="3274"/>
      <c r="D31" s="3275"/>
      <c r="E31" s="1678"/>
      <c r="F31" s="1678"/>
      <c r="G31" s="1678"/>
      <c r="H31" s="1678"/>
      <c r="I31" s="1691"/>
      <c r="J31" s="1678"/>
      <c r="K31" s="2422"/>
      <c r="L31" s="1678"/>
      <c r="M31" s="1678"/>
      <c r="N31" s="1678"/>
      <c r="O31" s="1678"/>
      <c r="P31" s="1678"/>
      <c r="Q31" s="1678"/>
      <c r="R31" s="1678"/>
      <c r="S31" s="1678"/>
      <c r="T31" s="1678"/>
      <c r="U31" s="1678"/>
    </row>
    <row r="32" spans="1:21">
      <c r="A32" s="3235"/>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5"/>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36"/>
      <c r="B34" s="1645" t="s">
        <v>2005</v>
      </c>
      <c r="C34" s="3237"/>
      <c r="D34" s="3238"/>
      <c r="E34" s="1678"/>
      <c r="F34" s="1678"/>
      <c r="G34" s="1678"/>
      <c r="H34" s="1678"/>
      <c r="I34" s="1691"/>
      <c r="J34" s="1678"/>
      <c r="K34" s="2422"/>
      <c r="L34" s="1678"/>
      <c r="M34" s="1678"/>
      <c r="N34" s="1678"/>
      <c r="O34" s="1678"/>
      <c r="P34" s="1678"/>
      <c r="Q34" s="1678"/>
      <c r="R34" s="1678"/>
      <c r="S34" s="1678"/>
      <c r="T34" s="1678"/>
      <c r="U34" s="1678"/>
    </row>
    <row r="35" spans="1:21">
      <c r="A35" s="3239" t="s">
        <v>847</v>
      </c>
      <c r="B35" s="1706"/>
      <c r="C35" s="1760" t="str">
        <f>IF(B35="场地平整","——","具体情况：")</f>
        <v>具体情况：</v>
      </c>
      <c r="D35" s="3241"/>
      <c r="E35" s="3242"/>
      <c r="F35" s="3242"/>
      <c r="G35" s="3242"/>
      <c r="H35" s="3242"/>
      <c r="I35" s="3243"/>
      <c r="J35" s="1678"/>
      <c r="K35" s="1759"/>
      <c r="L35" s="1707"/>
      <c r="M35" s="1707"/>
      <c r="N35" s="1678"/>
      <c r="O35" s="1679"/>
      <c r="P35" s="1678"/>
      <c r="Q35" s="1678"/>
      <c r="R35" s="1678"/>
      <c r="S35" s="1678"/>
      <c r="T35" s="1678"/>
      <c r="U35" s="1678"/>
    </row>
    <row r="36" spans="1:21">
      <c r="A36" s="3235"/>
      <c r="B36" s="3244" t="s">
        <v>2054</v>
      </c>
      <c r="C36" s="3245"/>
      <c r="D36" s="1776"/>
      <c r="E36" s="3246"/>
      <c r="F36" s="3246"/>
      <c r="G36" s="1671" t="str">
        <f>IF(B35="场地未平整","估价结果处理","")</f>
        <v/>
      </c>
      <c r="H36" s="3247"/>
      <c r="I36" s="3247"/>
      <c r="J36" s="1678"/>
      <c r="K36" s="1759"/>
      <c r="L36" s="1707"/>
      <c r="M36" s="1707"/>
      <c r="N36" s="1678"/>
      <c r="O36" s="1679"/>
      <c r="P36" s="1678"/>
      <c r="Q36" s="1678"/>
      <c r="R36" s="1678"/>
      <c r="S36" s="1678"/>
      <c r="T36" s="1678"/>
      <c r="U36" s="1678"/>
    </row>
    <row r="37" spans="1:21" ht="28.5">
      <c r="A37" s="3235"/>
      <c r="B37" s="3265"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35"/>
      <c r="B38" s="3266"/>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36"/>
      <c r="B39" s="326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48" t="s">
        <v>1985</v>
      </c>
      <c r="T40" s="1715" t="str">
        <f>NUMBERSTRING(7-K40,1)&amp;"通"</f>
        <v>七通</v>
      </c>
      <c r="U40" s="1678"/>
    </row>
    <row r="41" spans="1:21">
      <c r="A41" s="1647"/>
      <c r="B41" s="3240" t="s">
        <v>1721</v>
      </c>
      <c r="C41" s="3240"/>
      <c r="D41" s="3240"/>
      <c r="E41" s="3240"/>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8"/>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23878.02</v>
      </c>
      <c r="B3" s="22">
        <f>IF(C3="否",G5-AT5,G5)</f>
        <v>59695.06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59695.06</v>
      </c>
      <c r="H5" s="27">
        <f t="shared" ref="H5:AT5" si="0">SUM(H13:H641)</f>
        <v>59695.06</v>
      </c>
      <c r="I5" s="27">
        <f t="shared" si="0"/>
        <v>41786.54</v>
      </c>
      <c r="J5" s="27">
        <f t="shared" si="0"/>
        <v>0</v>
      </c>
      <c r="K5" s="27">
        <f t="shared" si="0"/>
        <v>17908.52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59695.06</v>
      </c>
      <c r="BA5" s="29">
        <f t="shared" si="1"/>
        <v>59695.06</v>
      </c>
      <c r="BB5" s="29">
        <f t="shared" si="1"/>
        <v>41786.54</v>
      </c>
      <c r="BC5" s="29">
        <f t="shared" si="1"/>
        <v>17908.52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23878.02</v>
      </c>
      <c r="F6" s="27" t="s">
        <v>1</v>
      </c>
      <c r="G6" s="27" t="s">
        <v>2</v>
      </c>
      <c r="H6" s="33">
        <f>SUMIF(I$12:AB$12,"总值",I6:AB6)</f>
        <v>23878.02</v>
      </c>
      <c r="I6" s="27">
        <f t="shared" ref="I6:AB6" si="2">ROUND($A$3*I5/$B$3,2)</f>
        <v>16714.61</v>
      </c>
      <c r="J6" s="27">
        <f t="shared" si="2"/>
        <v>0</v>
      </c>
      <c r="K6" s="27">
        <f t="shared" si="2"/>
        <v>7163.41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23878.02</v>
      </c>
      <c r="AZ6" s="27" t="s">
        <v>3</v>
      </c>
      <c r="BA6" s="27">
        <f>ROUND($AY$6*BA5/$AZ$5,2)</f>
        <v>23878.02</v>
      </c>
      <c r="BB6" s="27">
        <f>ROUND($AY$6*BB5/$AZ$5,2)</f>
        <v>16714.61</v>
      </c>
      <c r="BC6" s="27">
        <f t="shared" ref="BC6:BH6" si="4">ROUND($AY$6*BC5/$AZ$5,2)</f>
        <v>7163.41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3066</v>
      </c>
      <c r="J9" s="51"/>
      <c r="K9" s="2971" t="s">
        <v>3066</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3065</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v>1</v>
      </c>
      <c r="D13" s="2967" t="s">
        <v>1678</v>
      </c>
      <c r="E13" s="27">
        <f t="shared" ref="E13:E20" si="6">IF($C$3="是",ROUND($A$3*G13/$B$3,2),ROUND($A$3*(G13-AT13)/$B$3,2))</f>
        <v>16714.61</v>
      </c>
      <c r="F13" s="81"/>
      <c r="G13" s="82">
        <f t="shared" ref="G13:G20" si="7">H13+AC13+AT13</f>
        <v>41786.54</v>
      </c>
      <c r="H13" s="33">
        <f t="shared" ref="H13:H20" si="8">SUMIF(I$12:AB$12,"总值",I13:AB13)</f>
        <v>41786.54</v>
      </c>
      <c r="I13" s="3203">
        <f>ROUND((A3*2.5*0.7),2)</f>
        <v>41786.54</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1</v>
      </c>
      <c r="AY13" s="996">
        <f t="shared" ref="AY13:AY20" si="11">ROUND($AY$6*AZ13/$AZ$5,2)</f>
        <v>16714.61</v>
      </c>
      <c r="AZ13" s="27">
        <f t="shared" ref="AZ13:AZ20" si="12">BA13+BL13</f>
        <v>41786.54</v>
      </c>
      <c r="BA13" s="27">
        <f t="shared" ref="BA13:BA20" si="13">SUM(BB13:BK13)</f>
        <v>41786.54</v>
      </c>
      <c r="BB13" s="27">
        <f t="shared" ref="BB13:BB20" si="14">IF($D13="是",I13-J13,0)</f>
        <v>41786.54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7163.41</v>
      </c>
      <c r="F14" s="81"/>
      <c r="G14" s="82">
        <f t="shared" si="7"/>
        <v>17908.52</v>
      </c>
      <c r="H14" s="33">
        <f t="shared" si="8"/>
        <v>17908.52</v>
      </c>
      <c r="I14" s="2970"/>
      <c r="J14" s="2970"/>
      <c r="K14" s="3203">
        <f>ROUND((A3*2.5*0.3),2)</f>
        <v>17908.52</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7163.41</v>
      </c>
      <c r="AZ14" s="27">
        <f t="shared" si="12"/>
        <v>17908.52</v>
      </c>
      <c r="BA14" s="27">
        <f t="shared" si="13"/>
        <v>17908.52</v>
      </c>
      <c r="BB14" s="27">
        <f t="shared" si="14"/>
        <v>0</v>
      </c>
      <c r="BC14" s="27">
        <f t="shared" si="15"/>
        <v>17908.52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I7" sqref="I7"/>
    </sheetView>
  </sheetViews>
  <sheetFormatPr defaultColWidth="9.125" defaultRowHeight="14.25"/>
  <cols>
    <col min="1" max="1" width="8.125" style="1970" customWidth="1"/>
    <col min="2" max="2" width="10.1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125" style="1970"/>
  </cols>
  <sheetData>
    <row r="1" spans="1:16" ht="18.75">
      <c r="A1" s="104" t="s">
        <v>202</v>
      </c>
      <c r="B1" s="1969"/>
      <c r="C1" s="1969"/>
      <c r="D1" s="1969"/>
      <c r="E1" s="1969"/>
      <c r="F1" s="1969"/>
      <c r="G1" s="1969"/>
      <c r="H1" s="1969"/>
      <c r="I1" s="1969"/>
      <c r="J1" s="1969"/>
      <c r="K1" s="1969"/>
      <c r="L1" s="1969"/>
    </row>
    <row r="2" spans="1:16" ht="15">
      <c r="A2" s="3287" t="s">
        <v>203</v>
      </c>
      <c r="B2" s="3287"/>
      <c r="C2" s="3287"/>
      <c r="D2" s="1960" t="s">
        <v>204</v>
      </c>
      <c r="E2" s="106" t="s">
        <v>205</v>
      </c>
      <c r="F2" s="1969"/>
      <c r="G2" s="1194"/>
      <c r="H2" s="1195"/>
      <c r="I2" s="1196" t="s">
        <v>857</v>
      </c>
      <c r="J2" s="1969"/>
      <c r="K2" s="1969"/>
      <c r="L2" s="1969"/>
    </row>
    <row r="3" spans="1:16" ht="15.75" thickBot="1">
      <c r="A3" s="3288" t="s">
        <v>206</v>
      </c>
      <c r="B3" s="3288"/>
      <c r="C3" s="3288"/>
      <c r="D3" s="107">
        <f>'数据-基础表'!AY6</f>
        <v>23878.02</v>
      </c>
      <c r="E3" s="107">
        <f>'数据-基础表'!AZ5</f>
        <v>59695.06</v>
      </c>
      <c r="F3" s="1969"/>
      <c r="G3" s="280" t="s">
        <v>858</v>
      </c>
      <c r="H3" s="275" t="s">
        <v>859</v>
      </c>
      <c r="I3" s="1961">
        <f>ROUND('数据-基础表'!B3/'数据-基础表'!A3,2)</f>
        <v>2.5</v>
      </c>
      <c r="J3" s="1969"/>
      <c r="K3" s="1969"/>
      <c r="L3" s="1969"/>
    </row>
    <row r="4" spans="1:16" ht="15">
      <c r="A4" s="3289"/>
      <c r="B4" s="3290"/>
      <c r="C4" s="3291"/>
      <c r="D4" s="108" t="s">
        <v>204</v>
      </c>
      <c r="E4" s="109" t="s">
        <v>205</v>
      </c>
      <c r="F4" s="1969"/>
      <c r="G4" s="1197"/>
      <c r="H4" s="275" t="s">
        <v>860</v>
      </c>
      <c r="I4" s="1961">
        <f>ROUND(SUMIF('数据-基础表'!I9:AS9,"地上",'数据-基础表'!I5:AS5)/'数据-基础表'!A3,2)</f>
        <v>2.5</v>
      </c>
      <c r="J4" s="1969"/>
      <c r="K4" s="1969"/>
      <c r="L4" s="1969"/>
    </row>
    <row r="5" spans="1:16">
      <c r="A5" s="110" t="s">
        <v>207</v>
      </c>
      <c r="B5" s="3292" t="s">
        <v>230</v>
      </c>
      <c r="C5" s="3292"/>
      <c r="D5" s="111">
        <f>ROUND($D$3*E5/$E$3,2)</f>
        <v>16714.61</v>
      </c>
      <c r="E5" s="112">
        <f>SUMIF('数据-基础表'!$11:$11,"住宅",'数据-基础表'!$5:$5)</f>
        <v>41786.54</v>
      </c>
      <c r="F5" s="1969"/>
      <c r="G5" s="280" t="s">
        <v>861</v>
      </c>
      <c r="H5" s="275" t="s">
        <v>859</v>
      </c>
      <c r="I5" s="1961">
        <f>ROUND(E31/D31,2)</f>
        <v>2.5</v>
      </c>
      <c r="J5" s="1969"/>
      <c r="K5" s="1969"/>
      <c r="L5" s="1969"/>
    </row>
    <row r="6" spans="1:16" ht="15" thickBot="1">
      <c r="A6" s="113"/>
      <c r="B6" s="3292" t="s">
        <v>208</v>
      </c>
      <c r="C6" s="3292"/>
      <c r="D6" s="111">
        <f>ROUND($D$3*E6/$E$3,2)</f>
        <v>7163.41</v>
      </c>
      <c r="E6" s="112">
        <f>E3-E5</f>
        <v>17908.519999999997</v>
      </c>
      <c r="F6" s="1969"/>
      <c r="G6" s="1197"/>
      <c r="H6" s="275" t="s">
        <v>860</v>
      </c>
      <c r="I6" s="1961">
        <f>ROUND(F31/D31,2)</f>
        <v>2.5</v>
      </c>
      <c r="J6" s="1969"/>
      <c r="K6" s="1969"/>
      <c r="L6" s="1969"/>
    </row>
    <row r="7" spans="1:16" ht="15">
      <c r="A7" s="3284"/>
      <c r="B7" s="3285"/>
      <c r="C7" s="3286"/>
      <c r="D7" s="108" t="s">
        <v>204</v>
      </c>
      <c r="E7" s="114" t="s">
        <v>231</v>
      </c>
      <c r="F7" s="1969"/>
      <c r="G7" s="1152" t="s">
        <v>1645</v>
      </c>
      <c r="H7" s="1153"/>
      <c r="I7" s="1831"/>
      <c r="J7" s="1969"/>
      <c r="K7" s="1969"/>
      <c r="L7" s="1969"/>
    </row>
    <row r="8" spans="1:16">
      <c r="A8" s="110" t="s">
        <v>209</v>
      </c>
      <c r="B8" s="115" t="s">
        <v>210</v>
      </c>
      <c r="C8" s="111" t="s">
        <v>211</v>
      </c>
      <c r="D8" s="111">
        <f t="shared" ref="D8:D15" si="0">ROUND($D$3*E8/$E$3,2)</f>
        <v>23878.02</v>
      </c>
      <c r="E8" s="116">
        <f>SUMIF('数据-基础表'!BB10:BK10,"地上",'数据-基础表'!BB5:BK5)</f>
        <v>59695.06</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23878.02</v>
      </c>
      <c r="E16" s="120">
        <f>SUM(E8:E15)</f>
        <v>59695.06</v>
      </c>
      <c r="F16" s="1969"/>
      <c r="G16" s="1971"/>
      <c r="H16" s="968" t="s">
        <v>219</v>
      </c>
      <c r="I16" s="969"/>
      <c r="J16" s="1969"/>
      <c r="K16" s="3278" t="s">
        <v>2566</v>
      </c>
      <c r="L16" s="3279"/>
      <c r="M16" s="3279"/>
      <c r="N16" s="3279"/>
      <c r="O16" s="3279"/>
      <c r="P16" s="3280"/>
    </row>
    <row r="17" spans="1:19" ht="15">
      <c r="A17" s="121" t="s">
        <v>216</v>
      </c>
      <c r="B17" s="122" t="s">
        <v>217</v>
      </c>
      <c r="C17" s="2283" t="s">
        <v>2313</v>
      </c>
      <c r="D17" s="108" t="s">
        <v>204</v>
      </c>
      <c r="E17" s="124" t="s">
        <v>205</v>
      </c>
      <c r="F17" s="125"/>
      <c r="G17" s="1362"/>
      <c r="H17" s="970" t="s">
        <v>218</v>
      </c>
      <c r="I17" s="971" t="s">
        <v>2312</v>
      </c>
      <c r="J17" s="1969"/>
      <c r="K17" s="3281" t="s">
        <v>2567</v>
      </c>
      <c r="L17" s="3282"/>
      <c r="M17" s="3283"/>
      <c r="N17" s="3281" t="s">
        <v>2568</v>
      </c>
      <c r="O17" s="3282"/>
      <c r="P17" s="3283"/>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3067</v>
      </c>
      <c r="D19" s="111">
        <f t="shared" ref="D19:D26" si="1">ROUND($D$3*E19/$E$3,2)</f>
        <v>16714.61</v>
      </c>
      <c r="E19" s="134">
        <f t="shared" ref="E19:E26" si="2">SUM(F19:G19)</f>
        <v>41786.54</v>
      </c>
      <c r="F19" s="135">
        <f>'数据-基础表'!I13</f>
        <v>41786.54</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16714.61</v>
      </c>
      <c r="S19" s="2286">
        <f t="shared" si="5"/>
        <v>41786.54</v>
      </c>
    </row>
    <row r="20" spans="1:19">
      <c r="A20" s="138"/>
      <c r="B20" s="115" t="s">
        <v>226</v>
      </c>
      <c r="C20" s="2977" t="s">
        <v>3069</v>
      </c>
      <c r="D20" s="111">
        <f t="shared" si="1"/>
        <v>7163.41</v>
      </c>
      <c r="E20" s="134">
        <f t="shared" si="2"/>
        <v>17908.52</v>
      </c>
      <c r="F20" s="135">
        <f>'数据-基础表'!K14</f>
        <v>17908.52</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7163.41</v>
      </c>
      <c r="S20" s="2286">
        <f t="shared" si="5"/>
        <v>17908.52</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23878.02</v>
      </c>
      <c r="E27" s="143">
        <f>IF(SUM(E19:E26)='数据-基础表'!BA5,SUM(E19:E26),IF(F27="地上面积有误","面积有误","地下面积有误"))</f>
        <v>59695.06</v>
      </c>
      <c r="F27" s="134">
        <f>IF(SUM(F19:F26)=E8,SUM(F19:F26),"地上面积有误")</f>
        <v>59695.06</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23878.02</v>
      </c>
      <c r="S27" s="275">
        <f>IF(SUM(S19:S26)=$E$3,SUM(S19:S26),SUM(S19:S26)&amp;"误差"&amp;ROUND(SUM(S19:S26)-E3,2))</f>
        <v>59695.06</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23878.02</v>
      </c>
      <c r="E31" s="1368">
        <f>E27+E30</f>
        <v>59695.06</v>
      </c>
      <c r="F31" s="1369">
        <f>F27+F30</f>
        <v>59695.06</v>
      </c>
      <c r="G31" s="1370">
        <f>G27+G30</f>
        <v>0</v>
      </c>
      <c r="H31" s="1969"/>
      <c r="I31" s="1969"/>
      <c r="J31" s="1969"/>
      <c r="K31" s="1969"/>
      <c r="L31" s="1969"/>
    </row>
    <row r="32" spans="1:19">
      <c r="A32" s="1969"/>
      <c r="B32" s="2327" t="s">
        <v>2321</v>
      </c>
      <c r="C32" s="2611"/>
      <c r="D32" s="1197"/>
      <c r="E32" s="1197">
        <f>SUMIF(C19:C26,"*住宅*",E19:E26)</f>
        <v>41786.54</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J24" sqref="J24"/>
    </sheetView>
  </sheetViews>
  <sheetFormatPr defaultColWidth="13.625" defaultRowHeight="12.75"/>
  <cols>
    <col min="1" max="1" width="20.875" style="1212" customWidth="1"/>
    <col min="2" max="3" width="12" style="1199" customWidth="1"/>
    <col min="4" max="4" width="9.125" style="1213" customWidth="1"/>
    <col min="5" max="5" width="21.375" style="1199" customWidth="1"/>
    <col min="6" max="10" width="8.875" style="1199" customWidth="1"/>
    <col min="11" max="12" width="12.375" style="1214" customWidth="1"/>
    <col min="13" max="13" width="8.625" style="1199" customWidth="1"/>
    <col min="14"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625" style="1199" customWidth="1"/>
    <col min="25" max="25" width="8.125" style="1199" customWidth="1"/>
    <col min="26" max="30" width="6.625" style="1199" customWidth="1"/>
    <col min="31" max="31" width="6.5" style="1199" customWidth="1"/>
    <col min="32" max="34" width="7.125" style="1199" customWidth="1"/>
    <col min="35" max="39" width="8" style="1199" customWidth="1"/>
    <col min="40" max="41" width="13.625" style="1983"/>
    <col min="42" max="42" width="0" style="1983" hidden="1" customWidth="1"/>
    <col min="43" max="83" width="13.625" style="1983"/>
    <col min="84" max="16384" width="13.62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68656</v>
      </c>
      <c r="F6" s="174">
        <f>SUMIF(项目基本情况!D$15:I$15,C6,项目基本情况!D$19:I$19)</f>
        <v>68.33</v>
      </c>
      <c r="G6" s="175">
        <f>IF(ISERROR(ROUND(POWER(1+H6,D6-F6)*(POWER(1+H6,F6)-1)/(POWER(1+H6,D6)-1),3)),0,ROUND(POWER(1+H6,D6-F6)*(POWER(1+H6,F6)-1)/(POWER(1+H6,D6)-1),3))</f>
        <v>0.996</v>
      </c>
      <c r="H6" s="2978">
        <v>4.4999999999999998E-2</v>
      </c>
      <c r="I6" s="2978">
        <v>0.05</v>
      </c>
      <c r="J6" s="176">
        <v>8.5000000000000006E-2</v>
      </c>
      <c r="K6" s="179">
        <f>SUMIF('数据-汇总表'!C$19:C$33,'数据-取费表'!A6,'数据-汇总表'!E$19:E$33)</f>
        <v>41786.54</v>
      </c>
      <c r="L6" s="2979">
        <v>1800</v>
      </c>
      <c r="M6" s="177">
        <f t="shared" ref="M6:M14" si="0">ROUND(K6*L6/10000,0)</f>
        <v>7522</v>
      </c>
      <c r="N6" s="2980">
        <v>0</v>
      </c>
      <c r="O6" s="177">
        <f>IF($N$5="成新度","——",ROUND(M6*N6,0))</f>
        <v>0</v>
      </c>
      <c r="P6" s="178">
        <f>IF($N$5="成新度","——",M6-O6)</f>
        <v>7522</v>
      </c>
      <c r="Q6" s="3206">
        <v>0.15</v>
      </c>
      <c r="R6" s="179">
        <f>SUMIF('数据-汇总表'!C$19:C$33,A6,'数据-汇总表'!R$19:R$33)</f>
        <v>16714.61</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0.95099999999999996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 xml:space="preserve">商业 </v>
      </c>
      <c r="B7" s="2322" t="str">
        <f t="shared" ref="B7:B13" si="1">IF(A7=0,"","经营性")</f>
        <v>经营性</v>
      </c>
      <c r="C7" s="173" t="s">
        <v>3065</v>
      </c>
      <c r="D7" s="2293">
        <f>SUMIF(项目基本情况!D$15:I$15,C7,项目基本情况!D$18:I$18)</f>
        <v>40</v>
      </c>
      <c r="E7" s="2294">
        <f>IF(B7="","",SUMIF(项目基本情况!D$15:I$15,C7,项目基本情况!D$17:I$17))</f>
        <v>57699</v>
      </c>
      <c r="F7" s="174">
        <f>SUMIF(项目基本情况!D$15:I$15,C7,项目基本情况!D$19:I$19)</f>
        <v>38.32</v>
      </c>
      <c r="G7" s="175">
        <f t="shared" ref="G7:G11" si="2">IF(ISERROR(ROUND(POWER(1+H7,D7-F7)*(POWER(1+H7,F7)-1)/(POWER(1+H7,D7)-1),3)),0,ROUND(POWER(1+H7,D7-F7)*(POWER(1+H7,F7)-1)/(POWER(1+H7,D7)-1),3))</f>
        <v>0.98599999999999999</v>
      </c>
      <c r="H7" s="3190">
        <v>0.05</v>
      </c>
      <c r="I7" s="3190">
        <v>5.5E-2</v>
      </c>
      <c r="J7" s="176">
        <v>8.5000000000000006E-2</v>
      </c>
      <c r="K7" s="179">
        <f>SUMIF('数据-汇总表'!C$19:C$33,'数据-取费表'!A7,'数据-汇总表'!E$19:E$33)</f>
        <v>17908.52</v>
      </c>
      <c r="L7" s="3205">
        <v>2000</v>
      </c>
      <c r="M7" s="177">
        <f t="shared" si="0"/>
        <v>3582</v>
      </c>
      <c r="N7" s="2980">
        <v>0</v>
      </c>
      <c r="O7" s="177">
        <f t="shared" ref="O7:O14" si="3">IF($N$5="成新度","——",ROUND(M7*N7,0))</f>
        <v>0</v>
      </c>
      <c r="P7" s="178">
        <f t="shared" ref="P7:P14" si="4">IF($N$5="成新度","——",M7-O7)</f>
        <v>3582</v>
      </c>
      <c r="Q7" s="3206">
        <v>0.2</v>
      </c>
      <c r="R7" s="179">
        <f>SUMIF('数据-汇总表'!C$19:C$33,A7,'数据-汇总表'!R$19:R$33)</f>
        <v>7163.41</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1.2</v>
      </c>
      <c r="V7" s="181">
        <v>0.03</v>
      </c>
      <c r="W7" s="181">
        <v>0.15</v>
      </c>
      <c r="X7" s="2306"/>
      <c r="Y7" s="182">
        <v>1</v>
      </c>
      <c r="Z7" s="183"/>
      <c r="AA7" s="176"/>
      <c r="AB7" s="176"/>
      <c r="AC7" s="2309"/>
      <c r="AD7" s="184"/>
      <c r="AE7" s="972">
        <f t="shared" ref="AE7:AE13" ca="1" si="6">IF(AN7="",0,SUMIF(INDIRECT("'"&amp;AN7&amp;"'"&amp;"!E:E"),$AE$5,INDIRECT("'"&amp;AN7&amp;"'"&amp;"!F:F")))</f>
        <v>36.32</v>
      </c>
      <c r="AF7" s="141"/>
      <c r="AG7" s="1209">
        <f t="shared" ref="AG7:AG13" si="7">IF(AF7="",0,AE7-AF7)</f>
        <v>0</v>
      </c>
      <c r="AH7" s="141"/>
      <c r="AI7" s="187">
        <v>365</v>
      </c>
      <c r="AJ7" s="188"/>
      <c r="AK7" s="189">
        <v>1.4999999999999999E-2</v>
      </c>
      <c r="AL7" s="190">
        <v>1.5E-3</v>
      </c>
      <c r="AM7" s="2354">
        <v>1.4999999999999999E-2</v>
      </c>
      <c r="AN7" s="2356" t="s">
        <v>3070</v>
      </c>
      <c r="AO7" s="1985"/>
      <c r="AP7" s="1200">
        <f t="shared" ref="AP7:AP13" si="8">ROUND(1-1/(1+H7)^F7,3)</f>
        <v>0.84599999999999997</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0.99299999999999999</v>
      </c>
      <c r="H16" s="203">
        <f>ROUND(SUMPRODUCT(H6:H13,K6:K13)/SUMPRODUCT((H6:H13&gt;0)*(K6:K13)),3)</f>
        <v>4.7E-2</v>
      </c>
      <c r="I16" s="204"/>
      <c r="J16" s="204"/>
      <c r="K16" s="205">
        <f>SUM(K6:K15)</f>
        <v>59695.06</v>
      </c>
      <c r="L16" s="206">
        <f>ROUND(M16*10000/SUM(K6:K14),0)</f>
        <v>1860</v>
      </c>
      <c r="M16" s="206">
        <f>SUM(M6:M14)</f>
        <v>11104</v>
      </c>
      <c r="N16" s="207">
        <f>ROUND(SUMPRODUCT(M6:M14,N6:N14)/M16,3)</f>
        <v>0</v>
      </c>
      <c r="O16" s="206">
        <f>SUM(O6:O14)</f>
        <v>0</v>
      </c>
      <c r="P16" s="206">
        <f>SUM(P6:P14)</f>
        <v>11104</v>
      </c>
      <c r="Q16" s="208">
        <f>ROUND(SUMPRODUCT(Q6:Q13,K6:K13)/SUMPRODUCT((Q6:Q13&gt;0)*(K6:K13)),2)</f>
        <v>0.17</v>
      </c>
      <c r="R16" s="2296">
        <f>SUM(R6:R13)</f>
        <v>23878.02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0.91900000000000004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t="s">
        <v>2263</v>
      </c>
      <c r="W19" s="1974" t="s">
        <v>3110</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3191">
        <v>2</v>
      </c>
      <c r="C20" s="2328" t="s">
        <v>2335</v>
      </c>
      <c r="D20" s="1978"/>
      <c r="E20" s="1977"/>
      <c r="F20" s="1977"/>
      <c r="G20" s="1977"/>
      <c r="H20" s="1977"/>
      <c r="I20" s="1977"/>
      <c r="J20" s="1977"/>
      <c r="K20" s="1976"/>
      <c r="L20" s="1976"/>
      <c r="M20" s="1974"/>
      <c r="N20" s="1974"/>
      <c r="O20" s="1974"/>
      <c r="P20" s="1974"/>
      <c r="Q20" s="1974"/>
      <c r="R20" s="1974"/>
      <c r="S20" s="1974"/>
      <c r="T20" s="1974"/>
      <c r="U20" s="1974" t="s">
        <v>3109</v>
      </c>
      <c r="V20" s="1974">
        <v>1</v>
      </c>
      <c r="W20" s="1974">
        <v>1.5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3111</v>
      </c>
      <c r="V21" s="1974">
        <v>0.6</v>
      </c>
      <c r="W21" s="1974">
        <f>W20*V21</f>
        <v>0.89999999999999991</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t="s">
        <v>3112</v>
      </c>
      <c r="V22" s="1974">
        <v>0.45</v>
      </c>
      <c r="W22" s="1974">
        <f>W20*V22</f>
        <v>0.67500000000000004</v>
      </c>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t="s">
        <v>3113</v>
      </c>
      <c r="M23" s="1974"/>
      <c r="N23" s="1974"/>
      <c r="O23" s="1974"/>
      <c r="P23" s="1974"/>
      <c r="Q23" s="1974"/>
      <c r="R23" s="1974"/>
      <c r="S23" s="1974"/>
      <c r="T23" s="1974"/>
      <c r="U23" s="1974"/>
      <c r="V23" s="1974"/>
      <c r="W23" s="1974">
        <f>AVERAGE(W20:W22)</f>
        <v>1.0250000000000001</v>
      </c>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19</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19</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3204">
        <v>2.5000000000000001E-2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6</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v>3</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v>2</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625" style="2009" customWidth="1"/>
    <col min="10" max="10" width="2.625" style="2010" customWidth="1"/>
    <col min="11" max="11" width="11.875" style="2008" customWidth="1"/>
    <col min="12" max="12" width="16.625" style="2009" customWidth="1"/>
    <col min="13" max="13" width="2.625" style="2010" customWidth="1"/>
    <col min="14" max="14" width="11.875" style="2008" customWidth="1"/>
    <col min="15" max="15" width="16.625" style="2009" customWidth="1"/>
    <col min="16" max="16" width="2.625" style="2010" customWidth="1"/>
    <col min="17" max="17" width="11.875" style="2008" customWidth="1"/>
    <col min="18" max="18" width="16.625" style="2011" customWidth="1"/>
    <col min="19" max="16384" width="9" style="1993"/>
  </cols>
  <sheetData>
    <row r="1" spans="1:18" s="1992" customFormat="1" ht="19.5" thickBot="1">
      <c r="A1" s="3293" t="s">
        <v>1663</v>
      </c>
      <c r="B1" s="3294"/>
      <c r="C1" s="3294"/>
      <c r="D1" s="3294"/>
      <c r="E1" s="3294"/>
      <c r="F1" s="3294"/>
      <c r="G1" s="3294"/>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2997" t="s">
        <v>2844</v>
      </c>
      <c r="B1" s="2997">
        <f>SUM(B14:B23)</f>
        <v>59695.06</v>
      </c>
      <c r="C1" s="2998"/>
      <c r="D1" s="2998"/>
      <c r="E1" s="2998"/>
      <c r="F1" s="2998"/>
    </row>
    <row r="2" spans="1:9" ht="16.5">
      <c r="A2" s="2997" t="s">
        <v>2845</v>
      </c>
      <c r="B2" s="2997">
        <f>SUM(C14:C23)</f>
        <v>23878.02</v>
      </c>
      <c r="C2" s="2998"/>
      <c r="D2" s="2998"/>
      <c r="E2" s="2998"/>
      <c r="F2" s="2998"/>
    </row>
    <row r="3" spans="1:9" ht="16.5">
      <c r="A3" s="2997" t="s">
        <v>2846</v>
      </c>
      <c r="B3" s="2999">
        <f>项目基本情况!D3</f>
        <v>43712</v>
      </c>
      <c r="C3" s="2998"/>
      <c r="D3" s="2998"/>
      <c r="E3" s="2998"/>
      <c r="F3" s="2998"/>
    </row>
    <row r="4" spans="1:9" ht="33">
      <c r="A4" s="2997" t="s">
        <v>2847</v>
      </c>
      <c r="B4" s="2997" t="s">
        <v>2848</v>
      </c>
      <c r="C4" s="2997" t="s">
        <v>2849</v>
      </c>
      <c r="D4" s="2997" t="s">
        <v>2850</v>
      </c>
      <c r="E4" s="2998"/>
      <c r="F4" s="2998"/>
    </row>
    <row r="5" spans="1:9" ht="16.5">
      <c r="A5" s="2997" t="s">
        <v>2851</v>
      </c>
      <c r="B5" s="2997">
        <f ca="1">SUM(D14:D23)</f>
        <v>6115</v>
      </c>
      <c r="C5" s="2997">
        <f ca="1">ROUND(B5*10000/$B$1,0)</f>
        <v>1024</v>
      </c>
      <c r="D5" s="2997">
        <f ca="1">ROUND(B5*10000/$B$2,0)</f>
        <v>2561</v>
      </c>
      <c r="E5" s="2998"/>
      <c r="F5" s="2998"/>
    </row>
    <row r="6" spans="1:9" ht="16.5">
      <c r="A6" s="2997" t="s">
        <v>2852</v>
      </c>
      <c r="B6" s="2997">
        <f ca="1">SUM(G14:G23)</f>
        <v>6115</v>
      </c>
      <c r="C6" s="2997">
        <f t="shared" ref="C6:C8" ca="1" si="0">ROUND(B6*10000/$B$1,0)</f>
        <v>1024</v>
      </c>
      <c r="D6" s="2997">
        <f t="shared" ref="D6:D8" ca="1" si="1">ROUND(B6*10000/$B$2,0)</f>
        <v>2561</v>
      </c>
      <c r="E6" s="2998"/>
      <c r="F6" s="2998"/>
    </row>
    <row r="7" spans="1:9" ht="16.5">
      <c r="A7" s="2997" t="s">
        <v>2853</v>
      </c>
      <c r="B7" s="2997">
        <f>SUM(H14:H23)</f>
        <v>0</v>
      </c>
      <c r="C7" s="2997">
        <f t="shared" si="0"/>
        <v>0</v>
      </c>
      <c r="D7" s="2997">
        <f t="shared" si="1"/>
        <v>0</v>
      </c>
      <c r="E7" s="2998"/>
      <c r="F7" s="2998"/>
    </row>
    <row r="8" spans="1:9" ht="16.5">
      <c r="A8" s="2997" t="s">
        <v>2854</v>
      </c>
      <c r="B8" s="2997">
        <f ca="1">SUM(I14:I23)</f>
        <v>4461</v>
      </c>
      <c r="C8" s="2997">
        <f t="shared" ca="1" si="0"/>
        <v>747</v>
      </c>
      <c r="D8" s="2997">
        <f t="shared" ca="1" si="1"/>
        <v>1868</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59695.06</v>
      </c>
      <c r="C14" s="3001">
        <f>结果表!K38</f>
        <v>23878.02</v>
      </c>
      <c r="D14" s="3001">
        <f ca="1">结果表!C42</f>
        <v>6115</v>
      </c>
      <c r="E14" s="3001">
        <f ca="1">ROUND(D14*10000/B14,0)</f>
        <v>1024</v>
      </c>
      <c r="F14" s="3001">
        <f ca="1">ROUND(D14*10000/C14,0)</f>
        <v>2561</v>
      </c>
      <c r="G14" s="3001">
        <f ca="1">结果表!C44</f>
        <v>6115</v>
      </c>
      <c r="H14" s="3001" t="str">
        <f>结果表!C45</f>
        <v>——</v>
      </c>
      <c r="I14" s="3001">
        <f ca="1">结果表!C46</f>
        <v>4461</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J25" sqref="J25"/>
    </sheetView>
  </sheetViews>
  <sheetFormatPr defaultColWidth="12.625" defaultRowHeight="21.75" customHeight="1"/>
  <cols>
    <col min="1" max="2" width="12.625" style="1246" bestFit="1" customWidth="1"/>
    <col min="3" max="4" width="12.625" style="1246" customWidth="1"/>
    <col min="5" max="9" width="12.625" style="1246"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31" t="str">
        <f>项目基本情况!K2</f>
        <v>出让国有建设用地使用权</v>
      </c>
      <c r="B2" s="3332"/>
      <c r="C2" s="3333"/>
      <c r="D2" s="3333"/>
      <c r="E2" s="3333"/>
      <c r="F2" s="3333"/>
      <c r="G2" s="3332"/>
      <c r="H2" s="3332"/>
      <c r="I2" s="3334"/>
      <c r="J2" s="2015"/>
      <c r="K2" s="2014"/>
      <c r="L2" s="2014"/>
      <c r="M2" s="2014"/>
      <c r="N2" s="2014"/>
      <c r="O2" s="2014"/>
      <c r="P2" s="2014"/>
      <c r="Q2" s="2014"/>
      <c r="R2" s="2014"/>
      <c r="S2" s="2014"/>
      <c r="T2" s="2014"/>
      <c r="U2" s="2014"/>
      <c r="V2" s="2014"/>
    </row>
    <row r="3" spans="1:22" ht="14.25">
      <c r="A3" s="3324" t="s">
        <v>298</v>
      </c>
      <c r="B3" s="3325"/>
      <c r="C3" s="3325"/>
      <c r="D3" s="3325"/>
      <c r="E3" s="3325"/>
      <c r="F3" s="3325"/>
      <c r="G3" s="3325"/>
      <c r="H3" s="3325"/>
      <c r="I3" s="3325"/>
      <c r="J3" s="2015"/>
      <c r="K3" s="2014"/>
      <c r="L3" s="2014"/>
      <c r="M3" s="2014"/>
      <c r="N3" s="2014"/>
      <c r="O3" s="2014"/>
      <c r="P3" s="2014"/>
      <c r="Q3" s="2014"/>
      <c r="R3" s="2014"/>
      <c r="S3" s="2014"/>
      <c r="T3" s="2014"/>
      <c r="U3" s="2014"/>
      <c r="V3" s="2014"/>
    </row>
    <row r="4" spans="1:22" ht="14.25">
      <c r="A4" s="258" t="s">
        <v>299</v>
      </c>
      <c r="B4" s="259" t="s">
        <v>300</v>
      </c>
      <c r="C4" s="260" t="s">
        <v>3075</v>
      </c>
      <c r="D4" s="260" t="s">
        <v>3076</v>
      </c>
      <c r="E4" s="3296" t="s">
        <v>301</v>
      </c>
      <c r="F4" s="3297"/>
      <c r="G4" s="3297"/>
      <c r="H4" s="3297"/>
      <c r="I4" s="332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95" t="s">
        <v>302</v>
      </c>
      <c r="B5" s="3321">
        <v>25</v>
      </c>
      <c r="C5" s="3319"/>
      <c r="D5" s="3323"/>
      <c r="E5" s="261" t="s">
        <v>303</v>
      </c>
      <c r="F5" s="262"/>
      <c r="G5" s="262"/>
      <c r="H5" s="262"/>
      <c r="I5" s="263"/>
      <c r="J5" s="2015"/>
      <c r="K5" s="2014"/>
      <c r="L5" s="2014"/>
      <c r="M5" s="2014"/>
      <c r="N5" s="2014"/>
      <c r="O5" s="2014"/>
      <c r="P5" s="2014"/>
      <c r="Q5" s="2014"/>
      <c r="R5" s="2014"/>
      <c r="S5" s="2014"/>
      <c r="T5" s="2014"/>
      <c r="U5" s="2014"/>
      <c r="V5" s="2014"/>
    </row>
    <row r="6" spans="1:22" ht="14.25">
      <c r="A6" s="3295"/>
      <c r="B6" s="3321"/>
      <c r="C6" s="3322"/>
      <c r="D6" s="3323"/>
      <c r="E6" s="261" t="s">
        <v>304</v>
      </c>
      <c r="F6" s="262"/>
      <c r="G6" s="262"/>
      <c r="H6" s="262"/>
      <c r="I6" s="263"/>
      <c r="J6" s="2015"/>
      <c r="K6" s="2014"/>
      <c r="L6" s="2014"/>
      <c r="M6" s="2014"/>
      <c r="N6" s="2014"/>
      <c r="O6" s="2014"/>
      <c r="P6" s="2014"/>
      <c r="Q6" s="2014"/>
      <c r="R6" s="2014"/>
      <c r="S6" s="2014"/>
      <c r="T6" s="2014"/>
      <c r="U6" s="2014"/>
      <c r="V6" s="2014"/>
    </row>
    <row r="7" spans="1:22" ht="14.25">
      <c r="A7" s="3295"/>
      <c r="B7" s="3321"/>
      <c r="C7" s="3320"/>
      <c r="D7" s="3323"/>
      <c r="E7" s="261" t="s">
        <v>305</v>
      </c>
      <c r="F7" s="262"/>
      <c r="G7" s="262"/>
      <c r="H7" s="262"/>
      <c r="I7" s="263"/>
      <c r="J7" s="2015"/>
      <c r="K7" s="2014"/>
      <c r="L7" s="2014"/>
      <c r="M7" s="2014"/>
      <c r="N7" s="2014"/>
      <c r="O7" s="2014"/>
      <c r="P7" s="2014"/>
      <c r="Q7" s="2014"/>
      <c r="R7" s="2014"/>
      <c r="S7" s="2014"/>
      <c r="T7" s="2014"/>
      <c r="U7" s="2014"/>
      <c r="V7" s="2014"/>
    </row>
    <row r="8" spans="1:22" ht="14.25">
      <c r="A8" s="3295" t="s">
        <v>306</v>
      </c>
      <c r="B8" s="3321">
        <v>15</v>
      </c>
      <c r="C8" s="3319"/>
      <c r="D8" s="3323"/>
      <c r="E8" s="261" t="s">
        <v>307</v>
      </c>
      <c r="F8" s="262"/>
      <c r="G8" s="262"/>
      <c r="H8" s="262"/>
      <c r="I8" s="263"/>
      <c r="J8" s="2015"/>
      <c r="K8" s="2014"/>
      <c r="L8" s="2014"/>
      <c r="M8" s="2014"/>
      <c r="N8" s="2014"/>
      <c r="O8" s="2014"/>
      <c r="P8" s="2014"/>
      <c r="Q8" s="2014"/>
      <c r="R8" s="2014"/>
      <c r="S8" s="2014"/>
      <c r="T8" s="2014"/>
      <c r="U8" s="2014"/>
      <c r="V8" s="2014"/>
    </row>
    <row r="9" spans="1:22" ht="14.25">
      <c r="A9" s="3295"/>
      <c r="B9" s="3321"/>
      <c r="C9" s="3320"/>
      <c r="D9" s="3323"/>
      <c r="E9" s="261" t="s">
        <v>308</v>
      </c>
      <c r="F9" s="262"/>
      <c r="G9" s="262"/>
      <c r="H9" s="262"/>
      <c r="I9" s="263"/>
      <c r="J9" s="2015"/>
      <c r="K9" s="2014"/>
      <c r="L9" s="2014"/>
      <c r="M9" s="2014"/>
      <c r="N9" s="2014"/>
      <c r="O9" s="2014"/>
      <c r="P9" s="2014"/>
      <c r="Q9" s="2014"/>
      <c r="R9" s="2014"/>
      <c r="S9" s="2014"/>
      <c r="T9" s="2014"/>
      <c r="U9" s="2014"/>
      <c r="V9" s="2014"/>
    </row>
    <row r="10" spans="1:22" ht="14.25">
      <c r="A10" s="3295" t="s">
        <v>309</v>
      </c>
      <c r="B10" s="3321">
        <v>15</v>
      </c>
      <c r="C10" s="3319"/>
      <c r="D10" s="3323"/>
      <c r="E10" s="261" t="s">
        <v>310</v>
      </c>
      <c r="F10" s="262"/>
      <c r="G10" s="262"/>
      <c r="H10" s="262"/>
      <c r="I10" s="263"/>
      <c r="J10" s="2015"/>
      <c r="K10" s="2014"/>
      <c r="L10" s="2014"/>
      <c r="M10" s="2014"/>
      <c r="N10" s="2014"/>
      <c r="O10" s="2014"/>
      <c r="P10" s="2014"/>
      <c r="Q10" s="2014"/>
      <c r="R10" s="2014"/>
      <c r="S10" s="2014"/>
      <c r="T10" s="2014"/>
      <c r="U10" s="2014"/>
      <c r="V10" s="2014"/>
    </row>
    <row r="11" spans="1:22" ht="14.25">
      <c r="A11" s="3295"/>
      <c r="B11" s="3321"/>
      <c r="C11" s="3320"/>
      <c r="D11" s="3323"/>
      <c r="E11" s="261" t="s">
        <v>311</v>
      </c>
      <c r="F11" s="262"/>
      <c r="G11" s="262"/>
      <c r="H11" s="262"/>
      <c r="I11" s="263"/>
      <c r="J11" s="2015"/>
      <c r="K11" s="2014"/>
      <c r="L11" s="2014"/>
      <c r="M11" s="2014"/>
      <c r="N11" s="2014"/>
      <c r="O11" s="2014"/>
      <c r="P11" s="2014"/>
      <c r="Q11" s="2014"/>
      <c r="R11" s="2014"/>
      <c r="S11" s="2014"/>
      <c r="T11" s="2014"/>
      <c r="U11" s="2014"/>
      <c r="V11" s="2014"/>
    </row>
    <row r="12" spans="1:22" ht="14.25">
      <c r="A12" s="3295" t="s">
        <v>312</v>
      </c>
      <c r="B12" s="3321">
        <v>15</v>
      </c>
      <c r="C12" s="3319"/>
      <c r="D12" s="3323"/>
      <c r="E12" s="261" t="s">
        <v>313</v>
      </c>
      <c r="F12" s="262"/>
      <c r="G12" s="262"/>
      <c r="H12" s="262"/>
      <c r="I12" s="263"/>
      <c r="J12" s="2015"/>
      <c r="K12" s="2014"/>
      <c r="L12" s="2014"/>
      <c r="M12" s="2014"/>
      <c r="N12" s="2014"/>
      <c r="O12" s="2014"/>
      <c r="P12" s="2014"/>
      <c r="Q12" s="2014"/>
      <c r="R12" s="2014"/>
      <c r="S12" s="2014"/>
      <c r="T12" s="2014"/>
      <c r="U12" s="2014"/>
      <c r="V12" s="2014"/>
    </row>
    <row r="13" spans="1:22" ht="14.25">
      <c r="A13" s="3295"/>
      <c r="B13" s="3321"/>
      <c r="C13" s="3320"/>
      <c r="D13" s="3323"/>
      <c r="E13" s="261" t="s">
        <v>314</v>
      </c>
      <c r="F13" s="262"/>
      <c r="G13" s="262"/>
      <c r="H13" s="262"/>
      <c r="I13" s="263"/>
      <c r="J13" s="2015"/>
      <c r="K13" s="2014"/>
      <c r="L13" s="2014"/>
      <c r="M13" s="2014"/>
      <c r="N13" s="2014"/>
      <c r="O13" s="2014"/>
      <c r="P13" s="2014"/>
      <c r="Q13" s="2014"/>
      <c r="R13" s="2014"/>
      <c r="S13" s="2014"/>
      <c r="T13" s="2014"/>
      <c r="U13" s="2014"/>
      <c r="V13" s="2014"/>
    </row>
    <row r="14" spans="1:22" ht="14.25">
      <c r="A14" s="3295" t="s">
        <v>315</v>
      </c>
      <c r="B14" s="3321">
        <v>30</v>
      </c>
      <c r="C14" s="3319">
        <v>5</v>
      </c>
      <c r="D14" s="3323">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95"/>
      <c r="B15" s="3321"/>
      <c r="C15" s="3322"/>
      <c r="D15" s="3323"/>
      <c r="E15" s="261" t="s">
        <v>317</v>
      </c>
      <c r="F15" s="262"/>
      <c r="G15" s="262"/>
      <c r="H15" s="262"/>
      <c r="I15" s="263"/>
      <c r="J15" s="2015"/>
      <c r="K15" s="2014"/>
      <c r="L15" s="2014"/>
      <c r="M15" s="2014"/>
      <c r="N15" s="2014"/>
      <c r="O15" s="2014"/>
      <c r="P15" s="2014"/>
      <c r="Q15" s="2014"/>
      <c r="R15" s="2014"/>
      <c r="S15" s="2014"/>
      <c r="T15" s="2014"/>
      <c r="U15" s="2014"/>
      <c r="V15" s="2014"/>
    </row>
    <row r="16" spans="1:22" ht="14.25">
      <c r="A16" s="3295"/>
      <c r="B16" s="3321"/>
      <c r="C16" s="3320"/>
      <c r="D16" s="3323"/>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5886</v>
      </c>
      <c r="D19" s="271">
        <f ca="1">SUMIF(INDIRECT("'"&amp;D4&amp;"'"&amp;"!A:A"),结果表!B19,INDIRECT("'"&amp;D4&amp;"'"&amp;"!B:B"))</f>
        <v>6343</v>
      </c>
      <c r="E19" s="268" t="s">
        <v>323</v>
      </c>
      <c r="F19" s="269" t="s">
        <v>322</v>
      </c>
      <c r="G19" s="272">
        <f ca="1">ROUND(C19*$C$18+D19*$D$18,0)</f>
        <v>6115</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986</v>
      </c>
      <c r="D20" s="277">
        <f ca="1">SUMIF(INDIRECT("'"&amp;D4&amp;"'"&amp;"!A:A"),结果表!B20,INDIRECT("'"&amp;D4&amp;"'"&amp;"!B:B"))</f>
        <v>1063</v>
      </c>
      <c r="E20" s="274"/>
      <c r="F20" s="275" t="s">
        <v>325</v>
      </c>
      <c r="G20" s="278">
        <f ca="1">ROUND(C20*$C$18+D20*$D$18,0)</f>
        <v>1025</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2465</v>
      </c>
      <c r="D21" s="151">
        <f ca="1">SUMIF(INDIRECT("'"&amp;D4&amp;"'"&amp;"!A:A"),结果表!B21,INDIRECT("'"&amp;D4&amp;"'"&amp;"!B:B"))</f>
        <v>2656</v>
      </c>
      <c r="E21" s="274"/>
      <c r="F21" s="280" t="s">
        <v>327</v>
      </c>
      <c r="G21" s="282">
        <f ca="1">ROUND(C21*$C$18+D21*$D$18,0)</f>
        <v>2561</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7.7641862045531695E-2</v>
      </c>
      <c r="E22" s="284"/>
      <c r="F22" s="285"/>
      <c r="G22" s="286">
        <f ca="1">ROUND(G19/('数据-汇总表'!D3/666.67),0)</f>
        <v>171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02"/>
      <c r="B25" s="1317" t="s">
        <v>331</v>
      </c>
      <c r="C25" s="290">
        <f>IF(B30=0,0,C30)</f>
        <v>0</v>
      </c>
      <c r="D25" s="291"/>
      <c r="E25" s="311"/>
      <c r="F25" s="311"/>
      <c r="G25" s="311"/>
      <c r="H25" s="311"/>
      <c r="I25" s="311"/>
      <c r="J25" s="2014"/>
      <c r="K25" s="1251" t="str">
        <f ca="1">项目基本情况!B16&amp;"国有建设用地使用权价格："&amp;O38&amp;"万元"</f>
        <v>出让国有建设用地使用权价格：6115万元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大写金额：人民币陆仟壹佰壹拾伍万元整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单位面积地价：2561元/平方米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楼面地价：1024元/平方米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抵押价格：6115万元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大写金额：人民币陆仟壹佰壹拾伍万元整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6115</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1024</v>
      </c>
      <c r="D33" s="1382" t="s">
        <v>1691</v>
      </c>
      <c r="E33" s="3301" t="s">
        <v>338</v>
      </c>
      <c r="F33" s="296" t="s">
        <v>339</v>
      </c>
      <c r="G33" s="297"/>
      <c r="H33" s="980"/>
      <c r="I33" s="1255"/>
      <c r="J33" s="2014"/>
      <c r="K33" s="1254" t="str">
        <f ca="1">IF(项目基本情况!E9="——","——","抵押净值："&amp;C46&amp;"万元")</f>
        <v>抵押净值：4461万元</v>
      </c>
      <c r="L33" s="1248"/>
      <c r="M33" s="1248"/>
      <c r="N33" s="1248"/>
      <c r="O33" s="1247"/>
      <c r="P33" s="2014"/>
      <c r="V33" s="2014"/>
    </row>
    <row r="34" spans="1:26" s="1250" customFormat="1" ht="18.75" thickBot="1">
      <c r="A34" s="300"/>
      <c r="B34" s="1383" t="s">
        <v>1692</v>
      </c>
      <c r="C34" s="264">
        <f ca="1">ROUND(C32*10000/'数据-汇总表'!D3,0)</f>
        <v>2561</v>
      </c>
      <c r="D34" s="1384" t="s">
        <v>1691</v>
      </c>
      <c r="E34" s="3342"/>
      <c r="F34" s="127" t="s">
        <v>341</v>
      </c>
      <c r="G34" s="299"/>
      <c r="H34" s="105"/>
      <c r="I34" s="311"/>
      <c r="J34" s="2014"/>
      <c r="K34" s="1257" t="str">
        <f ca="1">IF(K33="——","——","大写金额：人民币"&amp;NUMBERSTRING(INT(O41*10000),2)&amp;"元整")</f>
        <v>大写金额：人民币肆仟肆佰陆拾壹万元整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171</v>
      </c>
      <c r="D35" s="1387" t="s">
        <v>1693</v>
      </c>
      <c r="E35" s="3343"/>
      <c r="F35" s="301" t="s">
        <v>342</v>
      </c>
      <c r="G35" s="982"/>
      <c r="H35" s="981" t="s">
        <v>343</v>
      </c>
      <c r="I35" s="311"/>
      <c r="J35" s="2014"/>
      <c r="K35" s="3316" t="s">
        <v>350</v>
      </c>
      <c r="L35" s="3316" t="s">
        <v>351</v>
      </c>
      <c r="M35" s="1260" t="s">
        <v>352</v>
      </c>
      <c r="N35" s="3316" t="s">
        <v>353</v>
      </c>
      <c r="O35" s="3316" t="s">
        <v>354</v>
      </c>
      <c r="P35" s="2014"/>
      <c r="V35" s="2014"/>
    </row>
    <row r="36" spans="1:26" ht="16.5" customHeight="1">
      <c r="A36" s="303" t="s">
        <v>344</v>
      </c>
      <c r="B36" s="304" t="s">
        <v>333</v>
      </c>
      <c r="C36" s="305" t="s">
        <v>345</v>
      </c>
      <c r="D36" s="305" t="s">
        <v>346</v>
      </c>
      <c r="E36" s="306" t="s">
        <v>347</v>
      </c>
      <c r="F36" s="311"/>
      <c r="G36" s="311"/>
      <c r="H36" s="311"/>
      <c r="I36" s="311"/>
      <c r="J36" s="2016"/>
      <c r="K36" s="3317"/>
      <c r="L36" s="3317"/>
      <c r="M36" s="1262" t="s">
        <v>355</v>
      </c>
      <c r="N36" s="3317"/>
      <c r="O36" s="3317"/>
      <c r="P36" s="2014"/>
      <c r="V36" s="2014"/>
    </row>
    <row r="37" spans="1:26" ht="16.5" customHeight="1" thickBot="1">
      <c r="A37" s="1256" t="s">
        <v>348</v>
      </c>
      <c r="B37" s="307"/>
      <c r="C37" s="294"/>
      <c r="D37" s="294"/>
      <c r="E37" s="295"/>
      <c r="F37" s="311"/>
      <c r="G37" s="311"/>
      <c r="H37" s="311"/>
      <c r="I37" s="311"/>
      <c r="J37" s="2016"/>
      <c r="K37" s="3318"/>
      <c r="L37" s="3318"/>
      <c r="M37" s="1263"/>
      <c r="N37" s="3318"/>
      <c r="O37" s="3318"/>
      <c r="P37" s="2014"/>
      <c r="V37" s="2014"/>
    </row>
    <row r="38" spans="1:26" ht="16.5" customHeight="1" thickBot="1">
      <c r="A38" s="1256" t="s">
        <v>349</v>
      </c>
      <c r="B38" s="307"/>
      <c r="C38" s="294"/>
      <c r="D38" s="294"/>
      <c r="E38" s="295"/>
      <c r="F38" s="311"/>
      <c r="G38" s="311"/>
      <c r="H38" s="311"/>
      <c r="I38" s="311"/>
      <c r="J38" s="2016"/>
      <c r="K38" s="1264">
        <f>'数据-汇总表'!D3</f>
        <v>23878.02</v>
      </c>
      <c r="L38" s="1265">
        <f>'数据-汇总表'!E3</f>
        <v>59695.06</v>
      </c>
      <c r="M38" s="1265">
        <f ca="1">C34</f>
        <v>2561</v>
      </c>
      <c r="N38" s="1265">
        <f ca="1">C33</f>
        <v>1024</v>
      </c>
      <c r="O38" s="1266">
        <f ca="1">C32</f>
        <v>6115</v>
      </c>
      <c r="P38" s="2014"/>
      <c r="V38" s="2014"/>
    </row>
    <row r="39" spans="1:26" ht="16.5" customHeight="1" thickBot="1">
      <c r="A39" s="1261"/>
      <c r="B39" s="308"/>
      <c r="C39" s="309"/>
      <c r="D39" s="309"/>
      <c r="E39" s="310"/>
      <c r="F39" s="311"/>
      <c r="G39" s="311"/>
      <c r="H39" s="311"/>
      <c r="I39" s="311"/>
      <c r="J39" s="2016"/>
      <c r="K39" s="3361" t="str">
        <f>MID(A44,3,LEN(A44)-2)</f>
        <v>抵押价格</v>
      </c>
      <c r="L39" s="3362"/>
      <c r="M39" s="3362"/>
      <c r="N39" s="3363"/>
      <c r="O39" s="1389">
        <f ca="1">C44</f>
        <v>6115</v>
      </c>
      <c r="P39" s="2014"/>
      <c r="V39" s="2014"/>
    </row>
    <row r="40" spans="1:26" ht="19.5" thickBot="1">
      <c r="A40" s="104" t="s">
        <v>873</v>
      </c>
      <c r="B40" s="311"/>
      <c r="C40" s="311"/>
      <c r="D40" s="311"/>
      <c r="E40" s="311"/>
      <c r="F40" s="311"/>
      <c r="G40" s="311"/>
      <c r="H40" s="311"/>
      <c r="I40" s="311"/>
      <c r="J40" s="2016"/>
      <c r="K40" s="3361" t="str">
        <f t="shared" ref="K40:K41" si="0">MID(A45,3,LEN(A45)-2)</f>
        <v/>
      </c>
      <c r="L40" s="3362"/>
      <c r="M40" s="3362"/>
      <c r="N40" s="3363"/>
      <c r="O40" s="1389" t="str">
        <f>C45</f>
        <v>——</v>
      </c>
      <c r="P40" s="2014"/>
      <c r="V40" s="2014"/>
    </row>
    <row r="41" spans="1:26" ht="16.5" thickBot="1">
      <c r="A41" s="312" t="s">
        <v>356</v>
      </c>
      <c r="B41" s="313"/>
      <c r="C41" s="314" t="s">
        <v>357</v>
      </c>
      <c r="D41" s="315" t="s">
        <v>358</v>
      </c>
      <c r="E41" s="315" t="s">
        <v>359</v>
      </c>
      <c r="F41" s="316" t="s">
        <v>360</v>
      </c>
      <c r="G41" s="311"/>
      <c r="H41" s="311"/>
      <c r="I41" s="311"/>
      <c r="J41" s="2016"/>
      <c r="K41" s="3361" t="str">
        <f t="shared" si="0"/>
        <v>抵押净值</v>
      </c>
      <c r="L41" s="3362"/>
      <c r="M41" s="3362"/>
      <c r="N41" s="3363"/>
      <c r="O41" s="1389">
        <f ca="1">C46</f>
        <v>4461</v>
      </c>
      <c r="P41" s="2014"/>
      <c r="V41" s="2014"/>
    </row>
    <row r="42" spans="1:26" ht="29.25">
      <c r="A42" s="3303" t="s">
        <v>2067</v>
      </c>
      <c r="B42" s="3304"/>
      <c r="C42" s="264">
        <f ca="1">C32</f>
        <v>6115</v>
      </c>
      <c r="D42" s="317">
        <f ca="1">C33</f>
        <v>1024</v>
      </c>
      <c r="E42" s="317">
        <f ca="1">C34</f>
        <v>2561</v>
      </c>
      <c r="F42" s="318">
        <f ca="1">C35</f>
        <v>171</v>
      </c>
      <c r="G42" s="311"/>
      <c r="H42" s="311"/>
      <c r="I42" s="319"/>
      <c r="J42" s="2016"/>
      <c r="K42" s="1267" t="s">
        <v>361</v>
      </c>
      <c r="L42" s="2033" t="s">
        <v>362</v>
      </c>
      <c r="M42" s="1268" t="s">
        <v>363</v>
      </c>
      <c r="N42" s="2034" t="s">
        <v>364</v>
      </c>
      <c r="O42" s="2035" t="s">
        <v>365</v>
      </c>
      <c r="P42" s="2014"/>
      <c r="V42" s="2014"/>
    </row>
    <row r="43" spans="1:26" ht="30">
      <c r="A43" s="3314" t="s">
        <v>2730</v>
      </c>
      <c r="B43" s="3315"/>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5886</v>
      </c>
      <c r="M43" s="1271">
        <f>C18</f>
        <v>0.5</v>
      </c>
      <c r="N43" s="1272">
        <f ca="1">IF(N42="测算结果/万元",G19,G20)</f>
        <v>6115</v>
      </c>
      <c r="O43" s="1273">
        <f ca="1">IF(O42="最终结果/万元",C32,C33)</f>
        <v>6115</v>
      </c>
      <c r="P43" s="2014"/>
      <c r="V43" s="2014"/>
    </row>
    <row r="44" spans="1:26" ht="30.75" thickBot="1">
      <c r="A44" s="3303" t="str">
        <f>IF(OR(项目基本情况!E8="抵押价格",项目基本情况!E8="已注销及未注销"),"3.抵押价格","——")</f>
        <v>3.抵押价格</v>
      </c>
      <c r="B44" s="3304"/>
      <c r="C44" s="264">
        <f ca="1">IF(A44="——","——",C42-C43)</f>
        <v>6115</v>
      </c>
      <c r="D44" s="317">
        <f ca="1">ROUND(C44*10000/'数据-汇总表'!E3,0)</f>
        <v>1024</v>
      </c>
      <c r="E44" s="317">
        <f ca="1">ROUND(C44*10000/'数据-汇总表'!D3,0)</f>
        <v>2561</v>
      </c>
      <c r="F44" s="318">
        <f ca="1">ROUND(C44/('数据-汇总表'!D3/666.67),0)</f>
        <v>171</v>
      </c>
      <c r="G44" s="311"/>
      <c r="H44" s="311"/>
      <c r="I44" s="319"/>
      <c r="J44" s="2016"/>
      <c r="K44" s="1274" t="str">
        <f>D4</f>
        <v>剩余法-待开发</v>
      </c>
      <c r="L44" s="1275">
        <f ca="1">IF(L42="估价结果/万元",D19,D20)</f>
        <v>6343</v>
      </c>
      <c r="M44" s="1276">
        <f>D18</f>
        <v>0.5</v>
      </c>
      <c r="N44" s="1277"/>
      <c r="O44" s="1278"/>
      <c r="P44" s="2014"/>
      <c r="V44" s="2014"/>
    </row>
    <row r="45" spans="1:26" ht="15">
      <c r="A45" s="3309" t="str">
        <f>IF(项目基本情况!E8="已注销及未注销","4.抵押担保权已注销时的抵押价格",IF(项目基本情况!E8="已注销","3.抵押担保权已注销时的抵押价格","——"))</f>
        <v>——</v>
      </c>
      <c r="B45" s="331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05" t="str">
        <f>IF(项目基本情况!E9="抵押净值",IF(A45="——","4.抵押净值","5.抵押净值"),"——")</f>
        <v>4.抵押净值</v>
      </c>
      <c r="B46" s="3306"/>
      <c r="C46" s="320">
        <f ca="1">IF(A46="——","——",O79)</f>
        <v>4461</v>
      </c>
      <c r="D46" s="317">
        <f ca="1">ROUND(C46*10000/'数据-汇总表'!E3,0)</f>
        <v>747</v>
      </c>
      <c r="E46" s="317">
        <f ca="1">ROUND(C46*10000/'数据-汇总表'!D3,0)</f>
        <v>1868</v>
      </c>
      <c r="F46" s="318">
        <f ca="1">ROUND(C46/('数据-汇总表'!D3/666.67),0)</f>
        <v>125</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0" t="s">
        <v>374</v>
      </c>
      <c r="B63" s="3351"/>
      <c r="C63" s="3352"/>
      <c r="D63" s="341">
        <f ca="1">ROUND(C42*F63,0)</f>
        <v>3669</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11" t="s">
        <v>378</v>
      </c>
      <c r="B64" s="3312"/>
      <c r="C64" s="3312"/>
      <c r="D64" s="3312"/>
      <c r="E64" s="3312"/>
      <c r="F64" s="3312"/>
      <c r="G64" s="331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07" t="s">
        <v>386</v>
      </c>
      <c r="B66" s="3308"/>
      <c r="C66" s="3308"/>
      <c r="D66" s="261">
        <f ca="1">IF(H66="情况1",0,IF(H66="情况2",D70,IF(H66="情况3",D71,IF(H66="情况4",D72))))</f>
        <v>196</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65" t="s">
        <v>385</v>
      </c>
      <c r="M66" s="3366"/>
      <c r="N66" s="2423"/>
      <c r="O66" s="2424"/>
      <c r="P66" s="2425"/>
      <c r="Q66" s="2014"/>
      <c r="R66" s="2014"/>
      <c r="S66" s="2014"/>
      <c r="T66" s="2014"/>
      <c r="U66" s="2014"/>
      <c r="V66" s="2014"/>
    </row>
    <row r="67" spans="1:22" ht="25.5" customHeight="1">
      <c r="A67" s="352" t="s">
        <v>390</v>
      </c>
      <c r="B67" s="3298" t="s">
        <v>391</v>
      </c>
      <c r="C67" s="3298"/>
      <c r="D67" s="353">
        <v>0</v>
      </c>
      <c r="E67" s="41" t="s">
        <v>392</v>
      </c>
      <c r="F67" s="62" t="s">
        <v>21</v>
      </c>
      <c r="G67" s="3353"/>
      <c r="H67" s="311"/>
      <c r="I67" s="1288"/>
      <c r="J67" s="2021"/>
      <c r="K67" s="1962">
        <v>2</v>
      </c>
      <c r="L67" s="3364" t="s">
        <v>389</v>
      </c>
      <c r="M67" s="3364"/>
      <c r="N67" s="1321">
        <f>'数据-取费表'!B2</f>
        <v>43712</v>
      </c>
      <c r="O67" s="1321"/>
      <c r="P67" s="1321"/>
      <c r="Q67" s="2014"/>
      <c r="R67" s="2014"/>
      <c r="S67" s="2014"/>
      <c r="T67" s="2014"/>
      <c r="U67" s="2014"/>
      <c r="V67" s="2014"/>
    </row>
    <row r="68" spans="1:22" ht="25.5" customHeight="1">
      <c r="A68" s="354"/>
      <c r="B68" s="3298" t="s">
        <v>394</v>
      </c>
      <c r="C68" s="3298"/>
      <c r="D68" s="355"/>
      <c r="E68" s="77"/>
      <c r="F68" s="356"/>
      <c r="G68" s="3354"/>
      <c r="H68" s="311"/>
      <c r="I68" s="1288"/>
      <c r="J68" s="2021"/>
      <c r="K68" s="1962">
        <v>3</v>
      </c>
      <c r="L68" s="3364" t="s">
        <v>393</v>
      </c>
      <c r="M68" s="3364"/>
      <c r="N68" s="1289">
        <f ca="1">C42</f>
        <v>6115</v>
      </c>
      <c r="O68" s="1289"/>
      <c r="P68" s="1289"/>
      <c r="Q68" s="2014"/>
      <c r="R68" s="2014"/>
      <c r="S68" s="2014"/>
      <c r="T68" s="2014"/>
      <c r="U68" s="2014"/>
      <c r="V68" s="2014"/>
    </row>
    <row r="69" spans="1:22" ht="12" customHeight="1">
      <c r="A69" s="357"/>
      <c r="B69" s="3298" t="s">
        <v>395</v>
      </c>
      <c r="C69" s="3298"/>
      <c r="D69" s="358"/>
      <c r="E69" s="73"/>
      <c r="F69" s="356"/>
      <c r="G69" s="3355"/>
      <c r="H69" s="311"/>
      <c r="I69" s="1288"/>
      <c r="J69" s="2021"/>
      <c r="K69" s="1290">
        <v>4</v>
      </c>
      <c r="L69" s="3369" t="s">
        <v>2883</v>
      </c>
      <c r="M69" s="3370"/>
      <c r="N69" s="1291">
        <f ca="1">C44</f>
        <v>6115</v>
      </c>
      <c r="O69" s="1291"/>
      <c r="P69" s="1291"/>
      <c r="Q69" s="2014"/>
      <c r="R69" s="2014"/>
      <c r="S69" s="2014"/>
      <c r="T69" s="2014"/>
      <c r="U69" s="2014"/>
      <c r="V69" s="2014"/>
    </row>
    <row r="70" spans="1:22" ht="24" customHeight="1">
      <c r="A70" s="359" t="s">
        <v>396</v>
      </c>
      <c r="B70" s="3298" t="s">
        <v>397</v>
      </c>
      <c r="C70" s="3298"/>
      <c r="D70" s="358">
        <f ca="1">ROUND(D63*'数据-取费表'!B41/(1+'数据-取费表'!C42),0)</f>
        <v>196</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99" t="s">
        <v>405</v>
      </c>
      <c r="C71" s="3300"/>
      <c r="D71" s="358">
        <f ca="1">ROUND(D63*'数据-取费表'!B41/(1+'数据-取费表'!C42),0)</f>
        <v>196</v>
      </c>
      <c r="E71" s="17" t="s">
        <v>398</v>
      </c>
      <c r="F71" s="360">
        <f>'数据-取费表'!B41</f>
        <v>5.6000000000000001E-2</v>
      </c>
      <c r="G71" s="361"/>
      <c r="H71" s="311"/>
      <c r="I71" s="1288"/>
      <c r="J71" s="2021"/>
      <c r="K71" s="3013" t="s">
        <v>399</v>
      </c>
      <c r="L71" s="3371" t="s">
        <v>400</v>
      </c>
      <c r="M71" s="3371"/>
      <c r="N71" s="3013" t="s">
        <v>401</v>
      </c>
      <c r="O71" s="3013" t="s">
        <v>402</v>
      </c>
      <c r="P71" s="3013" t="s">
        <v>403</v>
      </c>
      <c r="Q71" s="2014"/>
      <c r="R71" s="2014"/>
      <c r="S71" s="2014"/>
      <c r="T71" s="2014"/>
      <c r="U71" s="2014"/>
      <c r="V71" s="2014"/>
    </row>
    <row r="72" spans="1:22" ht="12" customHeight="1">
      <c r="A72" s="359" t="s">
        <v>407</v>
      </c>
      <c r="B72" s="3299" t="s">
        <v>408</v>
      </c>
      <c r="C72" s="3300"/>
      <c r="D72" s="358">
        <f ca="1">C86</f>
        <v>84</v>
      </c>
      <c r="E72" s="73" t="s">
        <v>409</v>
      </c>
      <c r="F72" s="360">
        <f>'数据-取费表'!B41</f>
        <v>5.6000000000000001E-2</v>
      </c>
      <c r="G72" s="361"/>
      <c r="H72" s="1294"/>
      <c r="I72" s="1288"/>
      <c r="J72" s="2021"/>
      <c r="K72" s="1962">
        <v>1</v>
      </c>
      <c r="L72" s="3346" t="s">
        <v>406</v>
      </c>
      <c r="M72" s="3346"/>
      <c r="N72" s="1292">
        <f ca="1">D66</f>
        <v>196</v>
      </c>
      <c r="O72" s="1845" t="str">
        <f>E66</f>
        <v>销售额×税（费）率</v>
      </c>
      <c r="P72" s="1293">
        <f>F66</f>
        <v>5.6000000000000001E-2</v>
      </c>
      <c r="Q72" s="2014"/>
      <c r="R72" s="2014"/>
      <c r="S72" s="2014"/>
      <c r="T72" s="2014"/>
      <c r="U72" s="2014"/>
      <c r="V72" s="2014"/>
    </row>
    <row r="73" spans="1:22" ht="24" customHeight="1">
      <c r="A73" s="3340" t="s">
        <v>411</v>
      </c>
      <c r="B73" s="3308"/>
      <c r="C73" s="3308"/>
      <c r="D73" s="362">
        <f>IF(H73="个人住宅",0,ROUND(D63*I73,0))</f>
        <v>0</v>
      </c>
      <c r="E73" s="17" t="s">
        <v>412</v>
      </c>
      <c r="F73" s="360" t="str">
        <f>IF(H73="正常",I73,"免征")</f>
        <v>免征</v>
      </c>
      <c r="G73" s="361"/>
      <c r="H73" s="191" t="s">
        <v>2455</v>
      </c>
      <c r="I73" s="360">
        <f>'数据-取费表'!B49</f>
        <v>5.0000000000000001E-4</v>
      </c>
      <c r="J73" s="2021"/>
      <c r="K73" s="1962">
        <v>2</v>
      </c>
      <c r="L73" s="3346" t="s">
        <v>410</v>
      </c>
      <c r="M73" s="3346"/>
      <c r="N73" s="1292">
        <f t="shared" ref="N73:P74" si="1">D73</f>
        <v>0</v>
      </c>
      <c r="O73" s="1845" t="str">
        <f t="shared" si="1"/>
        <v>销售额×税（费）率</v>
      </c>
      <c r="P73" s="1293" t="str">
        <f t="shared" si="1"/>
        <v>免征</v>
      </c>
      <c r="Q73" s="2014"/>
      <c r="R73" s="2014"/>
      <c r="S73" s="2014"/>
      <c r="T73" s="2014"/>
      <c r="U73" s="2014"/>
      <c r="V73" s="2014"/>
    </row>
    <row r="74" spans="1:22" ht="24.75">
      <c r="A74" s="3340" t="s">
        <v>415</v>
      </c>
      <c r="B74" s="3308"/>
      <c r="C74" s="3308"/>
      <c r="D74" s="362">
        <f ca="1">IF(H74="个人住宅",D75,D76)</f>
        <v>1421</v>
      </c>
      <c r="E74" s="17" t="s">
        <v>416</v>
      </c>
      <c r="F74" s="360" t="str">
        <f>IF(H74="正常",F76,"免征")</f>
        <v>——</v>
      </c>
      <c r="G74" s="983" t="s">
        <v>417</v>
      </c>
      <c r="H74" s="363" t="s">
        <v>413</v>
      </c>
      <c r="I74" s="42"/>
      <c r="J74" s="2021"/>
      <c r="K74" s="1962">
        <v>3</v>
      </c>
      <c r="L74" s="3346" t="s">
        <v>414</v>
      </c>
      <c r="M74" s="3346"/>
      <c r="N74" s="1292">
        <f t="shared" ca="1" si="1"/>
        <v>1421</v>
      </c>
      <c r="O74" s="1845" t="str">
        <f t="shared" si="1"/>
        <v>增值额×税（费）率</v>
      </c>
      <c r="P74" s="1295" t="str">
        <f t="shared" si="1"/>
        <v>——</v>
      </c>
      <c r="Q74" s="2014"/>
      <c r="R74" s="2014"/>
      <c r="S74" s="2014"/>
      <c r="T74" s="2014"/>
      <c r="U74" s="2014"/>
      <c r="V74" s="2014"/>
    </row>
    <row r="75" spans="1:22" ht="24">
      <c r="A75" s="359" t="s">
        <v>418</v>
      </c>
      <c r="B75" s="3296" t="s">
        <v>419</v>
      </c>
      <c r="C75" s="3326"/>
      <c r="D75" s="364">
        <v>0</v>
      </c>
      <c r="E75" s="41" t="s">
        <v>420</v>
      </c>
      <c r="F75" s="365"/>
      <c r="G75" s="361"/>
      <c r="H75" s="42"/>
      <c r="I75" s="42"/>
      <c r="J75" s="2021"/>
      <c r="K75" s="3006">
        <f>IF(H77="非个人房产","",4)</f>
        <v>4</v>
      </c>
      <c r="L75" s="3346" t="str">
        <f>IF(H77="非个人房产","——","个人所得税")</f>
        <v>个人所得税</v>
      </c>
      <c r="M75" s="3346"/>
      <c r="N75" s="1296">
        <f ca="1">D77</f>
        <v>37</v>
      </c>
      <c r="O75" s="1858" t="str">
        <f>E77</f>
        <v>销售额×税（费）率</v>
      </c>
      <c r="P75" s="1297">
        <f>F77</f>
        <v>0.01</v>
      </c>
      <c r="Q75" s="2014"/>
      <c r="R75" s="2014"/>
      <c r="S75" s="2014"/>
      <c r="T75" s="2014"/>
      <c r="U75" s="2014"/>
      <c r="V75" s="2014"/>
    </row>
    <row r="76" spans="1:22" ht="24.75">
      <c r="A76" s="359" t="s">
        <v>396</v>
      </c>
      <c r="B76" s="3296" t="s">
        <v>422</v>
      </c>
      <c r="C76" s="3297"/>
      <c r="D76" s="362">
        <f ca="1">IF(H76="转让取得",C99,C115)</f>
        <v>1421</v>
      </c>
      <c r="E76" s="17" t="s">
        <v>423</v>
      </c>
      <c r="F76" s="53" t="s">
        <v>21</v>
      </c>
      <c r="G76" s="361"/>
      <c r="H76" s="363" t="s">
        <v>424</v>
      </c>
      <c r="I76" s="42"/>
      <c r="J76" s="2021"/>
      <c r="K76" s="3006" t="str">
        <f>IF(项目基本情况!K6="上海银行",IF(K75="",4,K75+1),"")</f>
        <v/>
      </c>
      <c r="L76" s="3357" t="str">
        <f>IF(项目基本情况!K6="上海银行","其他处置费用","")</f>
        <v/>
      </c>
      <c r="M76" s="3358"/>
      <c r="N76" s="1292" t="str">
        <f>IF(项目基本情况!K6="上海银行",N89,"")</f>
        <v/>
      </c>
      <c r="O76" s="3359" t="str">
        <f>IF(项目基本情况!K6="上海银行","包含处置中涉及的律师、诉讼、拍卖、评估等费用","")</f>
        <v/>
      </c>
      <c r="P76" s="3360"/>
      <c r="Q76" s="2014"/>
      <c r="R76" s="2014"/>
      <c r="S76" s="2014"/>
      <c r="T76" s="2014"/>
      <c r="U76" s="2014"/>
      <c r="V76" s="2014"/>
    </row>
    <row r="77" spans="1:22" ht="26.25" thickBot="1">
      <c r="A77" s="3348" t="s">
        <v>426</v>
      </c>
      <c r="B77" s="3349"/>
      <c r="C77" s="3349"/>
      <c r="D77" s="366">
        <f ca="1">IF(H77="非个人房产","——",IF(H77="个人住宅",0,ROUND(D63*I77,0)))</f>
        <v>37</v>
      </c>
      <c r="E77" s="367" t="str">
        <f>IF(H77="非个人房产","——","销售额×税（费）率")</f>
        <v>销售额×税（费）率</v>
      </c>
      <c r="F77" s="368">
        <f>IF(H77="非个人房产","——",IF(H77="个人住宅","免征",I77))</f>
        <v>0.01</v>
      </c>
      <c r="G77" s="984" t="s">
        <v>417</v>
      </c>
      <c r="H77" s="363" t="s">
        <v>2884</v>
      </c>
      <c r="I77" s="369">
        <v>0.01</v>
      </c>
      <c r="J77" s="2021"/>
      <c r="K77" s="3347">
        <f>IF(AND(K75="",K76=""),4,IF(项目基本情况!K6="上海银行",K76+1,K75+1))</f>
        <v>5</v>
      </c>
      <c r="L77" s="3346" t="s">
        <v>2885</v>
      </c>
      <c r="M77" s="3012" t="s">
        <v>421</v>
      </c>
      <c r="N77" s="1298"/>
      <c r="O77" s="1299">
        <f ca="1">SUMIF(N72:N76,"&lt;9e307")</f>
        <v>1654</v>
      </c>
      <c r="P77" s="1300"/>
      <c r="Q77" s="3010">
        <f ca="1">O77/N69</f>
        <v>0.2704824202780049</v>
      </c>
      <c r="R77" s="2014"/>
      <c r="S77" s="2014"/>
      <c r="T77" s="2014"/>
      <c r="U77" s="2014"/>
      <c r="V77" s="2014"/>
    </row>
    <row r="78" spans="1:22" ht="12" customHeight="1">
      <c r="A78" s="1301"/>
      <c r="B78" s="311"/>
      <c r="C78" s="311"/>
      <c r="D78" s="311"/>
      <c r="E78" s="42"/>
      <c r="F78" s="42"/>
      <c r="G78" s="42"/>
      <c r="H78" s="1003"/>
      <c r="I78" s="311"/>
      <c r="J78" s="2021"/>
      <c r="K78" s="3347"/>
      <c r="L78" s="3346"/>
      <c r="M78" s="3012" t="s">
        <v>425</v>
      </c>
      <c r="N78" s="1298"/>
      <c r="O78" s="1299" t="str">
        <f ca="1">NUMBERSTRING(INT(O77*10000),2)&amp;"元整"</f>
        <v>壹仟陆佰伍拾肆万元整</v>
      </c>
      <c r="P78" s="1300"/>
      <c r="Q78" s="2014"/>
      <c r="R78" s="2014"/>
      <c r="S78" s="2014"/>
      <c r="T78" s="2014"/>
      <c r="U78" s="2014"/>
      <c r="V78" s="2014"/>
    </row>
    <row r="79" spans="1:22" ht="13.5" thickBot="1">
      <c r="A79" s="3341" t="s">
        <v>427</v>
      </c>
      <c r="B79" s="3341"/>
      <c r="C79" s="3341"/>
      <c r="D79" s="3341"/>
      <c r="E79" s="3341"/>
      <c r="F79" s="42"/>
      <c r="G79" s="42"/>
      <c r="H79" s="1003"/>
      <c r="I79" s="311"/>
      <c r="J79" s="2021"/>
      <c r="K79" s="3367">
        <f>K77+1</f>
        <v>6</v>
      </c>
      <c r="L79" s="3346" t="s">
        <v>2886</v>
      </c>
      <c r="M79" s="3012" t="s">
        <v>421</v>
      </c>
      <c r="N79" s="1298"/>
      <c r="O79" s="1299">
        <f ca="1">N69-O77</f>
        <v>4461</v>
      </c>
      <c r="P79" s="1300"/>
      <c r="Q79" s="2014"/>
      <c r="R79" s="2014"/>
      <c r="S79" s="2014"/>
      <c r="T79" s="2014"/>
      <c r="U79" s="2014"/>
      <c r="V79" s="2014"/>
    </row>
    <row r="80" spans="1:22" ht="25.5">
      <c r="A80" s="3336" t="s">
        <v>428</v>
      </c>
      <c r="B80" s="3337"/>
      <c r="C80" s="994"/>
      <c r="D80" s="994" t="s">
        <v>429</v>
      </c>
      <c r="E80" s="370" t="s">
        <v>430</v>
      </c>
      <c r="F80" s="42"/>
      <c r="G80" s="42"/>
      <c r="H80" s="1003"/>
      <c r="I80" s="311"/>
      <c r="J80" s="2014"/>
      <c r="K80" s="3368"/>
      <c r="L80" s="3346"/>
      <c r="M80" s="3012" t="s">
        <v>425</v>
      </c>
      <c r="N80" s="1298"/>
      <c r="O80" s="1299" t="str">
        <f ca="1">NUMBERSTRING(INT(O79*10000),2)&amp;"元整"</f>
        <v>肆仟肆佰陆拾壹万元整</v>
      </c>
      <c r="P80" s="1300"/>
      <c r="Q80" s="2014"/>
      <c r="R80" s="2014"/>
      <c r="S80" s="2014"/>
      <c r="T80" s="2014"/>
      <c r="U80" s="2014"/>
      <c r="V80" s="2014"/>
    </row>
    <row r="81" spans="1:26" ht="13.5" thickBot="1">
      <c r="A81" s="381" t="s">
        <v>1823</v>
      </c>
      <c r="B81" s="371" t="s">
        <v>431</v>
      </c>
      <c r="C81" s="372">
        <f ca="1">ROUND((C82+C83)/(1+'数据-取费表'!C42),0)</f>
        <v>3494</v>
      </c>
      <c r="D81" s="373"/>
      <c r="E81" s="374"/>
      <c r="F81" s="42"/>
      <c r="G81" s="42"/>
      <c r="H81" s="1003"/>
      <c r="I81" s="311"/>
      <c r="J81" s="2014"/>
      <c r="K81" s="3006">
        <f>K79+1</f>
        <v>7</v>
      </c>
      <c r="L81" s="3344" t="s">
        <v>2887</v>
      </c>
      <c r="M81" s="3345"/>
      <c r="N81" s="1302"/>
      <c r="O81" s="1303">
        <f ca="1">ROUND(O79*10000/'数据-汇总表'!E3,0)</f>
        <v>747</v>
      </c>
      <c r="P81" s="1304"/>
      <c r="Q81" s="2014"/>
      <c r="R81" s="2014"/>
      <c r="S81" s="2014"/>
      <c r="T81" s="2014"/>
      <c r="U81" s="2014"/>
      <c r="V81" s="2014"/>
    </row>
    <row r="82" spans="1:26" ht="13.5" thickTop="1">
      <c r="A82" s="375" t="s">
        <v>1824</v>
      </c>
      <c r="B82" s="376" t="s">
        <v>432</v>
      </c>
      <c r="C82" s="377">
        <f ca="1">D63</f>
        <v>3669</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56" t="s">
        <v>2874</v>
      </c>
      <c r="L83" s="3018" t="s">
        <v>2875</v>
      </c>
      <c r="M83" s="3008">
        <f ca="1">IF(N69&gt;10000,N69*0.5%,IF(AND(N69&gt;1000,N69&lt;=10000),N69*1%,IF(AND(N69&gt;100,N69&lt;=1000),N69*3%,IF(AND(N69&gt;10,N69&lt;=100),N69*5%,N69*8%))))</f>
        <v>61.15</v>
      </c>
      <c r="N83" s="53">
        <f ca="1">ROUND(M83,1)</f>
        <v>61.2</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56"/>
      <c r="L84" s="3018" t="s">
        <v>2876</v>
      </c>
      <c r="M84" s="3008">
        <f ca="1">IF(N69&gt;2000,N69*0.5%,IF(AND(N69&gt;1000,N69&lt;=2000),N69*0.6%,IF(AND(N69&gt;500,N69&lt;=1000),N69*0.7%,IF(AND(N69&gt;200,N69&lt;=500),N69*0.8%,IF(AND(N69&gt;100,N69&lt;=200),N69*0.9%,IF(AND(N69&gt;50,N69&lt;=100),N69*1%,IF(AND(N69&gt;20,N69&lt;=50),N69*1.5%,IF(AND(N69&gt;10,N69&lt;=20),N69*2%,IF(AND(N69&gt;1,N69&lt;=10),N69*2.5%)))))))))</f>
        <v>30.574999999999999</v>
      </c>
      <c r="N84" s="53">
        <f t="shared" ref="N84:N85" ca="1" si="2">ROUND(M84,1)</f>
        <v>30.6</v>
      </c>
      <c r="O84" s="2014" t="s">
        <v>2877</v>
      </c>
      <c r="P84" s="2014"/>
      <c r="Q84" s="2014"/>
      <c r="R84" s="2014"/>
      <c r="S84" s="2014"/>
      <c r="T84" s="2014"/>
      <c r="U84" s="2014"/>
      <c r="V84" s="2014"/>
    </row>
    <row r="85" spans="1:26" ht="12.75">
      <c r="A85" s="381" t="s">
        <v>1827</v>
      </c>
      <c r="B85" s="382" t="s">
        <v>435</v>
      </c>
      <c r="C85" s="385">
        <f ca="1">C81-C84</f>
        <v>1494</v>
      </c>
      <c r="D85" s="378" t="s">
        <v>19</v>
      </c>
      <c r="E85" s="379"/>
      <c r="F85" s="42"/>
      <c r="G85" s="42"/>
      <c r="H85" s="1003"/>
      <c r="I85" s="311"/>
      <c r="J85" s="2014"/>
      <c r="K85" s="3356"/>
      <c r="L85" s="3018" t="s">
        <v>2878</v>
      </c>
      <c r="M85" s="3008">
        <f ca="1">IF(N69&gt;1000,N69*0.1%,IF(AND(N69&gt;500,N69&lt;=1000),N69*0.5%,IF(AND(N69&gt;50,N69&lt;=500),N69*1%,IF(AND(N69&gt;1,N69&lt;=50),N69*1.5%))))</f>
        <v>6.1150000000000002</v>
      </c>
      <c r="N85" s="53">
        <f t="shared" ca="1" si="2"/>
        <v>6.1</v>
      </c>
      <c r="O85" s="2014" t="s">
        <v>2877</v>
      </c>
      <c r="P85" s="2014"/>
      <c r="Q85" s="2014"/>
      <c r="R85" s="2014"/>
      <c r="S85" s="2014"/>
      <c r="T85" s="2014"/>
      <c r="U85" s="2014"/>
      <c r="V85" s="2014"/>
    </row>
    <row r="86" spans="1:26" ht="13.5" thickBot="1">
      <c r="A86" s="386" t="s">
        <v>1828</v>
      </c>
      <c r="B86" s="387" t="s">
        <v>436</v>
      </c>
      <c r="C86" s="388">
        <f ca="1">IF(C85&lt;=0,0,ROUND(C85*D86,0))</f>
        <v>84</v>
      </c>
      <c r="D86" s="389">
        <f>'数据-取费表'!B41</f>
        <v>5.6000000000000001E-2</v>
      </c>
      <c r="E86" s="390"/>
      <c r="F86" s="42"/>
      <c r="G86" s="42"/>
      <c r="H86" s="1003"/>
      <c r="I86" s="311"/>
      <c r="J86" s="2014"/>
      <c r="K86" s="3356"/>
      <c r="L86" s="3018" t="s">
        <v>2879</v>
      </c>
      <c r="M86" s="3008">
        <f ca="1">N69*0.5%</f>
        <v>30.574999999999999</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56"/>
      <c r="L87" s="3018" t="s">
        <v>2881</v>
      </c>
      <c r="M87" s="3008">
        <f ca="1">IF(N69&gt;=10000,(8.25+(N69-10000)*0.01%),IF(AND(N69&gt;=8000,N69&lt;10000),(7.85+(N69-8000)*0.02%),IF(AND(N69&gt;=5000,N69&lt;8000),(6.65+(N69-5000)*0.04%),IF(AND(N69&gt;=2000,N69&lt;5000),(4.25+(PN69-2000)*0.08%),IF(AND(N69&gt;=1000,N69&lt;2000),(2.75+(N69-1000)*0.15%),IF(AND(N69&gt;=100,N69&lt;1000),(0.5+(N69-100)*0.25%),IF(AND(N69&gt;0,N69&lt;100),N69*0.5%)))))))</f>
        <v>7.0960000000000001</v>
      </c>
      <c r="N87" s="53">
        <f ca="1">ROUND(M87*0.9,1)</f>
        <v>6.4</v>
      </c>
      <c r="O87" s="3011"/>
      <c r="P87" s="311"/>
      <c r="Q87" s="2014"/>
      <c r="R87" s="2014"/>
      <c r="S87" s="2014"/>
      <c r="T87" s="2014"/>
      <c r="U87" s="2014"/>
      <c r="V87" s="2014"/>
      <c r="W87" s="292"/>
      <c r="X87" s="292"/>
      <c r="Y87" s="292"/>
      <c r="Z87" s="292"/>
    </row>
    <row r="88" spans="1:26" s="1310" customFormat="1" ht="15" thickBot="1">
      <c r="A88" s="3338" t="s">
        <v>437</v>
      </c>
      <c r="B88" s="3339"/>
      <c r="C88" s="3339"/>
      <c r="D88" s="3339"/>
      <c r="E88" s="3339"/>
      <c r="F88" s="3339"/>
      <c r="G88" s="3339"/>
      <c r="H88" s="3339"/>
      <c r="I88" s="1311"/>
      <c r="J88" s="2022"/>
      <c r="K88" s="3356"/>
      <c r="L88" s="3018" t="s">
        <v>2882</v>
      </c>
      <c r="M88" s="3008">
        <f ca="1">IF(N69&gt;10000,N69*0.5%,IF(AND(N69&gt;5000,N69&lt;=10000),N69*1%,IF(AND(N69&gt;1000,N69&lt;=5000),N69*2%,IF(AND(N69&gt;200,N69&lt;=1000),N69*3%,N69*5%))))</f>
        <v>61.15</v>
      </c>
      <c r="N88" s="53">
        <f ca="1">ROUND(M88,1)</f>
        <v>61.2</v>
      </c>
      <c r="O88" s="3011"/>
      <c r="P88" s="11"/>
      <c r="Q88" s="2019"/>
      <c r="R88" s="2019"/>
      <c r="S88" s="2019"/>
      <c r="T88" s="2019"/>
      <c r="U88" s="2019"/>
      <c r="V88" s="2019"/>
      <c r="W88" s="2023"/>
      <c r="X88" s="2023"/>
      <c r="Y88" s="2023"/>
      <c r="Z88" s="2023"/>
    </row>
    <row r="89" spans="1:26" s="1310" customFormat="1" ht="14.25">
      <c r="A89" s="3336" t="s">
        <v>428</v>
      </c>
      <c r="B89" s="3337"/>
      <c r="C89" s="994"/>
      <c r="D89" s="994" t="s">
        <v>429</v>
      </c>
      <c r="E89" s="391" t="s">
        <v>438</v>
      </c>
      <c r="F89" s="392"/>
      <c r="G89" s="392"/>
      <c r="H89" s="393"/>
      <c r="I89" s="1312"/>
      <c r="J89" s="2024"/>
      <c r="K89" s="3356"/>
      <c r="L89" s="3018" t="s">
        <v>27</v>
      </c>
      <c r="M89" s="3009"/>
      <c r="N89" s="53">
        <f ca="1">ROUND(SUM(N83:N88),0)</f>
        <v>166</v>
      </c>
      <c r="O89" s="3019">
        <f ca="1">N89/N69</f>
        <v>2.7146361406377759E-2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3494</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2582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99" t="s">
        <v>447</v>
      </c>
      <c r="F94" s="3298"/>
      <c r="G94" s="3298"/>
      <c r="H94" s="333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21</v>
      </c>
      <c r="D96" s="406">
        <f>'数据-取费表'!B43</f>
        <v>6.000000000000001E-3</v>
      </c>
      <c r="E96" s="3327" t="s">
        <v>2428</v>
      </c>
      <c r="F96" s="3328"/>
      <c r="G96" s="3328"/>
      <c r="H96" s="332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912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0.35321456235476373</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274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8" t="s">
        <v>454</v>
      </c>
      <c r="B101" s="3339"/>
      <c r="C101" s="3339"/>
      <c r="D101" s="3339"/>
      <c r="E101" s="3339"/>
      <c r="F101" s="3339"/>
      <c r="G101" s="3339"/>
      <c r="H101" s="333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6" t="s">
        <v>428</v>
      </c>
      <c r="B102" s="333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3494</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711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30" t="s">
        <v>462</v>
      </c>
      <c r="F109" s="3328"/>
      <c r="G109" s="3328"/>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30" t="s">
        <v>464</v>
      </c>
      <c r="F110" s="3328"/>
      <c r="G110" s="3328"/>
      <c r="H110" s="332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21</v>
      </c>
      <c r="D111" s="406">
        <f>'数据-取费表'!B43</f>
        <v>6.000000000000001E-3</v>
      </c>
      <c r="E111" s="3327" t="s">
        <v>2428</v>
      </c>
      <c r="F111" s="3328"/>
      <c r="G111" s="3328"/>
      <c r="H111" s="332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0" t="s">
        <v>2453</v>
      </c>
      <c r="F112" s="3328"/>
      <c r="G112" s="3328"/>
      <c r="H112" s="332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2783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3.9142053445850915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1421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L17" sqref="L17"/>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5886</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986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2465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164</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1" t="s">
        <v>522</v>
      </c>
      <c r="D6" s="3382"/>
      <c r="E6" s="3381" t="s">
        <v>523</v>
      </c>
      <c r="F6" s="3382"/>
      <c r="G6" s="3381" t="s">
        <v>524</v>
      </c>
      <c r="H6" s="3382"/>
      <c r="I6" s="3381" t="s">
        <v>525</v>
      </c>
      <c r="J6" s="3382"/>
      <c r="K6" s="514" t="s">
        <v>526</v>
      </c>
      <c r="L6" s="2119"/>
      <c r="M6" s="2118"/>
      <c r="N6" s="2118"/>
      <c r="O6" s="2120"/>
      <c r="P6" s="3383" t="s">
        <v>527</v>
      </c>
      <c r="Q6" s="3384"/>
      <c r="R6" s="3389" t="s">
        <v>523</v>
      </c>
      <c r="S6" s="3390"/>
      <c r="T6" s="3389" t="s">
        <v>524</v>
      </c>
      <c r="U6" s="3390"/>
      <c r="V6" s="3376" t="s">
        <v>525</v>
      </c>
      <c r="W6" s="3376"/>
      <c r="X6" s="1554"/>
      <c r="Y6" s="3389" t="s">
        <v>527</v>
      </c>
      <c r="Z6" s="3390"/>
      <c r="AA6" s="3378" t="s">
        <v>523</v>
      </c>
      <c r="AB6" s="3379" t="s">
        <v>524</v>
      </c>
      <c r="AC6" s="3378" t="s">
        <v>525</v>
      </c>
    </row>
    <row r="7" spans="1:30" ht="20.25">
      <c r="A7" s="515"/>
      <c r="B7" s="516"/>
      <c r="C7" s="3397" t="s">
        <v>2931</v>
      </c>
      <c r="D7" s="3398"/>
      <c r="E7" s="3397" t="str">
        <f>Sheet1!A3</f>
        <v>来宾市仙池路与西E路交叉口东北角</v>
      </c>
      <c r="F7" s="3398"/>
      <c r="G7" s="3397" t="str">
        <f>Sheet1!A7</f>
        <v>来宾市之江路与侨仁路交叉口西南角</v>
      </c>
      <c r="H7" s="3398"/>
      <c r="I7" s="3397" t="str">
        <f>Sheet1!A8</f>
        <v>来宾市侨兴路与华侨纵二路交叉口西北角</v>
      </c>
      <c r="J7" s="3398"/>
      <c r="K7" s="514"/>
      <c r="L7" s="2119"/>
      <c r="M7" s="2118"/>
      <c r="N7" s="2118"/>
      <c r="O7" s="2120"/>
      <c r="P7" s="3385"/>
      <c r="Q7" s="3386"/>
      <c r="R7" s="3391"/>
      <c r="S7" s="3392"/>
      <c r="T7" s="3391"/>
      <c r="U7" s="3392"/>
      <c r="V7" s="3376"/>
      <c r="W7" s="3376"/>
      <c r="X7" s="1554"/>
      <c r="Y7" s="3391"/>
      <c r="Z7" s="3392"/>
      <c r="AA7" s="3379"/>
      <c r="AB7" s="3379"/>
      <c r="AC7" s="3379"/>
    </row>
    <row r="8" spans="1:30" ht="21" thickBot="1">
      <c r="A8" s="515"/>
      <c r="B8" s="516"/>
      <c r="C8" s="3399" t="s">
        <v>2935</v>
      </c>
      <c r="D8" s="3400"/>
      <c r="E8" s="3399" t="s">
        <v>2935</v>
      </c>
      <c r="F8" s="3400"/>
      <c r="G8" s="3395" t="s">
        <v>2935</v>
      </c>
      <c r="H8" s="3396"/>
      <c r="I8" s="3395" t="s">
        <v>2935</v>
      </c>
      <c r="J8" s="3396"/>
      <c r="K8" s="514" t="s">
        <v>528</v>
      </c>
      <c r="L8" s="2119"/>
      <c r="M8" s="2118"/>
      <c r="N8" s="2118"/>
      <c r="O8" s="2120"/>
      <c r="P8" s="3387"/>
      <c r="Q8" s="3388"/>
      <c r="R8" s="3391"/>
      <c r="S8" s="3392"/>
      <c r="T8" s="3393"/>
      <c r="U8" s="3394"/>
      <c r="V8" s="3376"/>
      <c r="W8" s="3376"/>
      <c r="X8" s="1554"/>
      <c r="Y8" s="3393"/>
      <c r="Z8" s="3394"/>
      <c r="AA8" s="3380"/>
      <c r="AB8" s="3380"/>
      <c r="AC8" s="3380"/>
    </row>
    <row r="9" spans="1:30" s="1216" customFormat="1" ht="21" thickBot="1">
      <c r="A9" s="2868"/>
      <c r="B9" s="2875" t="s">
        <v>529</v>
      </c>
      <c r="C9" s="2867">
        <f>'数据-取费表'!B2</f>
        <v>43712</v>
      </c>
      <c r="D9" s="520">
        <v>100</v>
      </c>
      <c r="E9" s="521" t="str">
        <f>Sheet1!H3</f>
        <v>2019-06-21</v>
      </c>
      <c r="F9" s="522">
        <f>SUMIF(72:72,YEAR(E9)&amp;"-"&amp;INT((MONTH(E9)+2)/3),73:73)</f>
        <v>99.5</v>
      </c>
      <c r="G9" s="523" t="str">
        <f>Sheet1!H7</f>
        <v>2018-09-12</v>
      </c>
      <c r="H9" s="520">
        <f>SUMIF(72:72,YEAR(G9)&amp;"-"&amp;INT((MONTH(G9)+2)/3),73:73)</f>
        <v>98</v>
      </c>
      <c r="I9" s="523" t="str">
        <f>Sheet1!H8</f>
        <v>2018-09-12</v>
      </c>
      <c r="J9" s="520">
        <f>SUMIF(72:72,YEAR(I9)&amp;"-"&amp;INT((MONTH(I9)+2)/3),73:73)</f>
        <v>98</v>
      </c>
      <c r="K9" s="524"/>
      <c r="L9" s="2121"/>
      <c r="M9" s="2118"/>
      <c r="N9" s="2118"/>
      <c r="O9" s="2122"/>
      <c r="P9" s="3406" t="s">
        <v>530</v>
      </c>
      <c r="Q9" s="3408"/>
      <c r="R9" s="1555" t="s">
        <v>8</v>
      </c>
      <c r="S9" s="1556">
        <f t="shared" ref="S9:S17" si="0">F9</f>
        <v>99.5</v>
      </c>
      <c r="T9" s="1555" t="s">
        <v>8</v>
      </c>
      <c r="U9" s="1556">
        <f t="shared" ref="U9:U17" si="1">H9</f>
        <v>98</v>
      </c>
      <c r="V9" s="1555" t="s">
        <v>8</v>
      </c>
      <c r="W9" s="1556">
        <f t="shared" ref="W9:W17" si="2">J9</f>
        <v>98</v>
      </c>
      <c r="X9" s="1557"/>
      <c r="Y9" s="3406" t="s">
        <v>530</v>
      </c>
      <c r="Z9" s="3407"/>
      <c r="AA9" s="1558">
        <f>D9/F9</f>
        <v>1.0050251256281406</v>
      </c>
      <c r="AB9" s="1558">
        <f>D9/H9</f>
        <v>1.0204081632653061</v>
      </c>
      <c r="AC9" s="1558">
        <f>D9/J9</f>
        <v>1.0204081632653061</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406" t="s">
        <v>533</v>
      </c>
      <c r="Q10" s="3407"/>
      <c r="R10" s="1555" t="s">
        <v>8</v>
      </c>
      <c r="S10" s="1556">
        <f t="shared" si="0"/>
        <v>100</v>
      </c>
      <c r="T10" s="1555" t="s">
        <v>8</v>
      </c>
      <c r="U10" s="1556">
        <f t="shared" si="1"/>
        <v>100</v>
      </c>
      <c r="V10" s="1555" t="s">
        <v>8</v>
      </c>
      <c r="W10" s="1556">
        <f t="shared" si="2"/>
        <v>100</v>
      </c>
      <c r="X10" s="1557"/>
      <c r="Y10" s="3406" t="s">
        <v>533</v>
      </c>
      <c r="Z10" s="3407"/>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5" t="s">
        <v>535</v>
      </c>
      <c r="Q11" s="1147" t="str">
        <f t="shared" ref="Q11:Q17" si="6">B11</f>
        <v>用途</v>
      </c>
      <c r="R11" s="1555" t="s">
        <v>8</v>
      </c>
      <c r="S11" s="1556">
        <f t="shared" si="0"/>
        <v>100</v>
      </c>
      <c r="T11" s="1555" t="s">
        <v>8</v>
      </c>
      <c r="U11" s="1556">
        <f t="shared" si="1"/>
        <v>100</v>
      </c>
      <c r="V11" s="1555" t="s">
        <v>8</v>
      </c>
      <c r="W11" s="1556">
        <f t="shared" si="2"/>
        <v>100</v>
      </c>
      <c r="X11" s="1557"/>
      <c r="Y11" s="3321"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75"/>
      <c r="Q12" s="1147" t="str">
        <f t="shared" si="6"/>
        <v>土地使用年限（年）</v>
      </c>
      <c r="R12" s="1555" t="s">
        <v>8</v>
      </c>
      <c r="S12" s="1556">
        <f t="shared" si="0"/>
        <v>101</v>
      </c>
      <c r="T12" s="1555" t="s">
        <v>8</v>
      </c>
      <c r="U12" s="1556">
        <f t="shared" si="1"/>
        <v>101</v>
      </c>
      <c r="V12" s="1555" t="s">
        <v>8</v>
      </c>
      <c r="W12" s="1556">
        <f t="shared" si="2"/>
        <v>101</v>
      </c>
      <c r="X12" s="1557"/>
      <c r="Y12" s="3321"/>
      <c r="Z12" s="1146" t="str">
        <f t="shared" si="7"/>
        <v>土地使用年限（年）</v>
      </c>
      <c r="AA12" s="1558">
        <f t="shared" si="3"/>
        <v>0.99009900990099009</v>
      </c>
      <c r="AB12" s="1558">
        <f t="shared" si="4"/>
        <v>0.99009900990099009</v>
      </c>
      <c r="AC12" s="1558">
        <f t="shared" si="5"/>
        <v>0.99009900990099009</v>
      </c>
    </row>
    <row r="13" spans="1:30" ht="20.25">
      <c r="A13" s="2872"/>
      <c r="B13" s="2876" t="s">
        <v>2758</v>
      </c>
      <c r="C13" s="534">
        <v>3</v>
      </c>
      <c r="D13" s="255">
        <v>100</v>
      </c>
      <c r="E13" s="533">
        <v>2.5</v>
      </c>
      <c r="F13" s="255">
        <f>LOOKUP(E13,82:82,83:83)-LOOKUP(C13,82:82,83:83)+100</f>
        <v>103</v>
      </c>
      <c r="G13" s="534">
        <v>2.5</v>
      </c>
      <c r="H13" s="255">
        <f>LOOKUP(G13,82:82,83:83)-LOOKUP(C13,82:82,83:83)+100</f>
        <v>103</v>
      </c>
      <c r="I13" s="533">
        <v>2.5</v>
      </c>
      <c r="J13" s="255">
        <f>LOOKUP(I13,82:82,83:83)-LOOKUP(C13,82:82,83:83)+100</f>
        <v>103</v>
      </c>
      <c r="K13" s="3196">
        <v>3</v>
      </c>
      <c r="L13" s="2126"/>
      <c r="M13" s="2118"/>
      <c r="N13" s="2118"/>
      <c r="O13" s="2127"/>
      <c r="P13" s="3375"/>
      <c r="Q13" s="1147" t="str">
        <f t="shared" si="6"/>
        <v>容积率</v>
      </c>
      <c r="R13" s="1555" t="s">
        <v>8</v>
      </c>
      <c r="S13" s="1556">
        <f t="shared" si="0"/>
        <v>103</v>
      </c>
      <c r="T13" s="1555" t="s">
        <v>8</v>
      </c>
      <c r="U13" s="1556">
        <f t="shared" si="1"/>
        <v>103</v>
      </c>
      <c r="V13" s="1555" t="s">
        <v>8</v>
      </c>
      <c r="W13" s="1556">
        <f t="shared" si="2"/>
        <v>103</v>
      </c>
      <c r="X13" s="1557"/>
      <c r="Y13" s="3321"/>
      <c r="Z13" s="1146" t="str">
        <f t="shared" si="7"/>
        <v>容积率</v>
      </c>
      <c r="AA13" s="1558">
        <f t="shared" si="3"/>
        <v>0.970873786407767</v>
      </c>
      <c r="AB13" s="1558">
        <f t="shared" si="4"/>
        <v>0.970873786407767</v>
      </c>
      <c r="AC13" s="1558">
        <f t="shared" si="5"/>
        <v>0.970873786407767</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5"/>
      <c r="Q14" s="1147" t="str">
        <f t="shared" si="6"/>
        <v>配建</v>
      </c>
      <c r="R14" s="1555" t="s">
        <v>8</v>
      </c>
      <c r="S14" s="1556">
        <f t="shared" si="0"/>
        <v>100</v>
      </c>
      <c r="T14" s="1555" t="s">
        <v>8</v>
      </c>
      <c r="U14" s="1556">
        <f t="shared" si="1"/>
        <v>100</v>
      </c>
      <c r="V14" s="1555" t="s">
        <v>8</v>
      </c>
      <c r="W14" s="1556">
        <f t="shared" si="2"/>
        <v>100</v>
      </c>
      <c r="X14" s="1557"/>
      <c r="Y14" s="332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5"/>
      <c r="Q15" s="1147">
        <f t="shared" si="6"/>
        <v>111</v>
      </c>
      <c r="R15" s="1555" t="s">
        <v>8</v>
      </c>
      <c r="S15" s="1556">
        <f t="shared" si="0"/>
        <v>100</v>
      </c>
      <c r="T15" s="1555" t="s">
        <v>8</v>
      </c>
      <c r="U15" s="1556">
        <f t="shared" si="1"/>
        <v>100</v>
      </c>
      <c r="V15" s="1555" t="s">
        <v>8</v>
      </c>
      <c r="W15" s="1556">
        <f t="shared" si="2"/>
        <v>100</v>
      </c>
      <c r="X15" s="1557"/>
      <c r="Y15" s="332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5"/>
      <c r="Q16" s="1147">
        <f t="shared" si="6"/>
        <v>111</v>
      </c>
      <c r="R16" s="1555" t="s">
        <v>8</v>
      </c>
      <c r="S16" s="1556">
        <f t="shared" si="0"/>
        <v>100</v>
      </c>
      <c r="T16" s="1555" t="s">
        <v>8</v>
      </c>
      <c r="U16" s="1556">
        <f t="shared" si="1"/>
        <v>100</v>
      </c>
      <c r="V16" s="1555" t="s">
        <v>8</v>
      </c>
      <c r="W16" s="1556">
        <f t="shared" si="2"/>
        <v>100</v>
      </c>
      <c r="X16" s="1557"/>
      <c r="Y16" s="3321"/>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100</v>
      </c>
      <c r="K17" s="535">
        <v>5</v>
      </c>
      <c r="L17" s="2128"/>
      <c r="M17" s="2118"/>
      <c r="N17" s="2118"/>
      <c r="O17" s="2127"/>
      <c r="P17" s="3409" t="s">
        <v>540</v>
      </c>
      <c r="Q17" s="1559" t="str">
        <f t="shared" si="6"/>
        <v>居住社区成熟度</v>
      </c>
      <c r="R17" s="1560" t="s">
        <v>8</v>
      </c>
      <c r="S17" s="1561">
        <f t="shared" si="0"/>
        <v>105</v>
      </c>
      <c r="T17" s="1560" t="s">
        <v>8</v>
      </c>
      <c r="U17" s="1561">
        <f t="shared" si="1"/>
        <v>105</v>
      </c>
      <c r="V17" s="1560" t="s">
        <v>8</v>
      </c>
      <c r="W17" s="1561">
        <f t="shared" si="2"/>
        <v>100</v>
      </c>
      <c r="X17" s="1554"/>
      <c r="Y17" s="3409" t="s">
        <v>540</v>
      </c>
      <c r="Z17" s="1562" t="str">
        <f t="shared" si="7"/>
        <v>居住社区成熟度</v>
      </c>
      <c r="AA17" s="1563">
        <f t="shared" si="3"/>
        <v>0.95238095238095233</v>
      </c>
      <c r="AB17" s="1563">
        <f t="shared" si="4"/>
        <v>0.95238095238095233</v>
      </c>
      <c r="AC17" s="1563">
        <f t="shared" si="5"/>
        <v>1</v>
      </c>
    </row>
    <row r="18" spans="1:29" ht="20.25">
      <c r="A18" s="532"/>
      <c r="B18" s="553"/>
      <c r="C18" s="554" t="s">
        <v>3084</v>
      </c>
      <c r="D18" s="557"/>
      <c r="E18" s="558" t="s">
        <v>3080</v>
      </c>
      <c r="F18" s="555"/>
      <c r="G18" s="556" t="s">
        <v>3080</v>
      </c>
      <c r="H18" s="559"/>
      <c r="I18" s="558" t="s">
        <v>3084</v>
      </c>
      <c r="J18" s="555"/>
      <c r="K18" s="531"/>
      <c r="L18" s="2128"/>
      <c r="M18" s="2118"/>
      <c r="N18" s="2118"/>
      <c r="O18" s="2127"/>
      <c r="P18" s="3410"/>
      <c r="Q18" s="1559"/>
      <c r="R18" s="1560"/>
      <c r="S18" s="1561"/>
      <c r="T18" s="1560"/>
      <c r="U18" s="1561"/>
      <c r="V18" s="1560"/>
      <c r="W18" s="1561"/>
      <c r="X18" s="1554"/>
      <c r="Y18" s="3410"/>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28"/>
      <c r="M19" s="2118"/>
      <c r="N19" s="2118"/>
      <c r="O19" s="2127"/>
      <c r="P19" s="3410"/>
      <c r="Q19" s="1559" t="str">
        <f>B19</f>
        <v>商业繁华度</v>
      </c>
      <c r="R19" s="1560" t="s">
        <v>8</v>
      </c>
      <c r="S19" s="1561">
        <f>F19</f>
        <v>100</v>
      </c>
      <c r="T19" s="1560" t="s">
        <v>8</v>
      </c>
      <c r="U19" s="1561">
        <f>H19</f>
        <v>100</v>
      </c>
      <c r="V19" s="1560" t="s">
        <v>8</v>
      </c>
      <c r="W19" s="1561">
        <f>J19</f>
        <v>100</v>
      </c>
      <c r="X19" s="1554"/>
      <c r="Y19" s="3410"/>
      <c r="Z19" s="1562" t="str">
        <f>Q19</f>
        <v>商业繁华度</v>
      </c>
      <c r="AA19" s="1563">
        <f t="shared" si="3"/>
        <v>1</v>
      </c>
      <c r="AB19" s="1563">
        <f t="shared" si="4"/>
        <v>1</v>
      </c>
      <c r="AC19" s="1563">
        <f t="shared" si="5"/>
        <v>1</v>
      </c>
    </row>
    <row r="20" spans="1:29" ht="20.25">
      <c r="A20" s="532"/>
      <c r="B20" s="566"/>
      <c r="C20" s="567" t="s">
        <v>3084</v>
      </c>
      <c r="D20" s="563"/>
      <c r="E20" s="569" t="s">
        <v>3084</v>
      </c>
      <c r="F20" s="559"/>
      <c r="G20" s="568" t="s">
        <v>3084</v>
      </c>
      <c r="H20" s="555"/>
      <c r="I20" s="569" t="s">
        <v>3084</v>
      </c>
      <c r="J20" s="555"/>
      <c r="K20" s="531"/>
      <c r="L20" s="2128"/>
      <c r="M20" s="2118"/>
      <c r="N20" s="2118"/>
      <c r="O20" s="2127"/>
      <c r="P20" s="3410"/>
      <c r="Q20" s="1559"/>
      <c r="R20" s="1560"/>
      <c r="S20" s="1561"/>
      <c r="T20" s="1560"/>
      <c r="U20" s="1561"/>
      <c r="V20" s="1560"/>
      <c r="W20" s="1561"/>
      <c r="X20" s="1554"/>
      <c r="Y20" s="3410"/>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10"/>
      <c r="Q21" s="1559" t="str">
        <f>B21</f>
        <v>办公集聚程度</v>
      </c>
      <c r="R21" s="1560" t="s">
        <v>8</v>
      </c>
      <c r="S21" s="1561">
        <f>F21</f>
        <v>100</v>
      </c>
      <c r="T21" s="1560" t="s">
        <v>8</v>
      </c>
      <c r="U21" s="1561">
        <f>H21</f>
        <v>100</v>
      </c>
      <c r="V21" s="1560" t="s">
        <v>8</v>
      </c>
      <c r="W21" s="1561">
        <f>J21</f>
        <v>100</v>
      </c>
      <c r="X21" s="1554"/>
      <c r="Y21" s="3410"/>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10"/>
      <c r="Q22" s="1559"/>
      <c r="R22" s="1560"/>
      <c r="S22" s="1561"/>
      <c r="T22" s="1560"/>
      <c r="U22" s="1561"/>
      <c r="V22" s="1560"/>
      <c r="W22" s="1561"/>
      <c r="X22" s="1554"/>
      <c r="Y22" s="3410"/>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100</v>
      </c>
      <c r="K23" s="535">
        <v>5</v>
      </c>
      <c r="L23" s="2128"/>
      <c r="M23" s="2118"/>
      <c r="N23" s="2118"/>
      <c r="O23" s="2127"/>
      <c r="P23" s="3410"/>
      <c r="Q23" s="1559" t="str">
        <f>B23</f>
        <v>交通便捷度</v>
      </c>
      <c r="R23" s="1560" t="s">
        <v>8</v>
      </c>
      <c r="S23" s="1561">
        <f>F23</f>
        <v>105</v>
      </c>
      <c r="T23" s="1560" t="s">
        <v>8</v>
      </c>
      <c r="U23" s="1561">
        <f>H23</f>
        <v>105</v>
      </c>
      <c r="V23" s="1560" t="s">
        <v>8</v>
      </c>
      <c r="W23" s="1561">
        <f>J23</f>
        <v>100</v>
      </c>
      <c r="X23" s="1554"/>
      <c r="Y23" s="3410"/>
      <c r="Z23" s="1562" t="str">
        <f>Q23</f>
        <v>交通便捷度</v>
      </c>
      <c r="AA23" s="1563">
        <f t="shared" si="3"/>
        <v>0.95238095238095233</v>
      </c>
      <c r="AB23" s="1563">
        <f t="shared" si="4"/>
        <v>0.95238095238095233</v>
      </c>
      <c r="AC23" s="1563">
        <f t="shared" si="5"/>
        <v>1</v>
      </c>
    </row>
    <row r="24" spans="1:29" ht="20.25">
      <c r="A24" s="532"/>
      <c r="B24" s="578"/>
      <c r="C24" s="554" t="s">
        <v>3084</v>
      </c>
      <c r="D24" s="557"/>
      <c r="E24" s="558" t="s">
        <v>3080</v>
      </c>
      <c r="F24" s="555"/>
      <c r="G24" s="556" t="s">
        <v>3080</v>
      </c>
      <c r="H24" s="555"/>
      <c r="I24" s="558" t="s">
        <v>3084</v>
      </c>
      <c r="J24" s="555"/>
      <c r="K24" s="531"/>
      <c r="L24" s="2128"/>
      <c r="M24" s="2118"/>
      <c r="N24" s="2118"/>
      <c r="O24" s="2127"/>
      <c r="P24" s="3410"/>
      <c r="Q24" s="1559"/>
      <c r="R24" s="1560"/>
      <c r="S24" s="1561"/>
      <c r="T24" s="1560"/>
      <c r="U24" s="1561"/>
      <c r="V24" s="1560"/>
      <c r="W24" s="1561"/>
      <c r="X24" s="1554"/>
      <c r="Y24" s="3410"/>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8"/>
      <c r="M25" s="2118"/>
      <c r="N25" s="2118"/>
      <c r="O25" s="2127"/>
      <c r="P25" s="3410"/>
      <c r="Q25" s="1559" t="str">
        <f t="shared" ref="Q25:Q39" si="8">B25</f>
        <v>区域土地利用方向</v>
      </c>
      <c r="R25" s="1560" t="s">
        <v>8</v>
      </c>
      <c r="S25" s="1561">
        <f>F25</f>
        <v>100</v>
      </c>
      <c r="T25" s="1560" t="s">
        <v>8</v>
      </c>
      <c r="U25" s="1561">
        <f>H25</f>
        <v>100</v>
      </c>
      <c r="V25" s="1560" t="s">
        <v>8</v>
      </c>
      <c r="W25" s="1561">
        <f>J25</f>
        <v>100</v>
      </c>
      <c r="X25" s="1554"/>
      <c r="Y25" s="3410"/>
      <c r="Z25" s="1562" t="str">
        <f>Q25</f>
        <v>区域土地利用方向</v>
      </c>
      <c r="AA25" s="1563">
        <f t="shared" si="3"/>
        <v>1</v>
      </c>
      <c r="AB25" s="1563">
        <f t="shared" si="4"/>
        <v>1</v>
      </c>
      <c r="AC25" s="156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410"/>
      <c r="Q26" s="1559"/>
      <c r="R26" s="1560"/>
      <c r="S26" s="1561"/>
      <c r="T26" s="1560"/>
      <c r="U26" s="1561"/>
      <c r="V26" s="1560"/>
      <c r="W26" s="1561"/>
      <c r="X26" s="1554"/>
      <c r="Y26" s="3410"/>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10"/>
      <c r="Q27" s="1559" t="str">
        <f t="shared" si="8"/>
        <v>自然及人文环境状况</v>
      </c>
      <c r="R27" s="1560" t="s">
        <v>8</v>
      </c>
      <c r="S27" s="1561">
        <f>F27</f>
        <v>100</v>
      </c>
      <c r="T27" s="1560" t="s">
        <v>8</v>
      </c>
      <c r="U27" s="1561">
        <f>H27</f>
        <v>100</v>
      </c>
      <c r="V27" s="1560" t="s">
        <v>8</v>
      </c>
      <c r="W27" s="1561">
        <f>J27</f>
        <v>100</v>
      </c>
      <c r="X27" s="1554"/>
      <c r="Y27" s="3410"/>
      <c r="Z27" s="1562" t="str">
        <f>Q27</f>
        <v>自然及人文环境状况</v>
      </c>
      <c r="AA27" s="1563">
        <f t="shared" si="3"/>
        <v>1</v>
      </c>
      <c r="AB27" s="1563">
        <f t="shared" si="4"/>
        <v>1</v>
      </c>
      <c r="AC27" s="1563">
        <f t="shared" si="5"/>
        <v>1</v>
      </c>
    </row>
    <row r="28" spans="1:29" ht="20.25">
      <c r="A28" s="515"/>
      <c r="B28" s="566"/>
      <c r="C28" s="554" t="s">
        <v>3084</v>
      </c>
      <c r="D28" s="557"/>
      <c r="E28" s="576" t="s">
        <v>3084</v>
      </c>
      <c r="F28" s="555"/>
      <c r="G28" s="554" t="s">
        <v>3084</v>
      </c>
      <c r="H28" s="555"/>
      <c r="I28" s="576" t="s">
        <v>3084</v>
      </c>
      <c r="J28" s="555"/>
      <c r="K28" s="531"/>
      <c r="L28" s="2128"/>
      <c r="M28" s="2118"/>
      <c r="N28" s="2118"/>
      <c r="O28" s="2127"/>
      <c r="P28" s="3410"/>
      <c r="Q28" s="1559"/>
      <c r="R28" s="1560"/>
      <c r="S28" s="1561"/>
      <c r="T28" s="1560"/>
      <c r="U28" s="1561"/>
      <c r="V28" s="1560"/>
      <c r="W28" s="1561"/>
      <c r="X28" s="1554"/>
      <c r="Y28" s="3410"/>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103</v>
      </c>
      <c r="I29" s="564"/>
      <c r="J29" s="559">
        <f>SUMIF(102:102,I30,103:103)-SUMIF(102:102,C30,103:103)+100</f>
        <v>100</v>
      </c>
      <c r="K29" s="3196">
        <v>3</v>
      </c>
      <c r="L29" s="2121"/>
      <c r="M29" s="2118"/>
      <c r="N29" s="2118"/>
      <c r="O29" s="2123"/>
      <c r="P29" s="3410"/>
      <c r="Q29" s="1147" t="str">
        <f t="shared" si="8"/>
        <v>公共配套设施</v>
      </c>
      <c r="R29" s="1555" t="s">
        <v>8</v>
      </c>
      <c r="S29" s="1556">
        <f>F29</f>
        <v>103</v>
      </c>
      <c r="T29" s="1555" t="s">
        <v>8</v>
      </c>
      <c r="U29" s="1556">
        <f>H29</f>
        <v>103</v>
      </c>
      <c r="V29" s="1555" t="s">
        <v>8</v>
      </c>
      <c r="W29" s="1556">
        <f>J29</f>
        <v>100</v>
      </c>
      <c r="X29" s="1557"/>
      <c r="Y29" s="3410"/>
      <c r="Z29" s="1146" t="str">
        <f>Q29</f>
        <v>公共配套设施</v>
      </c>
      <c r="AA29" s="1563">
        <f>D29/F29</f>
        <v>0.970873786407767</v>
      </c>
      <c r="AB29" s="1563">
        <f>D29/H29</f>
        <v>0.970873786407767</v>
      </c>
      <c r="AC29" s="1563">
        <f>D29/J29</f>
        <v>1</v>
      </c>
    </row>
    <row r="30" spans="1:29" s="1216" customFormat="1" ht="20.25">
      <c r="A30" s="577"/>
      <c r="B30" s="566"/>
      <c r="C30" s="579" t="s">
        <v>3084</v>
      </c>
      <c r="D30" s="557"/>
      <c r="E30" s="576" t="s">
        <v>3080</v>
      </c>
      <c r="F30" s="555"/>
      <c r="G30" s="554" t="s">
        <v>3080</v>
      </c>
      <c r="H30" s="555"/>
      <c r="I30" s="576" t="s">
        <v>3084</v>
      </c>
      <c r="J30" s="555"/>
      <c r="K30" s="531"/>
      <c r="L30" s="2121"/>
      <c r="M30" s="2118"/>
      <c r="N30" s="2118"/>
      <c r="O30" s="2123"/>
      <c r="P30" s="3410"/>
      <c r="Q30" s="1147"/>
      <c r="R30" s="1555"/>
      <c r="S30" s="1556"/>
      <c r="T30" s="1555"/>
      <c r="U30" s="1556"/>
      <c r="V30" s="1555"/>
      <c r="W30" s="1556"/>
      <c r="X30" s="1557"/>
      <c r="Y30" s="3410"/>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10"/>
      <c r="Q31" s="2543" t="str">
        <f t="shared" ref="Q31" si="9">B31</f>
        <v>基础设施水平</v>
      </c>
      <c r="R31" s="1555" t="s">
        <v>8</v>
      </c>
      <c r="S31" s="1556">
        <f>F31</f>
        <v>100</v>
      </c>
      <c r="T31" s="1555" t="s">
        <v>8</v>
      </c>
      <c r="U31" s="1556">
        <f>H31</f>
        <v>100</v>
      </c>
      <c r="V31" s="1555" t="s">
        <v>8</v>
      </c>
      <c r="W31" s="1556">
        <f>J31</f>
        <v>100</v>
      </c>
      <c r="X31" s="1557"/>
      <c r="Y31" s="3410"/>
      <c r="Z31" s="2540" t="str">
        <f>Q31</f>
        <v>基础设施水平</v>
      </c>
      <c r="AA31" s="1563">
        <f>D31/F31</f>
        <v>1</v>
      </c>
      <c r="AB31" s="1563">
        <f>D31/H31</f>
        <v>1</v>
      </c>
      <c r="AC31" s="1563">
        <f>D31/J31</f>
        <v>1</v>
      </c>
    </row>
    <row r="32" spans="1:29" s="1216" customFormat="1" ht="20.25">
      <c r="A32" s="577"/>
      <c r="B32" s="566"/>
      <c r="C32" s="579" t="s">
        <v>3085</v>
      </c>
      <c r="D32" s="557"/>
      <c r="E32" s="2557" t="s">
        <v>3085</v>
      </c>
      <c r="F32" s="555"/>
      <c r="G32" s="579" t="s">
        <v>3085</v>
      </c>
      <c r="H32" s="555"/>
      <c r="I32" s="579" t="s">
        <v>3085</v>
      </c>
      <c r="J32" s="555"/>
      <c r="K32" s="531"/>
      <c r="L32" s="2121"/>
      <c r="M32" s="2118"/>
      <c r="N32" s="2118"/>
      <c r="O32" s="2123"/>
      <c r="P32" s="3410"/>
      <c r="Q32" s="2543"/>
      <c r="R32" s="1555"/>
      <c r="S32" s="1556"/>
      <c r="T32" s="1555"/>
      <c r="U32" s="1556"/>
      <c r="V32" s="1555"/>
      <c r="W32" s="1556"/>
      <c r="X32" s="1557"/>
      <c r="Y32" s="3410"/>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0"/>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0"/>
      <c r="Q34" s="1559" t="str">
        <f t="shared" si="8"/>
        <v>毗邻道路的类型与等级</v>
      </c>
      <c r="R34" s="1560" t="s">
        <v>8</v>
      </c>
      <c r="S34" s="1561">
        <f t="shared" si="10"/>
        <v>100</v>
      </c>
      <c r="T34" s="1560" t="s">
        <v>8</v>
      </c>
      <c r="U34" s="1561">
        <f t="shared" si="11"/>
        <v>100</v>
      </c>
      <c r="V34" s="1560" t="s">
        <v>8</v>
      </c>
      <c r="W34" s="1561">
        <f t="shared" si="12"/>
        <v>100</v>
      </c>
      <c r="X34" s="1554"/>
      <c r="Y34" s="3410"/>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10"/>
      <c r="Q35" s="1559"/>
      <c r="R35" s="1560"/>
      <c r="S35" s="1561"/>
      <c r="T35" s="1560"/>
      <c r="U35" s="1561"/>
      <c r="V35" s="1560"/>
      <c r="W35" s="1561"/>
      <c r="X35" s="1554"/>
      <c r="Y35" s="3410"/>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0"/>
      <c r="Q36" s="1559" t="str">
        <f t="shared" si="8"/>
        <v>土地级别</v>
      </c>
      <c r="R36" s="1560" t="s">
        <v>8</v>
      </c>
      <c r="S36" s="1561">
        <f t="shared" si="10"/>
        <v>100</v>
      </c>
      <c r="T36" s="1560" t="s">
        <v>8</v>
      </c>
      <c r="U36" s="1561">
        <f t="shared" si="11"/>
        <v>100</v>
      </c>
      <c r="V36" s="1560" t="s">
        <v>8</v>
      </c>
      <c r="W36" s="1561">
        <f t="shared" si="12"/>
        <v>100</v>
      </c>
      <c r="X36" s="1554"/>
      <c r="Y36" s="3410"/>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0"/>
      <c r="Q37" s="1559">
        <f t="shared" si="8"/>
        <v>111</v>
      </c>
      <c r="R37" s="1560" t="s">
        <v>8</v>
      </c>
      <c r="S37" s="1561">
        <f t="shared" si="10"/>
        <v>100</v>
      </c>
      <c r="T37" s="1560" t="s">
        <v>8</v>
      </c>
      <c r="U37" s="1561">
        <f t="shared" si="11"/>
        <v>100</v>
      </c>
      <c r="V37" s="1560" t="s">
        <v>8</v>
      </c>
      <c r="W37" s="1561">
        <f t="shared" si="12"/>
        <v>100</v>
      </c>
      <c r="X37" s="1554"/>
      <c r="Y37" s="3410"/>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1" t="s">
        <v>550</v>
      </c>
      <c r="Q38" s="1559">
        <f t="shared" si="8"/>
        <v>111</v>
      </c>
      <c r="R38" s="1560" t="s">
        <v>8</v>
      </c>
      <c r="S38" s="1561">
        <f t="shared" si="10"/>
        <v>100</v>
      </c>
      <c r="T38" s="1560" t="s">
        <v>8</v>
      </c>
      <c r="U38" s="1561">
        <f t="shared" si="11"/>
        <v>100</v>
      </c>
      <c r="V38" s="1560" t="s">
        <v>8</v>
      </c>
      <c r="W38" s="1561">
        <f t="shared" si="12"/>
        <v>100</v>
      </c>
      <c r="X38" s="1554"/>
      <c r="Y38" s="3412"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2"/>
      <c r="Q39" s="1559">
        <f t="shared" si="8"/>
        <v>111</v>
      </c>
      <c r="R39" s="1564" t="s">
        <v>8</v>
      </c>
      <c r="S39" s="1565">
        <f t="shared" si="10"/>
        <v>100</v>
      </c>
      <c r="T39" s="1564" t="s">
        <v>8</v>
      </c>
      <c r="U39" s="1565">
        <f t="shared" si="11"/>
        <v>100</v>
      </c>
      <c r="V39" s="1564" t="s">
        <v>8</v>
      </c>
      <c r="W39" s="1565">
        <f t="shared" si="12"/>
        <v>100</v>
      </c>
      <c r="X39" s="1566"/>
      <c r="Y39" s="3412"/>
      <c r="Z39" s="1567">
        <f t="shared" si="13"/>
        <v>111</v>
      </c>
      <c r="AA39" s="1563">
        <f t="shared" si="3"/>
        <v>1</v>
      </c>
      <c r="AB39" s="1563">
        <f t="shared" si="4"/>
        <v>1</v>
      </c>
      <c r="AC39" s="1563">
        <f t="shared" si="5"/>
        <v>1</v>
      </c>
    </row>
    <row r="40" spans="1:29" ht="20.25">
      <c r="A40" s="2863" t="s">
        <v>2755</v>
      </c>
      <c r="B40" s="595" t="s">
        <v>552</v>
      </c>
      <c r="C40" s="596">
        <f>'数据-基础表'!A3</f>
        <v>23878.02</v>
      </c>
      <c r="D40" s="597">
        <v>100</v>
      </c>
      <c r="E40" s="596">
        <f>Sheet1!D3</f>
        <v>108395.02</v>
      </c>
      <c r="F40" s="597">
        <f>LOOKUP(E40,119:119,120:120)-LOOKUP(C40,119:119,120:120)+100</f>
        <v>101</v>
      </c>
      <c r="G40" s="596">
        <f>Sheet1!D7</f>
        <v>85560.73</v>
      </c>
      <c r="H40" s="597">
        <f>LOOKUP(G40,119:119,120:120)-LOOKUP(C40,119:119,120:120)+100</f>
        <v>100</v>
      </c>
      <c r="I40" s="598">
        <f>Sheet1!D8</f>
        <v>65749.279999999999</v>
      </c>
      <c r="J40" s="597">
        <f>LOOKUP(I40,119:119,120:120)-LOOKUP(C40,119:119,120:120)+100</f>
        <v>100</v>
      </c>
      <c r="K40" s="581"/>
      <c r="L40" s="2128"/>
      <c r="M40" s="2118"/>
      <c r="N40" s="2118"/>
      <c r="O40" s="2127"/>
      <c r="P40" s="3412"/>
      <c r="Q40" s="1559" t="str">
        <f>B40</f>
        <v>宗地面积</v>
      </c>
      <c r="R40" s="1560" t="s">
        <v>8</v>
      </c>
      <c r="S40" s="1561">
        <f t="shared" si="10"/>
        <v>101</v>
      </c>
      <c r="T40" s="1560" t="s">
        <v>8</v>
      </c>
      <c r="U40" s="1561">
        <f t="shared" si="11"/>
        <v>100</v>
      </c>
      <c r="V40" s="1560" t="s">
        <v>8</v>
      </c>
      <c r="W40" s="1561">
        <f t="shared" si="12"/>
        <v>100</v>
      </c>
      <c r="X40" s="1554"/>
      <c r="Y40" s="3412"/>
      <c r="Z40" s="1562" t="str">
        <f t="shared" si="13"/>
        <v>宗地面积</v>
      </c>
      <c r="AA40" s="1563">
        <f t="shared" si="3"/>
        <v>0.99009900990099009</v>
      </c>
      <c r="AB40" s="1563">
        <f t="shared" si="4"/>
        <v>1</v>
      </c>
      <c r="AC40" s="1563">
        <f t="shared" si="5"/>
        <v>1</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412"/>
      <c r="Q41" s="1559" t="str">
        <f t="shared" ref="Q41:Q47" si="14">B41</f>
        <v>宗地形状</v>
      </c>
      <c r="R41" s="1560" t="s">
        <v>8</v>
      </c>
      <c r="S41" s="1561">
        <f t="shared" si="10"/>
        <v>100</v>
      </c>
      <c r="T41" s="1560" t="s">
        <v>8</v>
      </c>
      <c r="U41" s="1561">
        <f t="shared" si="11"/>
        <v>100</v>
      </c>
      <c r="V41" s="1560" t="s">
        <v>8</v>
      </c>
      <c r="W41" s="1561">
        <f t="shared" si="12"/>
        <v>100</v>
      </c>
      <c r="X41" s="1554"/>
      <c r="Y41" s="3412"/>
      <c r="Z41" s="1562" t="str">
        <f t="shared" si="13"/>
        <v>宗地形状</v>
      </c>
      <c r="AA41" s="1563">
        <f t="shared" si="3"/>
        <v>1</v>
      </c>
      <c r="AB41" s="1563">
        <f t="shared" si="4"/>
        <v>1</v>
      </c>
      <c r="AC41" s="156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412"/>
      <c r="Q42" s="1559" t="str">
        <f t="shared" si="14"/>
        <v>临街宽度及深度</v>
      </c>
      <c r="R42" s="1560" t="s">
        <v>8</v>
      </c>
      <c r="S42" s="1561">
        <f t="shared" si="10"/>
        <v>100</v>
      </c>
      <c r="T42" s="1560" t="s">
        <v>8</v>
      </c>
      <c r="U42" s="1561">
        <f t="shared" si="11"/>
        <v>100</v>
      </c>
      <c r="V42" s="1560" t="s">
        <v>8</v>
      </c>
      <c r="W42" s="1561">
        <f t="shared" si="12"/>
        <v>100</v>
      </c>
      <c r="X42" s="1554"/>
      <c r="Y42" s="3412"/>
      <c r="Z42" s="1562" t="str">
        <f t="shared" si="13"/>
        <v>临街宽度及深度</v>
      </c>
      <c r="AA42" s="1563">
        <f t="shared" si="3"/>
        <v>1</v>
      </c>
      <c r="AB42" s="1563">
        <f t="shared" si="4"/>
        <v>1</v>
      </c>
      <c r="AC42" s="1563">
        <f t="shared" si="5"/>
        <v>1</v>
      </c>
    </row>
    <row r="43" spans="1:29" s="1216" customFormat="1" ht="20.25">
      <c r="A43" s="600"/>
      <c r="B43" s="1881" t="s">
        <v>2424</v>
      </c>
      <c r="C43" s="601" t="s">
        <v>3080</v>
      </c>
      <c r="D43" s="255">
        <v>100</v>
      </c>
      <c r="E43" s="601" t="s">
        <v>3080</v>
      </c>
      <c r="F43" s="540">
        <f>SUMIF(125:125,E43,126:126)-SUMIF(125:125,C43,126:126)+100</f>
        <v>100</v>
      </c>
      <c r="G43" s="601" t="s">
        <v>3080</v>
      </c>
      <c r="H43" s="540">
        <f>SUMIF(125:125,G43,126:126)-SUMIF(125:125,C43,126:126)+100</f>
        <v>100</v>
      </c>
      <c r="I43" s="601" t="s">
        <v>3080</v>
      </c>
      <c r="J43" s="540">
        <f>SUMIF(125:125,I43,126:126)-SUMIF(125:125,C43,126:126)+100</f>
        <v>100</v>
      </c>
      <c r="K43" s="584">
        <v>1</v>
      </c>
      <c r="L43" s="2121"/>
      <c r="M43" s="2118"/>
      <c r="N43" s="2118"/>
      <c r="O43" s="2123"/>
      <c r="P43" s="3412"/>
      <c r="Q43" s="1559" t="str">
        <f t="shared" si="14"/>
        <v>宗地开发程度</v>
      </c>
      <c r="R43" s="1555" t="s">
        <v>8</v>
      </c>
      <c r="S43" s="1556">
        <f t="shared" si="10"/>
        <v>100</v>
      </c>
      <c r="T43" s="1555" t="s">
        <v>8</v>
      </c>
      <c r="U43" s="1556">
        <f t="shared" si="11"/>
        <v>100</v>
      </c>
      <c r="V43" s="1555" t="s">
        <v>8</v>
      </c>
      <c r="W43" s="1556">
        <f t="shared" si="12"/>
        <v>100</v>
      </c>
      <c r="X43" s="1557"/>
      <c r="Y43" s="3412"/>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2" t="s">
        <v>550</v>
      </c>
      <c r="Q44" s="1559" t="str">
        <f t="shared" si="14"/>
        <v>工程地质条件</v>
      </c>
      <c r="R44" s="1560" t="s">
        <v>8</v>
      </c>
      <c r="S44" s="1561">
        <f t="shared" si="10"/>
        <v>100</v>
      </c>
      <c r="T44" s="1560" t="s">
        <v>8</v>
      </c>
      <c r="U44" s="1561">
        <f t="shared" si="11"/>
        <v>100</v>
      </c>
      <c r="V44" s="1560" t="s">
        <v>8</v>
      </c>
      <c r="W44" s="1561">
        <f t="shared" si="12"/>
        <v>100</v>
      </c>
      <c r="X44" s="1554"/>
      <c r="Y44" s="341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2"/>
      <c r="Q45" s="1559">
        <f t="shared" si="14"/>
        <v>111</v>
      </c>
      <c r="R45" s="1560" t="s">
        <v>8</v>
      </c>
      <c r="S45" s="1561">
        <f t="shared" si="10"/>
        <v>100</v>
      </c>
      <c r="T45" s="1560" t="s">
        <v>8</v>
      </c>
      <c r="U45" s="1561">
        <f t="shared" si="11"/>
        <v>100</v>
      </c>
      <c r="V45" s="1560" t="s">
        <v>8</v>
      </c>
      <c r="W45" s="1561">
        <f t="shared" si="12"/>
        <v>100</v>
      </c>
      <c r="X45" s="1554"/>
      <c r="Y45" s="341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2"/>
      <c r="Q46" s="1559">
        <f t="shared" si="14"/>
        <v>111</v>
      </c>
      <c r="R46" s="1560" t="s">
        <v>8</v>
      </c>
      <c r="S46" s="1561">
        <f t="shared" si="10"/>
        <v>100</v>
      </c>
      <c r="T46" s="1560" t="s">
        <v>8</v>
      </c>
      <c r="U46" s="1561">
        <f t="shared" si="11"/>
        <v>100</v>
      </c>
      <c r="V46" s="1560" t="s">
        <v>8</v>
      </c>
      <c r="W46" s="1561">
        <f t="shared" si="12"/>
        <v>100</v>
      </c>
      <c r="X46" s="1554"/>
      <c r="Y46" s="341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2"/>
      <c r="Q47" s="1559">
        <f t="shared" si="14"/>
        <v>111</v>
      </c>
      <c r="R47" s="1564" t="s">
        <v>8</v>
      </c>
      <c r="S47" s="1565">
        <f t="shared" si="10"/>
        <v>100</v>
      </c>
      <c r="T47" s="1564" t="s">
        <v>8</v>
      </c>
      <c r="U47" s="1565">
        <f t="shared" si="11"/>
        <v>100</v>
      </c>
      <c r="V47" s="1564" t="s">
        <v>8</v>
      </c>
      <c r="W47" s="1565">
        <f t="shared" si="12"/>
        <v>100</v>
      </c>
      <c r="X47" s="1566"/>
      <c r="Y47" s="3412"/>
      <c r="Z47" s="1567">
        <f t="shared" si="13"/>
        <v>111</v>
      </c>
      <c r="AA47" s="1563">
        <f t="shared" si="3"/>
        <v>1</v>
      </c>
      <c r="AB47" s="1563">
        <f t="shared" si="4"/>
        <v>1</v>
      </c>
      <c r="AC47" s="1563">
        <f t="shared" si="5"/>
        <v>1</v>
      </c>
    </row>
    <row r="48" spans="1:29" ht="20.25">
      <c r="A48" s="607" t="s">
        <v>556</v>
      </c>
      <c r="B48" s="608" t="s">
        <v>3086</v>
      </c>
      <c r="C48" s="609" t="s">
        <v>1</v>
      </c>
      <c r="D48" s="610"/>
      <c r="E48" s="611">
        <v>1080</v>
      </c>
      <c r="F48" s="612"/>
      <c r="G48" s="613">
        <v>1110</v>
      </c>
      <c r="H48" s="614"/>
      <c r="I48" s="611">
        <v>1110</v>
      </c>
      <c r="J48" s="614"/>
      <c r="K48" s="1336"/>
      <c r="L48" s="2130"/>
      <c r="M48" s="2118"/>
      <c r="N48" s="2118"/>
      <c r="O48" s="2131"/>
      <c r="P48" s="3375" t="str">
        <f>A48</f>
        <v>成交单价</v>
      </c>
      <c r="Q48" s="3375"/>
      <c r="R48" s="3376">
        <f>E48</f>
        <v>1080</v>
      </c>
      <c r="S48" s="3376"/>
      <c r="T48" s="3376">
        <f>G48</f>
        <v>1110</v>
      </c>
      <c r="U48" s="3376"/>
      <c r="V48" s="3376">
        <f>I48</f>
        <v>1110</v>
      </c>
      <c r="W48" s="3376"/>
      <c r="X48" s="1546"/>
      <c r="Y48" s="1568"/>
      <c r="Z48" s="1546"/>
      <c r="AA48" s="1546"/>
      <c r="AB48" s="1546"/>
      <c r="AC48" s="1546"/>
    </row>
    <row r="49" spans="1:29" ht="21" thickBot="1">
      <c r="A49" s="615" t="s">
        <v>2693</v>
      </c>
      <c r="B49" s="616"/>
      <c r="C49" s="617">
        <f>R50</f>
        <v>986</v>
      </c>
      <c r="D49" s="618"/>
      <c r="E49" s="617">
        <f>R49</f>
        <v>910</v>
      </c>
      <c r="F49" s="619"/>
      <c r="G49" s="620">
        <f>T49</f>
        <v>959</v>
      </c>
      <c r="H49" s="618"/>
      <c r="I49" s="617">
        <f>V49</f>
        <v>1089</v>
      </c>
      <c r="J49" s="618"/>
      <c r="K49" s="1337"/>
      <c r="L49" s="2130"/>
      <c r="M49" s="2118"/>
      <c r="N49" s="2118"/>
      <c r="O49" s="2131"/>
      <c r="P49" s="3375" t="str">
        <f>A49</f>
        <v>比较价格（元/平方米）</v>
      </c>
      <c r="Q49" s="3375"/>
      <c r="R49" s="3377">
        <f>ROUND(PRODUCT(R48,AA9:AA47),0)</f>
        <v>910</v>
      </c>
      <c r="S49" s="3377"/>
      <c r="T49" s="3377">
        <f>ROUND(PRODUCT(T48,AB9:AB47),0)</f>
        <v>959</v>
      </c>
      <c r="U49" s="3377"/>
      <c r="V49" s="3377">
        <f>ROUND(PRODUCT(V48,AC9:AC47),0)</f>
        <v>1089</v>
      </c>
      <c r="W49" s="3377"/>
      <c r="X49" s="1546"/>
      <c r="Y49" s="1546"/>
      <c r="Z49" s="1546"/>
      <c r="AA49" s="1546"/>
      <c r="AB49" s="1546"/>
      <c r="AC49" s="1546"/>
    </row>
    <row r="50" spans="1:29" ht="21" thickBot="1">
      <c r="A50" s="621" t="s">
        <v>2937</v>
      </c>
      <c r="B50" s="622"/>
      <c r="C50" s="623">
        <f>R50</f>
        <v>986</v>
      </c>
      <c r="D50" s="623"/>
      <c r="E50" s="623"/>
      <c r="F50" s="623"/>
      <c r="G50" s="623"/>
      <c r="H50" s="623"/>
      <c r="I50" s="623"/>
      <c r="J50" s="623"/>
      <c r="K50" s="1338"/>
      <c r="L50" s="2130"/>
      <c r="M50" s="2118"/>
      <c r="N50" s="2118"/>
      <c r="O50" s="2131"/>
      <c r="P50" s="3372" t="str">
        <f>A50</f>
        <v>估价对象XX用房的比较价格（楼面单价，元/平方米）</v>
      </c>
      <c r="Q50" s="3373"/>
      <c r="R50" s="3374">
        <f>ROUND(AVERAGE(R49:V49),0)</f>
        <v>986</v>
      </c>
      <c r="S50" s="3374"/>
      <c r="T50" s="3374"/>
      <c r="U50" s="3374"/>
      <c r="V50" s="3374"/>
      <c r="W50" s="337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0.18681318681318682</v>
      </c>
      <c r="F53" s="627" t="str">
        <f>IF(OR(E53&gt;=0.3,E53&lt;=-0.3),"超过30%","")</f>
        <v/>
      </c>
      <c r="G53" s="626">
        <f>IF(G48&lt;G49,G49/G48-1,G48/G49-1)</f>
        <v>0.15745568300312818</v>
      </c>
      <c r="H53" s="627" t="str">
        <f>IF(OR(G53&gt;=0.3,G53&lt;=-0.3),"超过30%","")</f>
        <v/>
      </c>
      <c r="I53" s="626">
        <f>IF(I48&lt;I49,I49/I48-1,I48/I49-1)</f>
        <v>1.9283746556473913E-2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5.3846153846153877E-2</v>
      </c>
      <c r="F54" s="627" t="str">
        <f>IF(OR(E54&gt;=0.2,E54&lt;=-0.2),"超过20%","")</f>
        <v/>
      </c>
      <c r="G54" s="626">
        <f>IF(G49&lt;I49,I49/G49-1,G49/I49-1)</f>
        <v>0.13555787278415021</v>
      </c>
      <c r="H54" s="627" t="str">
        <f>IF(OR(G54&gt;=0.2,G54&lt;=-0.2),"超过20%","")</f>
        <v/>
      </c>
      <c r="I54" s="626">
        <f>IF(I49&lt;E49,E49/I49-1,I49/E49-1)</f>
        <v>0.19670329670329667</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2.7777777777777679E-2</v>
      </c>
      <c r="F55" s="627" t="str">
        <f>IF(OR(E55&gt;=0.3,E55&lt;=-0.3),"超过30%","")</f>
        <v/>
      </c>
      <c r="G55" s="626">
        <f>IF(G48&lt;I48,I48/G48-1,G48/I48-1)</f>
        <v>0</v>
      </c>
      <c r="H55" s="627" t="str">
        <f>IF(OR(G55&gt;=0.3,G55&lt;=-0.3),"超过30%","")</f>
        <v/>
      </c>
      <c r="I55" s="626">
        <f>IF(I48&lt;E48,E48/I48-1,I48/E48-1)</f>
        <v>2.7777777777777679E-2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01" t="s">
        <v>2281</v>
      </c>
      <c r="H57" s="3402"/>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986</v>
      </c>
      <c r="C58" s="635">
        <v>1</v>
      </c>
      <c r="D58" s="2214">
        <v>1</v>
      </c>
      <c r="E58" s="635">
        <f>'数据-汇总表'!E8+'数据-汇总表'!E9</f>
        <v>59695.06</v>
      </c>
      <c r="F58" s="636">
        <f t="shared" ref="F58:F67" si="15">ROUND(B58*E58/10000,0)</f>
        <v>5886</v>
      </c>
      <c r="G58" s="3403"/>
      <c r="H58" s="340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5"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59695.06</v>
      </c>
      <c r="F68" s="644">
        <f>IF(B48="楼面地价",SUM(F58:F67),ROUND(C50*E68/10000,0))</f>
        <v>5886</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97</v>
      </c>
      <c r="E93" s="679">
        <f>D93-$K19</f>
        <v>94</v>
      </c>
      <c r="F93" s="679">
        <f>E93-$K19</f>
        <v>91</v>
      </c>
      <c r="G93" s="679">
        <f>F93-$K19</f>
        <v>88</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3081</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O6" sqref="O6"/>
    </sheetView>
  </sheetViews>
  <sheetFormatPr defaultColWidth="8.875" defaultRowHeight="13.5"/>
  <cols>
    <col min="1" max="1" width="44.125" style="2895" customWidth="1"/>
    <col min="2" max="2" width="6.125" style="2895" customWidth="1"/>
    <col min="3" max="3" width="7.875" style="2895" customWidth="1"/>
    <col min="4" max="5" width="13.875" style="2895" customWidth="1"/>
    <col min="6" max="6" width="34.125" style="2895" customWidth="1"/>
    <col min="7" max="7" width="7.875" style="2895" customWidth="1"/>
    <col min="8" max="8" width="9" style="2895" customWidth="1"/>
    <col min="9" max="10" width="10.625" style="2895" customWidth="1"/>
    <col min="11" max="11" width="14.375" style="2895" customWidth="1"/>
    <col min="12" max="12" width="6.125" style="2895" customWidth="1"/>
    <col min="13" max="13" width="29.375" style="2895" customWidth="1"/>
    <col min="14" max="14" width="7.875" style="2895" customWidth="1"/>
    <col min="15" max="255" width="9" style="2895"/>
    <col min="256" max="256" width="44.125" style="2895" customWidth="1"/>
    <col min="257" max="257" width="6.125" style="2895" customWidth="1"/>
    <col min="258" max="258" width="7.875" style="2895" customWidth="1"/>
    <col min="259" max="260" width="13.875" style="2895" customWidth="1"/>
    <col min="261" max="261" width="24" style="2895" customWidth="1"/>
    <col min="262" max="262" width="7.875" style="2895" customWidth="1"/>
    <col min="263" max="263" width="9" style="2895" customWidth="1"/>
    <col min="264" max="265" width="10.625" style="2895" customWidth="1"/>
    <col min="266" max="266" width="14.375" style="2895" customWidth="1"/>
    <col min="267" max="267" width="6.125" style="2895" customWidth="1"/>
    <col min="268" max="268" width="29.375" style="2895" customWidth="1"/>
    <col min="269" max="269" width="7.875" style="2895" customWidth="1"/>
    <col min="270" max="511" width="9" style="2895"/>
    <col min="512" max="512" width="44.125" style="2895" customWidth="1"/>
    <col min="513" max="513" width="6.125" style="2895" customWidth="1"/>
    <col min="514" max="514" width="7.875" style="2895" customWidth="1"/>
    <col min="515" max="516" width="13.875" style="2895" customWidth="1"/>
    <col min="517" max="517" width="24" style="2895" customWidth="1"/>
    <col min="518" max="518" width="7.875" style="2895" customWidth="1"/>
    <col min="519" max="519" width="9" style="2895" customWidth="1"/>
    <col min="520" max="521" width="10.625" style="2895" customWidth="1"/>
    <col min="522" max="522" width="14.375" style="2895" customWidth="1"/>
    <col min="523" max="523" width="6.125" style="2895" customWidth="1"/>
    <col min="524" max="524" width="29.375" style="2895" customWidth="1"/>
    <col min="525" max="525" width="7.875" style="2895" customWidth="1"/>
    <col min="526" max="767" width="9" style="2895"/>
    <col min="768" max="768" width="44.125" style="2895" customWidth="1"/>
    <col min="769" max="769" width="6.125" style="2895" customWidth="1"/>
    <col min="770" max="770" width="7.875" style="2895" customWidth="1"/>
    <col min="771" max="772" width="13.875" style="2895" customWidth="1"/>
    <col min="773" max="773" width="24" style="2895" customWidth="1"/>
    <col min="774" max="774" width="7.875" style="2895" customWidth="1"/>
    <col min="775" max="775" width="9" style="2895" customWidth="1"/>
    <col min="776" max="777" width="10.625" style="2895" customWidth="1"/>
    <col min="778" max="778" width="14.375" style="2895" customWidth="1"/>
    <col min="779" max="779" width="6.125" style="2895" customWidth="1"/>
    <col min="780" max="780" width="29.375" style="2895" customWidth="1"/>
    <col min="781" max="781" width="7.875" style="2895" customWidth="1"/>
    <col min="782" max="1023" width="9" style="2895"/>
    <col min="1024" max="1024" width="44.125" style="2895" customWidth="1"/>
    <col min="1025" max="1025" width="6.125" style="2895" customWidth="1"/>
    <col min="1026" max="1026" width="7.875" style="2895" customWidth="1"/>
    <col min="1027" max="1028" width="13.875" style="2895" customWidth="1"/>
    <col min="1029" max="1029" width="24" style="2895" customWidth="1"/>
    <col min="1030" max="1030" width="7.875" style="2895" customWidth="1"/>
    <col min="1031" max="1031" width="9" style="2895" customWidth="1"/>
    <col min="1032" max="1033" width="10.625" style="2895" customWidth="1"/>
    <col min="1034" max="1034" width="14.375" style="2895" customWidth="1"/>
    <col min="1035" max="1035" width="6.125" style="2895" customWidth="1"/>
    <col min="1036" max="1036" width="29.375" style="2895" customWidth="1"/>
    <col min="1037" max="1037" width="7.875" style="2895" customWidth="1"/>
    <col min="1038" max="1279" width="9" style="2895"/>
    <col min="1280" max="1280" width="44.125" style="2895" customWidth="1"/>
    <col min="1281" max="1281" width="6.125" style="2895" customWidth="1"/>
    <col min="1282" max="1282" width="7.875" style="2895" customWidth="1"/>
    <col min="1283" max="1284" width="13.875" style="2895" customWidth="1"/>
    <col min="1285" max="1285" width="24" style="2895" customWidth="1"/>
    <col min="1286" max="1286" width="7.875" style="2895" customWidth="1"/>
    <col min="1287" max="1287" width="9" style="2895" customWidth="1"/>
    <col min="1288" max="1289" width="10.625" style="2895" customWidth="1"/>
    <col min="1290" max="1290" width="14.375" style="2895" customWidth="1"/>
    <col min="1291" max="1291" width="6.125" style="2895" customWidth="1"/>
    <col min="1292" max="1292" width="29.375" style="2895" customWidth="1"/>
    <col min="1293" max="1293" width="7.875" style="2895" customWidth="1"/>
    <col min="1294" max="1535" width="9" style="2895"/>
    <col min="1536" max="1536" width="44.125" style="2895" customWidth="1"/>
    <col min="1537" max="1537" width="6.125" style="2895" customWidth="1"/>
    <col min="1538" max="1538" width="7.875" style="2895" customWidth="1"/>
    <col min="1539" max="1540" width="13.875" style="2895" customWidth="1"/>
    <col min="1541" max="1541" width="24" style="2895" customWidth="1"/>
    <col min="1542" max="1542" width="7.875" style="2895" customWidth="1"/>
    <col min="1543" max="1543" width="9" style="2895" customWidth="1"/>
    <col min="1544" max="1545" width="10.625" style="2895" customWidth="1"/>
    <col min="1546" max="1546" width="14.375" style="2895" customWidth="1"/>
    <col min="1547" max="1547" width="6.125" style="2895" customWidth="1"/>
    <col min="1548" max="1548" width="29.375" style="2895" customWidth="1"/>
    <col min="1549" max="1549" width="7.875" style="2895" customWidth="1"/>
    <col min="1550" max="1791" width="9" style="2895"/>
    <col min="1792" max="1792" width="44.125" style="2895" customWidth="1"/>
    <col min="1793" max="1793" width="6.125" style="2895" customWidth="1"/>
    <col min="1794" max="1794" width="7.875" style="2895" customWidth="1"/>
    <col min="1795" max="1796" width="13.875" style="2895" customWidth="1"/>
    <col min="1797" max="1797" width="24" style="2895" customWidth="1"/>
    <col min="1798" max="1798" width="7.875" style="2895" customWidth="1"/>
    <col min="1799" max="1799" width="9" style="2895" customWidth="1"/>
    <col min="1800" max="1801" width="10.625" style="2895" customWidth="1"/>
    <col min="1802" max="1802" width="14.375" style="2895" customWidth="1"/>
    <col min="1803" max="1803" width="6.125" style="2895" customWidth="1"/>
    <col min="1804" max="1804" width="29.375" style="2895" customWidth="1"/>
    <col min="1805" max="1805" width="7.875" style="2895" customWidth="1"/>
    <col min="1806" max="2047" width="9" style="2895"/>
    <col min="2048" max="2048" width="44.125" style="2895" customWidth="1"/>
    <col min="2049" max="2049" width="6.125" style="2895" customWidth="1"/>
    <col min="2050" max="2050" width="7.875" style="2895" customWidth="1"/>
    <col min="2051" max="2052" width="13.875" style="2895" customWidth="1"/>
    <col min="2053" max="2053" width="24" style="2895" customWidth="1"/>
    <col min="2054" max="2054" width="7.875" style="2895" customWidth="1"/>
    <col min="2055" max="2055" width="9" style="2895" customWidth="1"/>
    <col min="2056" max="2057" width="10.625" style="2895" customWidth="1"/>
    <col min="2058" max="2058" width="14.375" style="2895" customWidth="1"/>
    <col min="2059" max="2059" width="6.125" style="2895" customWidth="1"/>
    <col min="2060" max="2060" width="29.375" style="2895" customWidth="1"/>
    <col min="2061" max="2061" width="7.875" style="2895" customWidth="1"/>
    <col min="2062" max="2303" width="9" style="2895"/>
    <col min="2304" max="2304" width="44.125" style="2895" customWidth="1"/>
    <col min="2305" max="2305" width="6.125" style="2895" customWidth="1"/>
    <col min="2306" max="2306" width="7.875" style="2895" customWidth="1"/>
    <col min="2307" max="2308" width="13.875" style="2895" customWidth="1"/>
    <col min="2309" max="2309" width="24" style="2895" customWidth="1"/>
    <col min="2310" max="2310" width="7.875" style="2895" customWidth="1"/>
    <col min="2311" max="2311" width="9" style="2895" customWidth="1"/>
    <col min="2312" max="2313" width="10.625" style="2895" customWidth="1"/>
    <col min="2314" max="2314" width="14.375" style="2895" customWidth="1"/>
    <col min="2315" max="2315" width="6.125" style="2895" customWidth="1"/>
    <col min="2316" max="2316" width="29.375" style="2895" customWidth="1"/>
    <col min="2317" max="2317" width="7.875" style="2895" customWidth="1"/>
    <col min="2318" max="2559" width="9" style="2895"/>
    <col min="2560" max="2560" width="44.125" style="2895" customWidth="1"/>
    <col min="2561" max="2561" width="6.125" style="2895" customWidth="1"/>
    <col min="2562" max="2562" width="7.875" style="2895" customWidth="1"/>
    <col min="2563" max="2564" width="13.875" style="2895" customWidth="1"/>
    <col min="2565" max="2565" width="24" style="2895" customWidth="1"/>
    <col min="2566" max="2566" width="7.875" style="2895" customWidth="1"/>
    <col min="2567" max="2567" width="9" style="2895" customWidth="1"/>
    <col min="2568" max="2569" width="10.625" style="2895" customWidth="1"/>
    <col min="2570" max="2570" width="14.375" style="2895" customWidth="1"/>
    <col min="2571" max="2571" width="6.125" style="2895" customWidth="1"/>
    <col min="2572" max="2572" width="29.375" style="2895" customWidth="1"/>
    <col min="2573" max="2573" width="7.875" style="2895" customWidth="1"/>
    <col min="2574" max="2815" width="9" style="2895"/>
    <col min="2816" max="2816" width="44.125" style="2895" customWidth="1"/>
    <col min="2817" max="2817" width="6.125" style="2895" customWidth="1"/>
    <col min="2818" max="2818" width="7.875" style="2895" customWidth="1"/>
    <col min="2819" max="2820" width="13.875" style="2895" customWidth="1"/>
    <col min="2821" max="2821" width="24" style="2895" customWidth="1"/>
    <col min="2822" max="2822" width="7.875" style="2895" customWidth="1"/>
    <col min="2823" max="2823" width="9" style="2895" customWidth="1"/>
    <col min="2824" max="2825" width="10.625" style="2895" customWidth="1"/>
    <col min="2826" max="2826" width="14.375" style="2895" customWidth="1"/>
    <col min="2827" max="2827" width="6.125" style="2895" customWidth="1"/>
    <col min="2828" max="2828" width="29.375" style="2895" customWidth="1"/>
    <col min="2829" max="2829" width="7.875" style="2895" customWidth="1"/>
    <col min="2830" max="3071" width="9" style="2895"/>
    <col min="3072" max="3072" width="44.125" style="2895" customWidth="1"/>
    <col min="3073" max="3073" width="6.125" style="2895" customWidth="1"/>
    <col min="3074" max="3074" width="7.875" style="2895" customWidth="1"/>
    <col min="3075" max="3076" width="13.875" style="2895" customWidth="1"/>
    <col min="3077" max="3077" width="24" style="2895" customWidth="1"/>
    <col min="3078" max="3078" width="7.875" style="2895" customWidth="1"/>
    <col min="3079" max="3079" width="9" style="2895" customWidth="1"/>
    <col min="3080" max="3081" width="10.625" style="2895" customWidth="1"/>
    <col min="3082" max="3082" width="14.375" style="2895" customWidth="1"/>
    <col min="3083" max="3083" width="6.125" style="2895" customWidth="1"/>
    <col min="3084" max="3084" width="29.375" style="2895" customWidth="1"/>
    <col min="3085" max="3085" width="7.875" style="2895" customWidth="1"/>
    <col min="3086" max="3327" width="9" style="2895"/>
    <col min="3328" max="3328" width="44.125" style="2895" customWidth="1"/>
    <col min="3329" max="3329" width="6.125" style="2895" customWidth="1"/>
    <col min="3330" max="3330" width="7.875" style="2895" customWidth="1"/>
    <col min="3331" max="3332" width="13.875" style="2895" customWidth="1"/>
    <col min="3333" max="3333" width="24" style="2895" customWidth="1"/>
    <col min="3334" max="3334" width="7.875" style="2895" customWidth="1"/>
    <col min="3335" max="3335" width="9" style="2895" customWidth="1"/>
    <col min="3336" max="3337" width="10.625" style="2895" customWidth="1"/>
    <col min="3338" max="3338" width="14.375" style="2895" customWidth="1"/>
    <col min="3339" max="3339" width="6.125" style="2895" customWidth="1"/>
    <col min="3340" max="3340" width="29.375" style="2895" customWidth="1"/>
    <col min="3341" max="3341" width="7.875" style="2895" customWidth="1"/>
    <col min="3342" max="3583" width="9" style="2895"/>
    <col min="3584" max="3584" width="44.125" style="2895" customWidth="1"/>
    <col min="3585" max="3585" width="6.125" style="2895" customWidth="1"/>
    <col min="3586" max="3586" width="7.875" style="2895" customWidth="1"/>
    <col min="3587" max="3588" width="13.875" style="2895" customWidth="1"/>
    <col min="3589" max="3589" width="24" style="2895" customWidth="1"/>
    <col min="3590" max="3590" width="7.875" style="2895" customWidth="1"/>
    <col min="3591" max="3591" width="9" style="2895" customWidth="1"/>
    <col min="3592" max="3593" width="10.625" style="2895" customWidth="1"/>
    <col min="3594" max="3594" width="14.375" style="2895" customWidth="1"/>
    <col min="3595" max="3595" width="6.125" style="2895" customWidth="1"/>
    <col min="3596" max="3596" width="29.375" style="2895" customWidth="1"/>
    <col min="3597" max="3597" width="7.875" style="2895" customWidth="1"/>
    <col min="3598" max="3839" width="9" style="2895"/>
    <col min="3840" max="3840" width="44.125" style="2895" customWidth="1"/>
    <col min="3841" max="3841" width="6.125" style="2895" customWidth="1"/>
    <col min="3842" max="3842" width="7.875" style="2895" customWidth="1"/>
    <col min="3843" max="3844" width="13.875" style="2895" customWidth="1"/>
    <col min="3845" max="3845" width="24" style="2895" customWidth="1"/>
    <col min="3846" max="3846" width="7.875" style="2895" customWidth="1"/>
    <col min="3847" max="3847" width="9" style="2895" customWidth="1"/>
    <col min="3848" max="3849" width="10.625" style="2895" customWidth="1"/>
    <col min="3850" max="3850" width="14.375" style="2895" customWidth="1"/>
    <col min="3851" max="3851" width="6.125" style="2895" customWidth="1"/>
    <col min="3852" max="3852" width="29.375" style="2895" customWidth="1"/>
    <col min="3853" max="3853" width="7.875" style="2895" customWidth="1"/>
    <col min="3854" max="4095" width="9" style="2895"/>
    <col min="4096" max="4096" width="44.125" style="2895" customWidth="1"/>
    <col min="4097" max="4097" width="6.125" style="2895" customWidth="1"/>
    <col min="4098" max="4098" width="7.875" style="2895" customWidth="1"/>
    <col min="4099" max="4100" width="13.875" style="2895" customWidth="1"/>
    <col min="4101" max="4101" width="24" style="2895" customWidth="1"/>
    <col min="4102" max="4102" width="7.875" style="2895" customWidth="1"/>
    <col min="4103" max="4103" width="9" style="2895" customWidth="1"/>
    <col min="4104" max="4105" width="10.625" style="2895" customWidth="1"/>
    <col min="4106" max="4106" width="14.375" style="2895" customWidth="1"/>
    <col min="4107" max="4107" width="6.125" style="2895" customWidth="1"/>
    <col min="4108" max="4108" width="29.375" style="2895" customWidth="1"/>
    <col min="4109" max="4109" width="7.875" style="2895" customWidth="1"/>
    <col min="4110" max="4351" width="9" style="2895"/>
    <col min="4352" max="4352" width="44.125" style="2895" customWidth="1"/>
    <col min="4353" max="4353" width="6.125" style="2895" customWidth="1"/>
    <col min="4354" max="4354" width="7.875" style="2895" customWidth="1"/>
    <col min="4355" max="4356" width="13.875" style="2895" customWidth="1"/>
    <col min="4357" max="4357" width="24" style="2895" customWidth="1"/>
    <col min="4358" max="4358" width="7.875" style="2895" customWidth="1"/>
    <col min="4359" max="4359" width="9" style="2895" customWidth="1"/>
    <col min="4360" max="4361" width="10.625" style="2895" customWidth="1"/>
    <col min="4362" max="4362" width="14.375" style="2895" customWidth="1"/>
    <col min="4363" max="4363" width="6.125" style="2895" customWidth="1"/>
    <col min="4364" max="4364" width="29.375" style="2895" customWidth="1"/>
    <col min="4365" max="4365" width="7.875" style="2895" customWidth="1"/>
    <col min="4366" max="4607" width="9" style="2895"/>
    <col min="4608" max="4608" width="44.125" style="2895" customWidth="1"/>
    <col min="4609" max="4609" width="6.125" style="2895" customWidth="1"/>
    <col min="4610" max="4610" width="7.875" style="2895" customWidth="1"/>
    <col min="4611" max="4612" width="13.875" style="2895" customWidth="1"/>
    <col min="4613" max="4613" width="24" style="2895" customWidth="1"/>
    <col min="4614" max="4614" width="7.875" style="2895" customWidth="1"/>
    <col min="4615" max="4615" width="9" style="2895" customWidth="1"/>
    <col min="4616" max="4617" width="10.625" style="2895" customWidth="1"/>
    <col min="4618" max="4618" width="14.375" style="2895" customWidth="1"/>
    <col min="4619" max="4619" width="6.125" style="2895" customWidth="1"/>
    <col min="4620" max="4620" width="29.375" style="2895" customWidth="1"/>
    <col min="4621" max="4621" width="7.875" style="2895" customWidth="1"/>
    <col min="4622" max="4863" width="9" style="2895"/>
    <col min="4864" max="4864" width="44.125" style="2895" customWidth="1"/>
    <col min="4865" max="4865" width="6.125" style="2895" customWidth="1"/>
    <col min="4866" max="4866" width="7.875" style="2895" customWidth="1"/>
    <col min="4867" max="4868" width="13.875" style="2895" customWidth="1"/>
    <col min="4869" max="4869" width="24" style="2895" customWidth="1"/>
    <col min="4870" max="4870" width="7.875" style="2895" customWidth="1"/>
    <col min="4871" max="4871" width="9" style="2895" customWidth="1"/>
    <col min="4872" max="4873" width="10.625" style="2895" customWidth="1"/>
    <col min="4874" max="4874" width="14.375" style="2895" customWidth="1"/>
    <col min="4875" max="4875" width="6.125" style="2895" customWidth="1"/>
    <col min="4876" max="4876" width="29.375" style="2895" customWidth="1"/>
    <col min="4877" max="4877" width="7.875" style="2895" customWidth="1"/>
    <col min="4878" max="5119" width="9" style="2895"/>
    <col min="5120" max="5120" width="44.125" style="2895" customWidth="1"/>
    <col min="5121" max="5121" width="6.125" style="2895" customWidth="1"/>
    <col min="5122" max="5122" width="7.875" style="2895" customWidth="1"/>
    <col min="5123" max="5124" width="13.875" style="2895" customWidth="1"/>
    <col min="5125" max="5125" width="24" style="2895" customWidth="1"/>
    <col min="5126" max="5126" width="7.875" style="2895" customWidth="1"/>
    <col min="5127" max="5127" width="9" style="2895" customWidth="1"/>
    <col min="5128" max="5129" width="10.625" style="2895" customWidth="1"/>
    <col min="5130" max="5130" width="14.375" style="2895" customWidth="1"/>
    <col min="5131" max="5131" width="6.125" style="2895" customWidth="1"/>
    <col min="5132" max="5132" width="29.375" style="2895" customWidth="1"/>
    <col min="5133" max="5133" width="7.875" style="2895" customWidth="1"/>
    <col min="5134" max="5375" width="9" style="2895"/>
    <col min="5376" max="5376" width="44.125" style="2895" customWidth="1"/>
    <col min="5377" max="5377" width="6.125" style="2895" customWidth="1"/>
    <col min="5378" max="5378" width="7.875" style="2895" customWidth="1"/>
    <col min="5379" max="5380" width="13.875" style="2895" customWidth="1"/>
    <col min="5381" max="5381" width="24" style="2895" customWidth="1"/>
    <col min="5382" max="5382" width="7.875" style="2895" customWidth="1"/>
    <col min="5383" max="5383" width="9" style="2895" customWidth="1"/>
    <col min="5384" max="5385" width="10.625" style="2895" customWidth="1"/>
    <col min="5386" max="5386" width="14.375" style="2895" customWidth="1"/>
    <col min="5387" max="5387" width="6.125" style="2895" customWidth="1"/>
    <col min="5388" max="5388" width="29.375" style="2895" customWidth="1"/>
    <col min="5389" max="5389" width="7.875" style="2895" customWidth="1"/>
    <col min="5390" max="5631" width="9" style="2895"/>
    <col min="5632" max="5632" width="44.125" style="2895" customWidth="1"/>
    <col min="5633" max="5633" width="6.125" style="2895" customWidth="1"/>
    <col min="5634" max="5634" width="7.875" style="2895" customWidth="1"/>
    <col min="5635" max="5636" width="13.875" style="2895" customWidth="1"/>
    <col min="5637" max="5637" width="24" style="2895" customWidth="1"/>
    <col min="5638" max="5638" width="7.875" style="2895" customWidth="1"/>
    <col min="5639" max="5639" width="9" style="2895" customWidth="1"/>
    <col min="5640" max="5641" width="10.625" style="2895" customWidth="1"/>
    <col min="5642" max="5642" width="14.375" style="2895" customWidth="1"/>
    <col min="5643" max="5643" width="6.125" style="2895" customWidth="1"/>
    <col min="5644" max="5644" width="29.375" style="2895" customWidth="1"/>
    <col min="5645" max="5645" width="7.875" style="2895" customWidth="1"/>
    <col min="5646" max="5887" width="9" style="2895"/>
    <col min="5888" max="5888" width="44.125" style="2895" customWidth="1"/>
    <col min="5889" max="5889" width="6.125" style="2895" customWidth="1"/>
    <col min="5890" max="5890" width="7.875" style="2895" customWidth="1"/>
    <col min="5891" max="5892" width="13.875" style="2895" customWidth="1"/>
    <col min="5893" max="5893" width="24" style="2895" customWidth="1"/>
    <col min="5894" max="5894" width="7.875" style="2895" customWidth="1"/>
    <col min="5895" max="5895" width="9" style="2895" customWidth="1"/>
    <col min="5896" max="5897" width="10.625" style="2895" customWidth="1"/>
    <col min="5898" max="5898" width="14.375" style="2895" customWidth="1"/>
    <col min="5899" max="5899" width="6.125" style="2895" customWidth="1"/>
    <col min="5900" max="5900" width="29.375" style="2895" customWidth="1"/>
    <col min="5901" max="5901" width="7.875" style="2895" customWidth="1"/>
    <col min="5902" max="6143" width="9" style="2895"/>
    <col min="6144" max="6144" width="44.125" style="2895" customWidth="1"/>
    <col min="6145" max="6145" width="6.125" style="2895" customWidth="1"/>
    <col min="6146" max="6146" width="7.875" style="2895" customWidth="1"/>
    <col min="6147" max="6148" width="13.875" style="2895" customWidth="1"/>
    <col min="6149" max="6149" width="24" style="2895" customWidth="1"/>
    <col min="6150" max="6150" width="7.875" style="2895" customWidth="1"/>
    <col min="6151" max="6151" width="9" style="2895" customWidth="1"/>
    <col min="6152" max="6153" width="10.625" style="2895" customWidth="1"/>
    <col min="6154" max="6154" width="14.375" style="2895" customWidth="1"/>
    <col min="6155" max="6155" width="6.125" style="2895" customWidth="1"/>
    <col min="6156" max="6156" width="29.375" style="2895" customWidth="1"/>
    <col min="6157" max="6157" width="7.875" style="2895" customWidth="1"/>
    <col min="6158" max="6399" width="9" style="2895"/>
    <col min="6400" max="6400" width="44.125" style="2895" customWidth="1"/>
    <col min="6401" max="6401" width="6.125" style="2895" customWidth="1"/>
    <col min="6402" max="6402" width="7.875" style="2895" customWidth="1"/>
    <col min="6403" max="6404" width="13.875" style="2895" customWidth="1"/>
    <col min="6405" max="6405" width="24" style="2895" customWidth="1"/>
    <col min="6406" max="6406" width="7.875" style="2895" customWidth="1"/>
    <col min="6407" max="6407" width="9" style="2895" customWidth="1"/>
    <col min="6408" max="6409" width="10.625" style="2895" customWidth="1"/>
    <col min="6410" max="6410" width="14.375" style="2895" customWidth="1"/>
    <col min="6411" max="6411" width="6.125" style="2895" customWidth="1"/>
    <col min="6412" max="6412" width="29.375" style="2895" customWidth="1"/>
    <col min="6413" max="6413" width="7.875" style="2895" customWidth="1"/>
    <col min="6414" max="6655" width="9" style="2895"/>
    <col min="6656" max="6656" width="44.125" style="2895" customWidth="1"/>
    <col min="6657" max="6657" width="6.125" style="2895" customWidth="1"/>
    <col min="6658" max="6658" width="7.875" style="2895" customWidth="1"/>
    <col min="6659" max="6660" width="13.875" style="2895" customWidth="1"/>
    <col min="6661" max="6661" width="24" style="2895" customWidth="1"/>
    <col min="6662" max="6662" width="7.875" style="2895" customWidth="1"/>
    <col min="6663" max="6663" width="9" style="2895" customWidth="1"/>
    <col min="6664" max="6665" width="10.625" style="2895" customWidth="1"/>
    <col min="6666" max="6666" width="14.375" style="2895" customWidth="1"/>
    <col min="6667" max="6667" width="6.125" style="2895" customWidth="1"/>
    <col min="6668" max="6668" width="29.375" style="2895" customWidth="1"/>
    <col min="6669" max="6669" width="7.875" style="2895" customWidth="1"/>
    <col min="6670" max="6911" width="9" style="2895"/>
    <col min="6912" max="6912" width="44.125" style="2895" customWidth="1"/>
    <col min="6913" max="6913" width="6.125" style="2895" customWidth="1"/>
    <col min="6914" max="6914" width="7.875" style="2895" customWidth="1"/>
    <col min="6915" max="6916" width="13.875" style="2895" customWidth="1"/>
    <col min="6917" max="6917" width="24" style="2895" customWidth="1"/>
    <col min="6918" max="6918" width="7.875" style="2895" customWidth="1"/>
    <col min="6919" max="6919" width="9" style="2895" customWidth="1"/>
    <col min="6920" max="6921" width="10.625" style="2895" customWidth="1"/>
    <col min="6922" max="6922" width="14.375" style="2895" customWidth="1"/>
    <col min="6923" max="6923" width="6.125" style="2895" customWidth="1"/>
    <col min="6924" max="6924" width="29.375" style="2895" customWidth="1"/>
    <col min="6925" max="6925" width="7.875" style="2895" customWidth="1"/>
    <col min="6926" max="7167" width="9" style="2895"/>
    <col min="7168" max="7168" width="44.125" style="2895" customWidth="1"/>
    <col min="7169" max="7169" width="6.125" style="2895" customWidth="1"/>
    <col min="7170" max="7170" width="7.875" style="2895" customWidth="1"/>
    <col min="7171" max="7172" width="13.875" style="2895" customWidth="1"/>
    <col min="7173" max="7173" width="24" style="2895" customWidth="1"/>
    <col min="7174" max="7174" width="7.875" style="2895" customWidth="1"/>
    <col min="7175" max="7175" width="9" style="2895" customWidth="1"/>
    <col min="7176" max="7177" width="10.625" style="2895" customWidth="1"/>
    <col min="7178" max="7178" width="14.375" style="2895" customWidth="1"/>
    <col min="7179" max="7179" width="6.125" style="2895" customWidth="1"/>
    <col min="7180" max="7180" width="29.375" style="2895" customWidth="1"/>
    <col min="7181" max="7181" width="7.875" style="2895" customWidth="1"/>
    <col min="7182" max="7423" width="9" style="2895"/>
    <col min="7424" max="7424" width="44.125" style="2895" customWidth="1"/>
    <col min="7425" max="7425" width="6.125" style="2895" customWidth="1"/>
    <col min="7426" max="7426" width="7.875" style="2895" customWidth="1"/>
    <col min="7427" max="7428" width="13.875" style="2895" customWidth="1"/>
    <col min="7429" max="7429" width="24" style="2895" customWidth="1"/>
    <col min="7430" max="7430" width="7.875" style="2895" customWidth="1"/>
    <col min="7431" max="7431" width="9" style="2895" customWidth="1"/>
    <col min="7432" max="7433" width="10.625" style="2895" customWidth="1"/>
    <col min="7434" max="7434" width="14.375" style="2895" customWidth="1"/>
    <col min="7435" max="7435" width="6.125" style="2895" customWidth="1"/>
    <col min="7436" max="7436" width="29.375" style="2895" customWidth="1"/>
    <col min="7437" max="7437" width="7.875" style="2895" customWidth="1"/>
    <col min="7438" max="7679" width="9" style="2895"/>
    <col min="7680" max="7680" width="44.125" style="2895" customWidth="1"/>
    <col min="7681" max="7681" width="6.125" style="2895" customWidth="1"/>
    <col min="7682" max="7682" width="7.875" style="2895" customWidth="1"/>
    <col min="7683" max="7684" width="13.875" style="2895" customWidth="1"/>
    <col min="7685" max="7685" width="24" style="2895" customWidth="1"/>
    <col min="7686" max="7686" width="7.875" style="2895" customWidth="1"/>
    <col min="7687" max="7687" width="9" style="2895" customWidth="1"/>
    <col min="7688" max="7689" width="10.625" style="2895" customWidth="1"/>
    <col min="7690" max="7690" width="14.375" style="2895" customWidth="1"/>
    <col min="7691" max="7691" width="6.125" style="2895" customWidth="1"/>
    <col min="7692" max="7692" width="29.375" style="2895" customWidth="1"/>
    <col min="7693" max="7693" width="7.875" style="2895" customWidth="1"/>
    <col min="7694" max="7935" width="9" style="2895"/>
    <col min="7936" max="7936" width="44.125" style="2895" customWidth="1"/>
    <col min="7937" max="7937" width="6.125" style="2895" customWidth="1"/>
    <col min="7938" max="7938" width="7.875" style="2895" customWidth="1"/>
    <col min="7939" max="7940" width="13.875" style="2895" customWidth="1"/>
    <col min="7941" max="7941" width="24" style="2895" customWidth="1"/>
    <col min="7942" max="7942" width="7.875" style="2895" customWidth="1"/>
    <col min="7943" max="7943" width="9" style="2895" customWidth="1"/>
    <col min="7944" max="7945" width="10.625" style="2895" customWidth="1"/>
    <col min="7946" max="7946" width="14.375" style="2895" customWidth="1"/>
    <col min="7947" max="7947" width="6.125" style="2895" customWidth="1"/>
    <col min="7948" max="7948" width="29.375" style="2895" customWidth="1"/>
    <col min="7949" max="7949" width="7.875" style="2895" customWidth="1"/>
    <col min="7950" max="8191" width="9" style="2895"/>
    <col min="8192" max="8192" width="44.125" style="2895" customWidth="1"/>
    <col min="8193" max="8193" width="6.125" style="2895" customWidth="1"/>
    <col min="8194" max="8194" width="7.875" style="2895" customWidth="1"/>
    <col min="8195" max="8196" width="13.875" style="2895" customWidth="1"/>
    <col min="8197" max="8197" width="24" style="2895" customWidth="1"/>
    <col min="8198" max="8198" width="7.875" style="2895" customWidth="1"/>
    <col min="8199" max="8199" width="9" style="2895" customWidth="1"/>
    <col min="8200" max="8201" width="10.625" style="2895" customWidth="1"/>
    <col min="8202" max="8202" width="14.375" style="2895" customWidth="1"/>
    <col min="8203" max="8203" width="6.125" style="2895" customWidth="1"/>
    <col min="8204" max="8204" width="29.375" style="2895" customWidth="1"/>
    <col min="8205" max="8205" width="7.875" style="2895" customWidth="1"/>
    <col min="8206" max="8447" width="9" style="2895"/>
    <col min="8448" max="8448" width="44.125" style="2895" customWidth="1"/>
    <col min="8449" max="8449" width="6.125" style="2895" customWidth="1"/>
    <col min="8450" max="8450" width="7.875" style="2895" customWidth="1"/>
    <col min="8451" max="8452" width="13.875" style="2895" customWidth="1"/>
    <col min="8453" max="8453" width="24" style="2895" customWidth="1"/>
    <col min="8454" max="8454" width="7.875" style="2895" customWidth="1"/>
    <col min="8455" max="8455" width="9" style="2895" customWidth="1"/>
    <col min="8456" max="8457" width="10.625" style="2895" customWidth="1"/>
    <col min="8458" max="8458" width="14.375" style="2895" customWidth="1"/>
    <col min="8459" max="8459" width="6.125" style="2895" customWidth="1"/>
    <col min="8460" max="8460" width="29.375" style="2895" customWidth="1"/>
    <col min="8461" max="8461" width="7.875" style="2895" customWidth="1"/>
    <col min="8462" max="8703" width="9" style="2895"/>
    <col min="8704" max="8704" width="44.125" style="2895" customWidth="1"/>
    <col min="8705" max="8705" width="6.125" style="2895" customWidth="1"/>
    <col min="8706" max="8706" width="7.875" style="2895" customWidth="1"/>
    <col min="8707" max="8708" width="13.875" style="2895" customWidth="1"/>
    <col min="8709" max="8709" width="24" style="2895" customWidth="1"/>
    <col min="8710" max="8710" width="7.875" style="2895" customWidth="1"/>
    <col min="8711" max="8711" width="9" style="2895" customWidth="1"/>
    <col min="8712" max="8713" width="10.625" style="2895" customWidth="1"/>
    <col min="8714" max="8714" width="14.375" style="2895" customWidth="1"/>
    <col min="8715" max="8715" width="6.125" style="2895" customWidth="1"/>
    <col min="8716" max="8716" width="29.375" style="2895" customWidth="1"/>
    <col min="8717" max="8717" width="7.875" style="2895" customWidth="1"/>
    <col min="8718" max="8959" width="9" style="2895"/>
    <col min="8960" max="8960" width="44.125" style="2895" customWidth="1"/>
    <col min="8961" max="8961" width="6.125" style="2895" customWidth="1"/>
    <col min="8962" max="8962" width="7.875" style="2895" customWidth="1"/>
    <col min="8963" max="8964" width="13.875" style="2895" customWidth="1"/>
    <col min="8965" max="8965" width="24" style="2895" customWidth="1"/>
    <col min="8966" max="8966" width="7.875" style="2895" customWidth="1"/>
    <col min="8967" max="8967" width="9" style="2895" customWidth="1"/>
    <col min="8968" max="8969" width="10.625" style="2895" customWidth="1"/>
    <col min="8970" max="8970" width="14.375" style="2895" customWidth="1"/>
    <col min="8971" max="8971" width="6.125" style="2895" customWidth="1"/>
    <col min="8972" max="8972" width="29.375" style="2895" customWidth="1"/>
    <col min="8973" max="8973" width="7.875" style="2895" customWidth="1"/>
    <col min="8974" max="9215" width="9" style="2895"/>
    <col min="9216" max="9216" width="44.125" style="2895" customWidth="1"/>
    <col min="9217" max="9217" width="6.125" style="2895" customWidth="1"/>
    <col min="9218" max="9218" width="7.875" style="2895" customWidth="1"/>
    <col min="9219" max="9220" width="13.875" style="2895" customWidth="1"/>
    <col min="9221" max="9221" width="24" style="2895" customWidth="1"/>
    <col min="9222" max="9222" width="7.875" style="2895" customWidth="1"/>
    <col min="9223" max="9223" width="9" style="2895" customWidth="1"/>
    <col min="9224" max="9225" width="10.625" style="2895" customWidth="1"/>
    <col min="9226" max="9226" width="14.375" style="2895" customWidth="1"/>
    <col min="9227" max="9227" width="6.125" style="2895" customWidth="1"/>
    <col min="9228" max="9228" width="29.375" style="2895" customWidth="1"/>
    <col min="9229" max="9229" width="7.875" style="2895" customWidth="1"/>
    <col min="9230" max="9471" width="9" style="2895"/>
    <col min="9472" max="9472" width="44.125" style="2895" customWidth="1"/>
    <col min="9473" max="9473" width="6.125" style="2895" customWidth="1"/>
    <col min="9474" max="9474" width="7.875" style="2895" customWidth="1"/>
    <col min="9475" max="9476" width="13.875" style="2895" customWidth="1"/>
    <col min="9477" max="9477" width="24" style="2895" customWidth="1"/>
    <col min="9478" max="9478" width="7.875" style="2895" customWidth="1"/>
    <col min="9479" max="9479" width="9" style="2895" customWidth="1"/>
    <col min="9480" max="9481" width="10.625" style="2895" customWidth="1"/>
    <col min="9482" max="9482" width="14.375" style="2895" customWidth="1"/>
    <col min="9483" max="9483" width="6.125" style="2895" customWidth="1"/>
    <col min="9484" max="9484" width="29.375" style="2895" customWidth="1"/>
    <col min="9485" max="9485" width="7.875" style="2895" customWidth="1"/>
    <col min="9486" max="9727" width="9" style="2895"/>
    <col min="9728" max="9728" width="44.125" style="2895" customWidth="1"/>
    <col min="9729" max="9729" width="6.125" style="2895" customWidth="1"/>
    <col min="9730" max="9730" width="7.875" style="2895" customWidth="1"/>
    <col min="9731" max="9732" width="13.875" style="2895" customWidth="1"/>
    <col min="9733" max="9733" width="24" style="2895" customWidth="1"/>
    <col min="9734" max="9734" width="7.875" style="2895" customWidth="1"/>
    <col min="9735" max="9735" width="9" style="2895" customWidth="1"/>
    <col min="9736" max="9737" width="10.625" style="2895" customWidth="1"/>
    <col min="9738" max="9738" width="14.375" style="2895" customWidth="1"/>
    <col min="9739" max="9739" width="6.125" style="2895" customWidth="1"/>
    <col min="9740" max="9740" width="29.375" style="2895" customWidth="1"/>
    <col min="9741" max="9741" width="7.875" style="2895" customWidth="1"/>
    <col min="9742" max="9983" width="9" style="2895"/>
    <col min="9984" max="9984" width="44.125" style="2895" customWidth="1"/>
    <col min="9985" max="9985" width="6.125" style="2895" customWidth="1"/>
    <col min="9986" max="9986" width="7.875" style="2895" customWidth="1"/>
    <col min="9987" max="9988" width="13.875" style="2895" customWidth="1"/>
    <col min="9989" max="9989" width="24" style="2895" customWidth="1"/>
    <col min="9990" max="9990" width="7.875" style="2895" customWidth="1"/>
    <col min="9991" max="9991" width="9" style="2895" customWidth="1"/>
    <col min="9992" max="9993" width="10.625" style="2895" customWidth="1"/>
    <col min="9994" max="9994" width="14.375" style="2895" customWidth="1"/>
    <col min="9995" max="9995" width="6.125" style="2895" customWidth="1"/>
    <col min="9996" max="9996" width="29.375" style="2895" customWidth="1"/>
    <col min="9997" max="9997" width="7.875" style="2895" customWidth="1"/>
    <col min="9998" max="10239" width="9" style="2895"/>
    <col min="10240" max="10240" width="44.125" style="2895" customWidth="1"/>
    <col min="10241" max="10241" width="6.125" style="2895" customWidth="1"/>
    <col min="10242" max="10242" width="7.875" style="2895" customWidth="1"/>
    <col min="10243" max="10244" width="13.875" style="2895" customWidth="1"/>
    <col min="10245" max="10245" width="24" style="2895" customWidth="1"/>
    <col min="10246" max="10246" width="7.875" style="2895" customWidth="1"/>
    <col min="10247" max="10247" width="9" style="2895" customWidth="1"/>
    <col min="10248" max="10249" width="10.625" style="2895" customWidth="1"/>
    <col min="10250" max="10250" width="14.375" style="2895" customWidth="1"/>
    <col min="10251" max="10251" width="6.125" style="2895" customWidth="1"/>
    <col min="10252" max="10252" width="29.375" style="2895" customWidth="1"/>
    <col min="10253" max="10253" width="7.875" style="2895" customWidth="1"/>
    <col min="10254" max="10495" width="9" style="2895"/>
    <col min="10496" max="10496" width="44.125" style="2895" customWidth="1"/>
    <col min="10497" max="10497" width="6.125" style="2895" customWidth="1"/>
    <col min="10498" max="10498" width="7.875" style="2895" customWidth="1"/>
    <col min="10499" max="10500" width="13.875" style="2895" customWidth="1"/>
    <col min="10501" max="10501" width="24" style="2895" customWidth="1"/>
    <col min="10502" max="10502" width="7.875" style="2895" customWidth="1"/>
    <col min="10503" max="10503" width="9" style="2895" customWidth="1"/>
    <col min="10504" max="10505" width="10.625" style="2895" customWidth="1"/>
    <col min="10506" max="10506" width="14.375" style="2895" customWidth="1"/>
    <col min="10507" max="10507" width="6.125" style="2895" customWidth="1"/>
    <col min="10508" max="10508" width="29.375" style="2895" customWidth="1"/>
    <col min="10509" max="10509" width="7.875" style="2895" customWidth="1"/>
    <col min="10510" max="10751" width="9" style="2895"/>
    <col min="10752" max="10752" width="44.125" style="2895" customWidth="1"/>
    <col min="10753" max="10753" width="6.125" style="2895" customWidth="1"/>
    <col min="10754" max="10754" width="7.875" style="2895" customWidth="1"/>
    <col min="10755" max="10756" width="13.875" style="2895" customWidth="1"/>
    <col min="10757" max="10757" width="24" style="2895" customWidth="1"/>
    <col min="10758" max="10758" width="7.875" style="2895" customWidth="1"/>
    <col min="10759" max="10759" width="9" style="2895" customWidth="1"/>
    <col min="10760" max="10761" width="10.625" style="2895" customWidth="1"/>
    <col min="10762" max="10762" width="14.375" style="2895" customWidth="1"/>
    <col min="10763" max="10763" width="6.125" style="2895" customWidth="1"/>
    <col min="10764" max="10764" width="29.375" style="2895" customWidth="1"/>
    <col min="10765" max="10765" width="7.875" style="2895" customWidth="1"/>
    <col min="10766" max="11007" width="9" style="2895"/>
    <col min="11008" max="11008" width="44.125" style="2895" customWidth="1"/>
    <col min="11009" max="11009" width="6.125" style="2895" customWidth="1"/>
    <col min="11010" max="11010" width="7.875" style="2895" customWidth="1"/>
    <col min="11011" max="11012" width="13.875" style="2895" customWidth="1"/>
    <col min="11013" max="11013" width="24" style="2895" customWidth="1"/>
    <col min="11014" max="11014" width="7.875" style="2895" customWidth="1"/>
    <col min="11015" max="11015" width="9" style="2895" customWidth="1"/>
    <col min="11016" max="11017" width="10.625" style="2895" customWidth="1"/>
    <col min="11018" max="11018" width="14.375" style="2895" customWidth="1"/>
    <col min="11019" max="11019" width="6.125" style="2895" customWidth="1"/>
    <col min="11020" max="11020" width="29.375" style="2895" customWidth="1"/>
    <col min="11021" max="11021" width="7.875" style="2895" customWidth="1"/>
    <col min="11022" max="11263" width="9" style="2895"/>
    <col min="11264" max="11264" width="44.125" style="2895" customWidth="1"/>
    <col min="11265" max="11265" width="6.125" style="2895" customWidth="1"/>
    <col min="11266" max="11266" width="7.875" style="2895" customWidth="1"/>
    <col min="11267" max="11268" width="13.875" style="2895" customWidth="1"/>
    <col min="11269" max="11269" width="24" style="2895" customWidth="1"/>
    <col min="11270" max="11270" width="7.875" style="2895" customWidth="1"/>
    <col min="11271" max="11271" width="9" style="2895" customWidth="1"/>
    <col min="11272" max="11273" width="10.625" style="2895" customWidth="1"/>
    <col min="11274" max="11274" width="14.375" style="2895" customWidth="1"/>
    <col min="11275" max="11275" width="6.125" style="2895" customWidth="1"/>
    <col min="11276" max="11276" width="29.375" style="2895" customWidth="1"/>
    <col min="11277" max="11277" width="7.875" style="2895" customWidth="1"/>
    <col min="11278" max="11519" width="9" style="2895"/>
    <col min="11520" max="11520" width="44.125" style="2895" customWidth="1"/>
    <col min="11521" max="11521" width="6.125" style="2895" customWidth="1"/>
    <col min="11522" max="11522" width="7.875" style="2895" customWidth="1"/>
    <col min="11523" max="11524" width="13.875" style="2895" customWidth="1"/>
    <col min="11525" max="11525" width="24" style="2895" customWidth="1"/>
    <col min="11526" max="11526" width="7.875" style="2895" customWidth="1"/>
    <col min="11527" max="11527" width="9" style="2895" customWidth="1"/>
    <col min="11528" max="11529" width="10.625" style="2895" customWidth="1"/>
    <col min="11530" max="11530" width="14.375" style="2895" customWidth="1"/>
    <col min="11531" max="11531" width="6.125" style="2895" customWidth="1"/>
    <col min="11532" max="11532" width="29.375" style="2895" customWidth="1"/>
    <col min="11533" max="11533" width="7.875" style="2895" customWidth="1"/>
    <col min="11534" max="11775" width="9" style="2895"/>
    <col min="11776" max="11776" width="44.125" style="2895" customWidth="1"/>
    <col min="11777" max="11777" width="6.125" style="2895" customWidth="1"/>
    <col min="11778" max="11778" width="7.875" style="2895" customWidth="1"/>
    <col min="11779" max="11780" width="13.875" style="2895" customWidth="1"/>
    <col min="11781" max="11781" width="24" style="2895" customWidth="1"/>
    <col min="11782" max="11782" width="7.875" style="2895" customWidth="1"/>
    <col min="11783" max="11783" width="9" style="2895" customWidth="1"/>
    <col min="11784" max="11785" width="10.625" style="2895" customWidth="1"/>
    <col min="11786" max="11786" width="14.375" style="2895" customWidth="1"/>
    <col min="11787" max="11787" width="6.125" style="2895" customWidth="1"/>
    <col min="11788" max="11788" width="29.375" style="2895" customWidth="1"/>
    <col min="11789" max="11789" width="7.875" style="2895" customWidth="1"/>
    <col min="11790" max="12031" width="9" style="2895"/>
    <col min="12032" max="12032" width="44.125" style="2895" customWidth="1"/>
    <col min="12033" max="12033" width="6.125" style="2895" customWidth="1"/>
    <col min="12034" max="12034" width="7.875" style="2895" customWidth="1"/>
    <col min="12035" max="12036" width="13.875" style="2895" customWidth="1"/>
    <col min="12037" max="12037" width="24" style="2895" customWidth="1"/>
    <col min="12038" max="12038" width="7.875" style="2895" customWidth="1"/>
    <col min="12039" max="12039" width="9" style="2895" customWidth="1"/>
    <col min="12040" max="12041" width="10.625" style="2895" customWidth="1"/>
    <col min="12042" max="12042" width="14.375" style="2895" customWidth="1"/>
    <col min="12043" max="12043" width="6.125" style="2895" customWidth="1"/>
    <col min="12044" max="12044" width="29.375" style="2895" customWidth="1"/>
    <col min="12045" max="12045" width="7.875" style="2895" customWidth="1"/>
    <col min="12046" max="12287" width="9" style="2895"/>
    <col min="12288" max="12288" width="44.125" style="2895" customWidth="1"/>
    <col min="12289" max="12289" width="6.125" style="2895" customWidth="1"/>
    <col min="12290" max="12290" width="7.875" style="2895" customWidth="1"/>
    <col min="12291" max="12292" width="13.875" style="2895" customWidth="1"/>
    <col min="12293" max="12293" width="24" style="2895" customWidth="1"/>
    <col min="12294" max="12294" width="7.875" style="2895" customWidth="1"/>
    <col min="12295" max="12295" width="9" style="2895" customWidth="1"/>
    <col min="12296" max="12297" width="10.625" style="2895" customWidth="1"/>
    <col min="12298" max="12298" width="14.375" style="2895" customWidth="1"/>
    <col min="12299" max="12299" width="6.125" style="2895" customWidth="1"/>
    <col min="12300" max="12300" width="29.375" style="2895" customWidth="1"/>
    <col min="12301" max="12301" width="7.875" style="2895" customWidth="1"/>
    <col min="12302" max="12543" width="9" style="2895"/>
    <col min="12544" max="12544" width="44.125" style="2895" customWidth="1"/>
    <col min="12545" max="12545" width="6.125" style="2895" customWidth="1"/>
    <col min="12546" max="12546" width="7.875" style="2895" customWidth="1"/>
    <col min="12547" max="12548" width="13.875" style="2895" customWidth="1"/>
    <col min="12549" max="12549" width="24" style="2895" customWidth="1"/>
    <col min="12550" max="12550" width="7.875" style="2895" customWidth="1"/>
    <col min="12551" max="12551" width="9" style="2895" customWidth="1"/>
    <col min="12552" max="12553" width="10.625" style="2895" customWidth="1"/>
    <col min="12554" max="12554" width="14.375" style="2895" customWidth="1"/>
    <col min="12555" max="12555" width="6.125" style="2895" customWidth="1"/>
    <col min="12556" max="12556" width="29.375" style="2895" customWidth="1"/>
    <col min="12557" max="12557" width="7.875" style="2895" customWidth="1"/>
    <col min="12558" max="12799" width="9" style="2895"/>
    <col min="12800" max="12800" width="44.125" style="2895" customWidth="1"/>
    <col min="12801" max="12801" width="6.125" style="2895" customWidth="1"/>
    <col min="12802" max="12802" width="7.875" style="2895" customWidth="1"/>
    <col min="12803" max="12804" width="13.875" style="2895" customWidth="1"/>
    <col min="12805" max="12805" width="24" style="2895" customWidth="1"/>
    <col min="12806" max="12806" width="7.875" style="2895" customWidth="1"/>
    <col min="12807" max="12807" width="9" style="2895" customWidth="1"/>
    <col min="12808" max="12809" width="10.625" style="2895" customWidth="1"/>
    <col min="12810" max="12810" width="14.375" style="2895" customWidth="1"/>
    <col min="12811" max="12811" width="6.125" style="2895" customWidth="1"/>
    <col min="12812" max="12812" width="29.375" style="2895" customWidth="1"/>
    <col min="12813" max="12813" width="7.875" style="2895" customWidth="1"/>
    <col min="12814" max="13055" width="9" style="2895"/>
    <col min="13056" max="13056" width="44.125" style="2895" customWidth="1"/>
    <col min="13057" max="13057" width="6.125" style="2895" customWidth="1"/>
    <col min="13058" max="13058" width="7.875" style="2895" customWidth="1"/>
    <col min="13059" max="13060" width="13.875" style="2895" customWidth="1"/>
    <col min="13061" max="13061" width="24" style="2895" customWidth="1"/>
    <col min="13062" max="13062" width="7.875" style="2895" customWidth="1"/>
    <col min="13063" max="13063" width="9" style="2895" customWidth="1"/>
    <col min="13064" max="13065" width="10.625" style="2895" customWidth="1"/>
    <col min="13066" max="13066" width="14.375" style="2895" customWidth="1"/>
    <col min="13067" max="13067" width="6.125" style="2895" customWidth="1"/>
    <col min="13068" max="13068" width="29.375" style="2895" customWidth="1"/>
    <col min="13069" max="13069" width="7.875" style="2895" customWidth="1"/>
    <col min="13070" max="13311" width="9" style="2895"/>
    <col min="13312" max="13312" width="44.125" style="2895" customWidth="1"/>
    <col min="13313" max="13313" width="6.125" style="2895" customWidth="1"/>
    <col min="13314" max="13314" width="7.875" style="2895" customWidth="1"/>
    <col min="13315" max="13316" width="13.875" style="2895" customWidth="1"/>
    <col min="13317" max="13317" width="24" style="2895" customWidth="1"/>
    <col min="13318" max="13318" width="7.875" style="2895" customWidth="1"/>
    <col min="13319" max="13319" width="9" style="2895" customWidth="1"/>
    <col min="13320" max="13321" width="10.625" style="2895" customWidth="1"/>
    <col min="13322" max="13322" width="14.375" style="2895" customWidth="1"/>
    <col min="13323" max="13323" width="6.125" style="2895" customWidth="1"/>
    <col min="13324" max="13324" width="29.375" style="2895" customWidth="1"/>
    <col min="13325" max="13325" width="7.875" style="2895" customWidth="1"/>
    <col min="13326" max="13567" width="9" style="2895"/>
    <col min="13568" max="13568" width="44.125" style="2895" customWidth="1"/>
    <col min="13569" max="13569" width="6.125" style="2895" customWidth="1"/>
    <col min="13570" max="13570" width="7.875" style="2895" customWidth="1"/>
    <col min="13571" max="13572" width="13.875" style="2895" customWidth="1"/>
    <col min="13573" max="13573" width="24" style="2895" customWidth="1"/>
    <col min="13574" max="13574" width="7.875" style="2895" customWidth="1"/>
    <col min="13575" max="13575" width="9" style="2895" customWidth="1"/>
    <col min="13576" max="13577" width="10.625" style="2895" customWidth="1"/>
    <col min="13578" max="13578" width="14.375" style="2895" customWidth="1"/>
    <col min="13579" max="13579" width="6.125" style="2895" customWidth="1"/>
    <col min="13580" max="13580" width="29.375" style="2895" customWidth="1"/>
    <col min="13581" max="13581" width="7.875" style="2895" customWidth="1"/>
    <col min="13582" max="13823" width="9" style="2895"/>
    <col min="13824" max="13824" width="44.125" style="2895" customWidth="1"/>
    <col min="13825" max="13825" width="6.125" style="2895" customWidth="1"/>
    <col min="13826" max="13826" width="7.875" style="2895" customWidth="1"/>
    <col min="13827" max="13828" width="13.875" style="2895" customWidth="1"/>
    <col min="13829" max="13829" width="24" style="2895" customWidth="1"/>
    <col min="13830" max="13830" width="7.875" style="2895" customWidth="1"/>
    <col min="13831" max="13831" width="9" style="2895" customWidth="1"/>
    <col min="13832" max="13833" width="10.625" style="2895" customWidth="1"/>
    <col min="13834" max="13834" width="14.375" style="2895" customWidth="1"/>
    <col min="13835" max="13835" width="6.125" style="2895" customWidth="1"/>
    <col min="13836" max="13836" width="29.375" style="2895" customWidth="1"/>
    <col min="13837" max="13837" width="7.875" style="2895" customWidth="1"/>
    <col min="13838" max="14079" width="9" style="2895"/>
    <col min="14080" max="14080" width="44.125" style="2895" customWidth="1"/>
    <col min="14081" max="14081" width="6.125" style="2895" customWidth="1"/>
    <col min="14082" max="14082" width="7.875" style="2895" customWidth="1"/>
    <col min="14083" max="14084" width="13.875" style="2895" customWidth="1"/>
    <col min="14085" max="14085" width="24" style="2895" customWidth="1"/>
    <col min="14086" max="14086" width="7.875" style="2895" customWidth="1"/>
    <col min="14087" max="14087" width="9" style="2895" customWidth="1"/>
    <col min="14088" max="14089" width="10.625" style="2895" customWidth="1"/>
    <col min="14090" max="14090" width="14.375" style="2895" customWidth="1"/>
    <col min="14091" max="14091" width="6.125" style="2895" customWidth="1"/>
    <col min="14092" max="14092" width="29.375" style="2895" customWidth="1"/>
    <col min="14093" max="14093" width="7.875" style="2895" customWidth="1"/>
    <col min="14094" max="14335" width="9" style="2895"/>
    <col min="14336" max="14336" width="44.125" style="2895" customWidth="1"/>
    <col min="14337" max="14337" width="6.125" style="2895" customWidth="1"/>
    <col min="14338" max="14338" width="7.875" style="2895" customWidth="1"/>
    <col min="14339" max="14340" width="13.875" style="2895" customWidth="1"/>
    <col min="14341" max="14341" width="24" style="2895" customWidth="1"/>
    <col min="14342" max="14342" width="7.875" style="2895" customWidth="1"/>
    <col min="14343" max="14343" width="9" style="2895" customWidth="1"/>
    <col min="14344" max="14345" width="10.625" style="2895" customWidth="1"/>
    <col min="14346" max="14346" width="14.375" style="2895" customWidth="1"/>
    <col min="14347" max="14347" width="6.125" style="2895" customWidth="1"/>
    <col min="14348" max="14348" width="29.375" style="2895" customWidth="1"/>
    <col min="14349" max="14349" width="7.875" style="2895" customWidth="1"/>
    <col min="14350" max="14591" width="9" style="2895"/>
    <col min="14592" max="14592" width="44.125" style="2895" customWidth="1"/>
    <col min="14593" max="14593" width="6.125" style="2895" customWidth="1"/>
    <col min="14594" max="14594" width="7.875" style="2895" customWidth="1"/>
    <col min="14595" max="14596" width="13.875" style="2895" customWidth="1"/>
    <col min="14597" max="14597" width="24" style="2895" customWidth="1"/>
    <col min="14598" max="14598" width="7.875" style="2895" customWidth="1"/>
    <col min="14599" max="14599" width="9" style="2895" customWidth="1"/>
    <col min="14600" max="14601" width="10.625" style="2895" customWidth="1"/>
    <col min="14602" max="14602" width="14.375" style="2895" customWidth="1"/>
    <col min="14603" max="14603" width="6.125" style="2895" customWidth="1"/>
    <col min="14604" max="14604" width="29.375" style="2895" customWidth="1"/>
    <col min="14605" max="14605" width="7.875" style="2895" customWidth="1"/>
    <col min="14606" max="14847" width="9" style="2895"/>
    <col min="14848" max="14848" width="44.125" style="2895" customWidth="1"/>
    <col min="14849" max="14849" width="6.125" style="2895" customWidth="1"/>
    <col min="14850" max="14850" width="7.875" style="2895" customWidth="1"/>
    <col min="14851" max="14852" width="13.875" style="2895" customWidth="1"/>
    <col min="14853" max="14853" width="24" style="2895" customWidth="1"/>
    <col min="14854" max="14854" width="7.875" style="2895" customWidth="1"/>
    <col min="14855" max="14855" width="9" style="2895" customWidth="1"/>
    <col min="14856" max="14857" width="10.625" style="2895" customWidth="1"/>
    <col min="14858" max="14858" width="14.375" style="2895" customWidth="1"/>
    <col min="14859" max="14859" width="6.125" style="2895" customWidth="1"/>
    <col min="14860" max="14860" width="29.375" style="2895" customWidth="1"/>
    <col min="14861" max="14861" width="7.875" style="2895" customWidth="1"/>
    <col min="14862" max="15103" width="9" style="2895"/>
    <col min="15104" max="15104" width="44.125" style="2895" customWidth="1"/>
    <col min="15105" max="15105" width="6.125" style="2895" customWidth="1"/>
    <col min="15106" max="15106" width="7.875" style="2895" customWidth="1"/>
    <col min="15107" max="15108" width="13.875" style="2895" customWidth="1"/>
    <col min="15109" max="15109" width="24" style="2895" customWidth="1"/>
    <col min="15110" max="15110" width="7.875" style="2895" customWidth="1"/>
    <col min="15111" max="15111" width="9" style="2895" customWidth="1"/>
    <col min="15112" max="15113" width="10.625" style="2895" customWidth="1"/>
    <col min="15114" max="15114" width="14.375" style="2895" customWidth="1"/>
    <col min="15115" max="15115" width="6.125" style="2895" customWidth="1"/>
    <col min="15116" max="15116" width="29.375" style="2895" customWidth="1"/>
    <col min="15117" max="15117" width="7.875" style="2895" customWidth="1"/>
    <col min="15118" max="15359" width="9" style="2895"/>
    <col min="15360" max="15360" width="44.125" style="2895" customWidth="1"/>
    <col min="15361" max="15361" width="6.125" style="2895" customWidth="1"/>
    <col min="15362" max="15362" width="7.875" style="2895" customWidth="1"/>
    <col min="15363" max="15364" width="13.875" style="2895" customWidth="1"/>
    <col min="15365" max="15365" width="24" style="2895" customWidth="1"/>
    <col min="15366" max="15366" width="7.875" style="2895" customWidth="1"/>
    <col min="15367" max="15367" width="9" style="2895" customWidth="1"/>
    <col min="15368" max="15369" width="10.625" style="2895" customWidth="1"/>
    <col min="15370" max="15370" width="14.375" style="2895" customWidth="1"/>
    <col min="15371" max="15371" width="6.125" style="2895" customWidth="1"/>
    <col min="15372" max="15372" width="29.375" style="2895" customWidth="1"/>
    <col min="15373" max="15373" width="7.875" style="2895" customWidth="1"/>
    <col min="15374" max="15615" width="9" style="2895"/>
    <col min="15616" max="15616" width="44.125" style="2895" customWidth="1"/>
    <col min="15617" max="15617" width="6.125" style="2895" customWidth="1"/>
    <col min="15618" max="15618" width="7.875" style="2895" customWidth="1"/>
    <col min="15619" max="15620" width="13.875" style="2895" customWidth="1"/>
    <col min="15621" max="15621" width="24" style="2895" customWidth="1"/>
    <col min="15622" max="15622" width="7.875" style="2895" customWidth="1"/>
    <col min="15623" max="15623" width="9" style="2895" customWidth="1"/>
    <col min="15624" max="15625" width="10.625" style="2895" customWidth="1"/>
    <col min="15626" max="15626" width="14.375" style="2895" customWidth="1"/>
    <col min="15627" max="15627" width="6.125" style="2895" customWidth="1"/>
    <col min="15628" max="15628" width="29.375" style="2895" customWidth="1"/>
    <col min="15629" max="15629" width="7.875" style="2895" customWidth="1"/>
    <col min="15630" max="15871" width="9" style="2895"/>
    <col min="15872" max="15872" width="44.125" style="2895" customWidth="1"/>
    <col min="15873" max="15873" width="6.125" style="2895" customWidth="1"/>
    <col min="15874" max="15874" width="7.875" style="2895" customWidth="1"/>
    <col min="15875" max="15876" width="13.875" style="2895" customWidth="1"/>
    <col min="15877" max="15877" width="24" style="2895" customWidth="1"/>
    <col min="15878" max="15878" width="7.875" style="2895" customWidth="1"/>
    <col min="15879" max="15879" width="9" style="2895" customWidth="1"/>
    <col min="15880" max="15881" width="10.625" style="2895" customWidth="1"/>
    <col min="15882" max="15882" width="14.375" style="2895" customWidth="1"/>
    <col min="15883" max="15883" width="6.125" style="2895" customWidth="1"/>
    <col min="15884" max="15884" width="29.375" style="2895" customWidth="1"/>
    <col min="15885" max="15885" width="7.875" style="2895" customWidth="1"/>
    <col min="15886" max="16127" width="9" style="2895"/>
    <col min="16128" max="16128" width="44.125" style="2895" customWidth="1"/>
    <col min="16129" max="16129" width="6.125" style="2895" customWidth="1"/>
    <col min="16130" max="16130" width="7.875" style="2895" customWidth="1"/>
    <col min="16131" max="16132" width="13.875" style="2895" customWidth="1"/>
    <col min="16133" max="16133" width="24" style="2895" customWidth="1"/>
    <col min="16134" max="16134" width="7.875" style="2895" customWidth="1"/>
    <col min="16135" max="16135" width="9" style="2895" customWidth="1"/>
    <col min="16136" max="16137" width="10.625" style="2895" customWidth="1"/>
    <col min="16138" max="16138" width="14.375" style="2895" customWidth="1"/>
    <col min="16139" max="16139" width="6.125" style="2895" customWidth="1"/>
    <col min="16140" max="16140" width="29.375" style="2895" customWidth="1"/>
    <col min="16141" max="16141" width="7.875" style="2895" customWidth="1"/>
    <col min="16142" max="16383" width="9" style="2895"/>
    <col min="16384" max="16384" width="9" style="2895" customWidth="1"/>
  </cols>
  <sheetData>
    <row r="1" spans="1:16">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c r="O1" s="3193" t="s">
        <v>3108</v>
      </c>
      <c r="P1" s="3192" t="s">
        <v>3107</v>
      </c>
    </row>
    <row r="2" spans="1:16">
      <c r="A2" s="2895" t="s">
        <v>3012</v>
      </c>
      <c r="B2" s="2895" t="s">
        <v>3013</v>
      </c>
      <c r="C2" s="2895" t="s">
        <v>3014</v>
      </c>
      <c r="D2" s="2895">
        <v>35862.639999999999</v>
      </c>
      <c r="E2" s="2895">
        <v>78897.81</v>
      </c>
      <c r="F2" s="2895" t="s">
        <v>3015</v>
      </c>
      <c r="G2" s="2895" t="s">
        <v>3016</v>
      </c>
      <c r="H2" s="2895" t="s">
        <v>3017</v>
      </c>
      <c r="I2" s="2895">
        <v>1721.41</v>
      </c>
      <c r="J2" s="2895">
        <v>1882.78</v>
      </c>
      <c r="K2" s="2895">
        <v>238.63</v>
      </c>
      <c r="L2" s="2895">
        <v>9.3699999999999992</v>
      </c>
      <c r="M2" s="2895" t="s">
        <v>3018</v>
      </c>
      <c r="N2" s="2895" t="s">
        <v>3019</v>
      </c>
      <c r="O2" s="2895">
        <f>ROUNDDOWN(J2/D2*10000,0)</f>
        <v>524</v>
      </c>
      <c r="P2" s="2895">
        <f>ROUND(J2/(D2/666.67),0)</f>
        <v>35</v>
      </c>
    </row>
    <row r="3" spans="1:16" s="3185" customFormat="1">
      <c r="A3" s="3185" t="s">
        <v>3020</v>
      </c>
      <c r="B3" s="3185" t="s">
        <v>3013</v>
      </c>
      <c r="C3" s="3185" t="s">
        <v>3014</v>
      </c>
      <c r="D3" s="3185">
        <v>108395.02</v>
      </c>
      <c r="E3" s="3185">
        <v>270987.55</v>
      </c>
      <c r="F3" s="3185" t="s">
        <v>3021</v>
      </c>
      <c r="G3" s="3185" t="s">
        <v>3016</v>
      </c>
      <c r="H3" s="3185" t="s">
        <v>3022</v>
      </c>
      <c r="I3" s="3185">
        <v>29266.74</v>
      </c>
      <c r="J3" s="3185">
        <v>29266.74</v>
      </c>
      <c r="K3" s="3185">
        <v>1080</v>
      </c>
      <c r="L3" s="3185">
        <v>0</v>
      </c>
      <c r="M3" s="3185" t="s">
        <v>3023</v>
      </c>
      <c r="N3" s="3185" t="s">
        <v>3024</v>
      </c>
      <c r="O3" s="3185">
        <f t="shared" ref="O3:O16" si="0">ROUNDDOWN(J3/D3*10000,0)</f>
        <v>2700</v>
      </c>
      <c r="P3" s="3185">
        <f t="shared" ref="P3:P16" si="1">ROUND(J3/(D3/666.67),0)</f>
        <v>180</v>
      </c>
    </row>
    <row r="4" spans="1:16">
      <c r="A4" s="2895" t="s">
        <v>3025</v>
      </c>
      <c r="B4" s="2895" t="s">
        <v>3013</v>
      </c>
      <c r="C4" s="2895" t="s">
        <v>3014</v>
      </c>
      <c r="D4" s="2895">
        <v>81683.47</v>
      </c>
      <c r="E4" s="2895">
        <v>204208.68</v>
      </c>
      <c r="F4" s="2895" t="s">
        <v>3021</v>
      </c>
      <c r="G4" s="2895" t="s">
        <v>3016</v>
      </c>
      <c r="H4" s="2895" t="s">
        <v>3022</v>
      </c>
      <c r="I4" s="2895">
        <v>22054.5</v>
      </c>
      <c r="J4" s="2895">
        <v>22054.5</v>
      </c>
      <c r="K4" s="2895">
        <v>1080</v>
      </c>
      <c r="L4" s="2895">
        <v>0</v>
      </c>
      <c r="M4" s="2895" t="s">
        <v>3023</v>
      </c>
      <c r="N4" s="2895" t="s">
        <v>3024</v>
      </c>
      <c r="O4" s="2895">
        <f t="shared" si="0"/>
        <v>2699</v>
      </c>
      <c r="P4" s="2895">
        <f t="shared" si="1"/>
        <v>180</v>
      </c>
    </row>
    <row r="5" spans="1:16">
      <c r="A5" s="2895" t="s">
        <v>3012</v>
      </c>
      <c r="B5" s="2895" t="s">
        <v>3013</v>
      </c>
      <c r="C5" s="2895" t="s">
        <v>3014</v>
      </c>
      <c r="D5" s="2895">
        <v>35862.639999999999</v>
      </c>
      <c r="E5" s="2895">
        <v>78897.81</v>
      </c>
      <c r="F5" s="2895" t="s">
        <v>3015</v>
      </c>
      <c r="G5" s="2895" t="s">
        <v>3016</v>
      </c>
      <c r="H5" s="2895" t="s">
        <v>3026</v>
      </c>
      <c r="I5" s="2895">
        <v>1721.41</v>
      </c>
      <c r="J5" s="2895">
        <v>1882.78</v>
      </c>
      <c r="K5" s="2895">
        <v>238.63</v>
      </c>
      <c r="L5" s="2895">
        <v>9.3699999999999992</v>
      </c>
      <c r="M5" s="2895" t="s">
        <v>3018</v>
      </c>
      <c r="N5" s="2895" t="s">
        <v>3019</v>
      </c>
      <c r="O5" s="2895">
        <f t="shared" si="0"/>
        <v>524</v>
      </c>
      <c r="P5" s="2895">
        <f t="shared" si="1"/>
        <v>35</v>
      </c>
    </row>
    <row r="6" spans="1:16">
      <c r="A6" s="2895" t="s">
        <v>3027</v>
      </c>
      <c r="B6" s="2895" t="s">
        <v>3013</v>
      </c>
      <c r="C6" s="2895" t="s">
        <v>3014</v>
      </c>
      <c r="D6" s="2895">
        <v>52221.99</v>
      </c>
      <c r="E6" s="2895">
        <v>156665.97</v>
      </c>
      <c r="F6" s="2895" t="s">
        <v>3028</v>
      </c>
      <c r="G6" s="2895" t="s">
        <v>3029</v>
      </c>
      <c r="H6" s="2895" t="s">
        <v>3030</v>
      </c>
      <c r="I6" s="2895">
        <v>9399.9500000000007</v>
      </c>
      <c r="J6" s="2895">
        <v>9399.9500000000007</v>
      </c>
      <c r="K6" s="2895">
        <v>600</v>
      </c>
      <c r="L6" s="2895">
        <v>0</v>
      </c>
      <c r="M6" s="2895" t="s">
        <v>3031</v>
      </c>
      <c r="N6" s="2895" t="s">
        <v>3024</v>
      </c>
      <c r="O6" s="2895">
        <f t="shared" si="0"/>
        <v>1799</v>
      </c>
      <c r="P6" s="2895">
        <f t="shared" si="1"/>
        <v>120</v>
      </c>
    </row>
    <row r="7" spans="1:16" s="3185" customFormat="1">
      <c r="A7" s="3185" t="s">
        <v>3032</v>
      </c>
      <c r="B7" s="3185" t="s">
        <v>3013</v>
      </c>
      <c r="C7" s="3185" t="s">
        <v>3014</v>
      </c>
      <c r="D7" s="3185">
        <v>85560.73</v>
      </c>
      <c r="E7" s="3185">
        <v>213901.83</v>
      </c>
      <c r="F7" s="3185" t="s">
        <v>3021</v>
      </c>
      <c r="G7" s="3185" t="s">
        <v>3016</v>
      </c>
      <c r="H7" s="3185" t="s">
        <v>3033</v>
      </c>
      <c r="I7" s="3185">
        <v>23101.38</v>
      </c>
      <c r="J7" s="3185">
        <v>23743.09</v>
      </c>
      <c r="K7" s="3185">
        <v>1110</v>
      </c>
      <c r="L7" s="3185">
        <v>2.78</v>
      </c>
      <c r="M7" s="3185" t="s">
        <v>3034</v>
      </c>
      <c r="N7" s="3185" t="s">
        <v>3024</v>
      </c>
      <c r="O7" s="3185">
        <f t="shared" si="0"/>
        <v>2774</v>
      </c>
      <c r="P7" s="3185">
        <f t="shared" si="1"/>
        <v>185</v>
      </c>
    </row>
    <row r="8" spans="1:16" s="3185" customFormat="1">
      <c r="A8" s="3185" t="s">
        <v>3035</v>
      </c>
      <c r="B8" s="3185" t="s">
        <v>3013</v>
      </c>
      <c r="C8" s="3185" t="s">
        <v>3014</v>
      </c>
      <c r="D8" s="3185">
        <v>65749.279999999999</v>
      </c>
      <c r="E8" s="3185">
        <v>164373.20000000001</v>
      </c>
      <c r="F8" s="3185" t="s">
        <v>3021</v>
      </c>
      <c r="G8" s="3185" t="s">
        <v>3016</v>
      </c>
      <c r="H8" s="3185" t="s">
        <v>3033</v>
      </c>
      <c r="I8" s="3185">
        <v>17752.310000000001</v>
      </c>
      <c r="J8" s="3185">
        <v>18245.43</v>
      </c>
      <c r="K8" s="3185">
        <v>1110</v>
      </c>
      <c r="L8" s="3185">
        <v>2.78</v>
      </c>
      <c r="M8" s="3185" t="s">
        <v>3034</v>
      </c>
      <c r="N8" s="3185" t="s">
        <v>3024</v>
      </c>
      <c r="O8" s="3185">
        <f t="shared" si="0"/>
        <v>2775</v>
      </c>
      <c r="P8" s="3185">
        <f t="shared" si="1"/>
        <v>185</v>
      </c>
    </row>
    <row r="9" spans="1:16">
      <c r="A9" s="2895" t="s">
        <v>3036</v>
      </c>
      <c r="B9" s="2895" t="s">
        <v>3013</v>
      </c>
      <c r="C9" s="2895" t="s">
        <v>3014</v>
      </c>
      <c r="D9" s="2895">
        <v>24562.79</v>
      </c>
      <c r="E9" s="2895">
        <v>49125.58</v>
      </c>
      <c r="F9" s="2895" t="s">
        <v>3037</v>
      </c>
      <c r="G9" s="2895" t="s">
        <v>3016</v>
      </c>
      <c r="H9" s="2895" t="s">
        <v>3038</v>
      </c>
      <c r="I9" s="2895">
        <v>1510.59</v>
      </c>
      <c r="J9" s="2895">
        <v>1510.59</v>
      </c>
      <c r="K9" s="2895">
        <v>307.5</v>
      </c>
      <c r="L9" s="2895">
        <v>0</v>
      </c>
      <c r="M9" s="2895" t="s">
        <v>3039</v>
      </c>
      <c r="N9" s="2895" t="s">
        <v>3024</v>
      </c>
      <c r="O9" s="2895">
        <f t="shared" si="0"/>
        <v>614</v>
      </c>
      <c r="P9" s="2895">
        <f t="shared" si="1"/>
        <v>41</v>
      </c>
    </row>
    <row r="10" spans="1:16">
      <c r="A10" s="2895" t="s">
        <v>3040</v>
      </c>
      <c r="B10" s="2895" t="s">
        <v>3013</v>
      </c>
      <c r="C10" s="2895" t="s">
        <v>3014</v>
      </c>
      <c r="D10" s="2895">
        <v>91011.66</v>
      </c>
      <c r="E10" s="2895">
        <v>227529.15</v>
      </c>
      <c r="F10" s="2895" t="s">
        <v>3021</v>
      </c>
      <c r="G10" s="2895" t="s">
        <v>3016</v>
      </c>
      <c r="H10" s="2895" t="s">
        <v>3038</v>
      </c>
      <c r="I10" s="2895">
        <v>5460.72</v>
      </c>
      <c r="J10" s="2895">
        <v>6143.31</v>
      </c>
      <c r="K10" s="2895">
        <v>270</v>
      </c>
      <c r="L10" s="2895">
        <v>12.5</v>
      </c>
      <c r="M10" s="2895" t="s">
        <v>3041</v>
      </c>
      <c r="N10" s="2895" t="s">
        <v>3042</v>
      </c>
      <c r="O10" s="2895">
        <f t="shared" si="0"/>
        <v>675</v>
      </c>
      <c r="P10" s="2895">
        <f t="shared" si="1"/>
        <v>45</v>
      </c>
    </row>
    <row r="11" spans="1:16">
      <c r="A11" s="2895" t="s">
        <v>3043</v>
      </c>
      <c r="B11" s="2895" t="s">
        <v>3013</v>
      </c>
      <c r="C11" s="2895" t="s">
        <v>3014</v>
      </c>
      <c r="D11" s="2895">
        <v>48493.91</v>
      </c>
      <c r="E11" s="2895">
        <v>218222.6</v>
      </c>
      <c r="F11" s="2895" t="s">
        <v>3044</v>
      </c>
      <c r="G11" s="2895" t="s">
        <v>3016</v>
      </c>
      <c r="H11" s="2895" t="s">
        <v>3045</v>
      </c>
      <c r="I11" s="2895">
        <v>6255.72</v>
      </c>
      <c r="J11" s="2895">
        <v>6255.72</v>
      </c>
      <c r="K11" s="2895">
        <v>286.67</v>
      </c>
      <c r="L11" s="2895">
        <v>0</v>
      </c>
      <c r="M11" s="2895" t="s">
        <v>3046</v>
      </c>
      <c r="N11" s="2895" t="s">
        <v>3024</v>
      </c>
      <c r="O11" s="2895">
        <f t="shared" si="0"/>
        <v>1290</v>
      </c>
      <c r="P11" s="2895">
        <f t="shared" si="1"/>
        <v>86</v>
      </c>
    </row>
    <row r="12" spans="1:16">
      <c r="A12" s="2895" t="s">
        <v>3047</v>
      </c>
      <c r="B12" s="2895" t="s">
        <v>3013</v>
      </c>
      <c r="C12" s="2895" t="s">
        <v>3014</v>
      </c>
      <c r="D12" s="2895">
        <v>50232.46</v>
      </c>
      <c r="E12" s="2895">
        <v>215999.58</v>
      </c>
      <c r="F12" s="2895" t="s">
        <v>3048</v>
      </c>
      <c r="G12" s="2895" t="s">
        <v>3016</v>
      </c>
      <c r="H12" s="2895" t="s">
        <v>3049</v>
      </c>
      <c r="I12" s="2895">
        <v>6178.61</v>
      </c>
      <c r="J12" s="2895">
        <v>6329.31</v>
      </c>
      <c r="K12" s="2895">
        <v>293.01</v>
      </c>
      <c r="L12" s="2895">
        <v>2.44</v>
      </c>
      <c r="M12" s="2895" t="s">
        <v>3046</v>
      </c>
      <c r="N12" s="2895" t="s">
        <v>3024</v>
      </c>
      <c r="O12" s="2895">
        <f t="shared" si="0"/>
        <v>1260</v>
      </c>
      <c r="P12" s="2895">
        <f t="shared" si="1"/>
        <v>84</v>
      </c>
    </row>
    <row r="13" spans="1:16">
      <c r="A13" s="2895" t="s">
        <v>3050</v>
      </c>
      <c r="B13" s="2895" t="s">
        <v>3013</v>
      </c>
      <c r="C13" s="2895" t="s">
        <v>3014</v>
      </c>
      <c r="D13" s="2895">
        <v>73412.84</v>
      </c>
      <c r="E13" s="2895">
        <v>183532.1</v>
      </c>
      <c r="F13" s="2895" t="s">
        <v>3021</v>
      </c>
      <c r="G13" s="2895" t="s">
        <v>3016</v>
      </c>
      <c r="H13" s="2895" t="s">
        <v>3051</v>
      </c>
      <c r="I13" s="2895">
        <v>7928.64</v>
      </c>
      <c r="J13" s="2895">
        <v>9910.7900000000009</v>
      </c>
      <c r="K13" s="2895">
        <v>540</v>
      </c>
      <c r="L13" s="2895">
        <v>25</v>
      </c>
      <c r="M13" s="2895" t="s">
        <v>3052</v>
      </c>
      <c r="N13" s="2895" t="s">
        <v>3024</v>
      </c>
      <c r="O13" s="2895">
        <f t="shared" si="0"/>
        <v>1350</v>
      </c>
      <c r="P13" s="2895">
        <f t="shared" si="1"/>
        <v>90</v>
      </c>
    </row>
    <row r="14" spans="1:16">
      <c r="A14" s="2895" t="s">
        <v>3053</v>
      </c>
      <c r="B14" s="2895" t="s">
        <v>3013</v>
      </c>
      <c r="C14" s="2895" t="s">
        <v>3014</v>
      </c>
      <c r="D14" s="2895">
        <v>14766.34</v>
      </c>
      <c r="E14" s="2895">
        <v>36915.85</v>
      </c>
      <c r="F14" s="2895" t="s">
        <v>3021</v>
      </c>
      <c r="G14" s="2895" t="s">
        <v>3016</v>
      </c>
      <c r="H14" s="2895" t="s">
        <v>3054</v>
      </c>
      <c r="I14" s="2895">
        <v>1439.75</v>
      </c>
      <c r="J14" s="2895">
        <v>1439.75</v>
      </c>
      <c r="K14" s="2895">
        <v>390</v>
      </c>
      <c r="L14" s="2895">
        <v>0</v>
      </c>
      <c r="M14" s="2895" t="s">
        <v>3055</v>
      </c>
      <c r="N14" s="2895" t="s">
        <v>3019</v>
      </c>
      <c r="O14" s="2895">
        <f t="shared" si="0"/>
        <v>975</v>
      </c>
      <c r="P14" s="2895">
        <f t="shared" si="1"/>
        <v>65</v>
      </c>
    </row>
    <row r="15" spans="1:16">
      <c r="A15" s="2895" t="s">
        <v>3056</v>
      </c>
      <c r="B15" s="2895" t="s">
        <v>3013</v>
      </c>
      <c r="C15" s="2895" t="s">
        <v>3014</v>
      </c>
      <c r="D15" s="2895">
        <v>47069.22</v>
      </c>
      <c r="E15" s="2895">
        <v>164742.26999999999</v>
      </c>
      <c r="F15" s="2895" t="s">
        <v>3057</v>
      </c>
      <c r="G15" s="2895" t="s">
        <v>3016</v>
      </c>
      <c r="H15" s="2895" t="s">
        <v>3058</v>
      </c>
      <c r="I15" s="2895">
        <v>7766.43</v>
      </c>
      <c r="J15" s="2895">
        <v>7766.43</v>
      </c>
      <c r="K15" s="2895">
        <v>471.43</v>
      </c>
      <c r="L15" s="2895">
        <v>0</v>
      </c>
      <c r="M15" s="2895" t="s">
        <v>3059</v>
      </c>
      <c r="N15" s="2895" t="s">
        <v>3024</v>
      </c>
      <c r="O15" s="2895">
        <f t="shared" si="0"/>
        <v>1650</v>
      </c>
      <c r="P15" s="2895">
        <f t="shared" si="1"/>
        <v>110</v>
      </c>
    </row>
    <row r="16" spans="1:16">
      <c r="A16" s="2895" t="s">
        <v>3060</v>
      </c>
      <c r="B16" s="2895" t="s">
        <v>3013</v>
      </c>
      <c r="C16" s="2895" t="s">
        <v>3014</v>
      </c>
      <c r="D16" s="2895">
        <v>75526.710000000006</v>
      </c>
      <c r="E16" s="2895">
        <v>302106.84000000003</v>
      </c>
      <c r="F16" s="2895" t="s">
        <v>3061</v>
      </c>
      <c r="G16" s="2895" t="s">
        <v>3016</v>
      </c>
      <c r="H16" s="2895" t="s">
        <v>3062</v>
      </c>
      <c r="I16" s="2895">
        <v>9063.2000000000007</v>
      </c>
      <c r="J16" s="2895">
        <v>9063.2000000000007</v>
      </c>
      <c r="K16" s="2895">
        <v>300</v>
      </c>
      <c r="L16" s="2895">
        <v>0</v>
      </c>
      <c r="M16" s="2895" t="s">
        <v>3063</v>
      </c>
      <c r="N16" s="2895" t="s">
        <v>3024</v>
      </c>
      <c r="O16" s="2895">
        <f t="shared" si="0"/>
        <v>1199</v>
      </c>
      <c r="P16" s="2895">
        <f t="shared" si="1"/>
        <v>80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41" customWidth="1"/>
    <col min="2" max="2" width="10.62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7" t="str">
        <f>项目基本情况!B1</f>
        <v>出让国有建设用地使用权抵押价格预评估</v>
      </c>
      <c r="C37" s="3207"/>
      <c r="D37" s="3207"/>
      <c r="E37" s="3207"/>
      <c r="F37" s="3207"/>
      <c r="G37" s="3207"/>
      <c r="H37" s="3207"/>
      <c r="I37" s="3207"/>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L18" sqref="L18"/>
    </sheetView>
  </sheetViews>
  <sheetFormatPr defaultColWidth="6.625" defaultRowHeight="12.75"/>
  <cols>
    <col min="1" max="1" width="9.625" style="2110" customWidth="1"/>
    <col min="2" max="2" width="25.62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6343</v>
      </c>
      <c r="C2" s="2090"/>
      <c r="D2" s="2090"/>
      <c r="E2" s="2090"/>
      <c r="F2" s="2090"/>
      <c r="G2" s="2090"/>
      <c r="H2" s="2090"/>
      <c r="I2" s="2090"/>
      <c r="J2" s="2090"/>
      <c r="K2" s="2090"/>
    </row>
    <row r="3" spans="1:31" s="2027" customFormat="1" ht="18" customHeight="1">
      <c r="A3" s="2092" t="s">
        <v>1684</v>
      </c>
      <c r="B3" s="2093">
        <f ca="1">ROUND(B2*10000/IF(B1="",'数据-汇总表'!E3,INDIRECT("'数据-取费表'!K"&amp;$K$1)),0)</f>
        <v>1063</v>
      </c>
      <c r="C3" s="2090"/>
      <c r="D3" s="2090"/>
      <c r="E3" s="2090"/>
      <c r="F3" s="2090"/>
      <c r="G3" s="2090"/>
      <c r="H3" s="2090"/>
      <c r="I3" s="2090"/>
      <c r="J3" s="2090"/>
      <c r="K3" s="2090"/>
    </row>
    <row r="4" spans="1:31" s="2027" customFormat="1" ht="18" customHeight="1">
      <c r="A4" s="426" t="s">
        <v>468</v>
      </c>
      <c r="B4" s="427">
        <f ca="1">ROUND(B2*10000/IF(B1="",'数据-汇总表'!D3,INDIRECT("'数据-取费表'!R"&amp;$K$1)),0)</f>
        <v>2656</v>
      </c>
      <c r="C4" s="428"/>
      <c r="D4" s="422"/>
      <c r="E4" s="422"/>
      <c r="F4" s="422"/>
      <c r="G4" s="422"/>
      <c r="H4" s="422"/>
      <c r="I4" s="422"/>
      <c r="J4" s="422"/>
      <c r="K4" s="422"/>
    </row>
    <row r="5" spans="1:31" s="2027" customFormat="1" ht="18" customHeight="1" thickBot="1">
      <c r="A5" s="429"/>
      <c r="B5" s="430">
        <f ca="1">ROUND(B2/(IF(B1="",'数据-汇总表'!D3,INDIRECT("'数据-取费表'!R"&amp;$K$1))/666.67),0)</f>
        <v>177</v>
      </c>
      <c r="C5" s="431" t="s">
        <v>469</v>
      </c>
      <c r="D5" s="422"/>
      <c r="E5" s="422"/>
      <c r="F5" s="422"/>
      <c r="G5" s="422"/>
      <c r="H5" s="422"/>
      <c r="I5" s="422"/>
      <c r="J5" s="422"/>
      <c r="K5" s="422"/>
    </row>
    <row r="6" spans="1:31" s="2097" customFormat="1" ht="16.5" customHeight="1">
      <c r="A6" s="2784" t="s">
        <v>1842</v>
      </c>
      <c r="B6" s="2785"/>
      <c r="C6" s="2786">
        <f ca="1">SUM(C10:K10)</f>
        <v>28656</v>
      </c>
      <c r="D6" s="2785"/>
      <c r="E6" s="2785"/>
      <c r="F6" s="2785"/>
      <c r="G6" s="2785"/>
      <c r="H6" s="2785"/>
      <c r="I6" s="2785"/>
      <c r="J6" s="2785"/>
      <c r="K6" s="2787"/>
    </row>
    <row r="7" spans="1:31" s="2099" customFormat="1" ht="15">
      <c r="A7" s="2788" t="s">
        <v>470</v>
      </c>
      <c r="B7" s="2789" t="s">
        <v>471</v>
      </c>
      <c r="C7" s="436" t="s">
        <v>923</v>
      </c>
      <c r="D7" s="436" t="s">
        <v>3068</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4375</v>
      </c>
      <c r="D8" s="2790">
        <f ca="1">不动产收益法!B3</f>
        <v>5793</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41786.54</v>
      </c>
      <c r="D9" s="441">
        <f>SUMIF('数据-汇总表'!$C19:$C33,'剩余法-待开发'!D7,'数据-汇总表'!$E19:$E33)</f>
        <v>17908.52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18282</v>
      </c>
      <c r="D10" s="2982">
        <f ca="1">不动产收益法!B2</f>
        <v>10374</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11104</v>
      </c>
      <c r="D13" s="2800"/>
      <c r="E13" s="2801"/>
      <c r="F13" s="2802"/>
      <c r="G13" s="2768"/>
      <c r="H13" s="2769"/>
      <c r="I13" s="2769"/>
      <c r="J13" s="2769"/>
      <c r="K13" s="2770"/>
    </row>
    <row r="14" spans="1:31" s="2102" customFormat="1" ht="13.5" customHeight="1">
      <c r="A14" s="2798" t="s">
        <v>1849</v>
      </c>
      <c r="B14" s="2799" t="s">
        <v>480</v>
      </c>
      <c r="C14" s="53">
        <f ca="1">ROUND(C13*F14,0)</f>
        <v>555</v>
      </c>
      <c r="D14" s="2800"/>
      <c r="E14" s="2801"/>
      <c r="F14" s="2803">
        <f>'数据-取费表'!B33</f>
        <v>0.05</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752</v>
      </c>
      <c r="D15" s="2800"/>
      <c r="E15" s="2801"/>
      <c r="F15" s="2803">
        <f>'数据-取费表'!B34</f>
        <v>0.1</v>
      </c>
      <c r="G15" s="2768" t="s">
        <v>483</v>
      </c>
      <c r="H15" s="2769"/>
      <c r="I15" s="2769"/>
      <c r="J15" s="2769"/>
      <c r="K15" s="2770"/>
    </row>
    <row r="16" spans="1:31" s="2103" customFormat="1" ht="13.5" customHeight="1">
      <c r="A16" s="2798" t="s">
        <v>1851</v>
      </c>
      <c r="B16" s="2799" t="s">
        <v>484</v>
      </c>
      <c r="C16" s="53">
        <f ca="1">ROUND(D16*E16/10000,0)</f>
        <v>1194</v>
      </c>
      <c r="D16" s="2800">
        <f ca="1">IF(B1="",'数据-汇总表'!E3,INDIRECT("'数据-取费表'!K"&amp;$K$1)+INDIRECT("'数据-取费表'!S"&amp;$K$1))</f>
        <v>59695.06</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167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13772</v>
      </c>
      <c r="D18" s="2809"/>
      <c r="E18" s="468"/>
      <c r="F18" s="468"/>
      <c r="G18" s="2772" t="s">
        <v>2430</v>
      </c>
      <c r="H18" s="2773"/>
      <c r="I18" s="2773"/>
      <c r="J18" s="2773"/>
      <c r="K18" s="2774"/>
    </row>
    <row r="19" spans="1:14" s="2102" customFormat="1" ht="13.5" customHeight="1">
      <c r="A19" s="2806" t="s">
        <v>1854</v>
      </c>
      <c r="B19" s="2807" t="s">
        <v>488</v>
      </c>
      <c r="C19" s="2764">
        <f ca="1">ROUND(D19*E19/10000,0)</f>
        <v>597</v>
      </c>
      <c r="D19" s="2810">
        <f ca="1">D16</f>
        <v>59695.06</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113</v>
      </c>
      <c r="D20" s="2810"/>
      <c r="E20" s="2764"/>
      <c r="F20" s="2811"/>
      <c r="G20" s="3041"/>
      <c r="H20" s="2766"/>
      <c r="I20" s="2767" t="s">
        <v>2651</v>
      </c>
      <c r="J20" s="2773"/>
      <c r="K20" s="2774"/>
    </row>
    <row r="21" spans="1:14" s="2102" customFormat="1" ht="13.5" customHeight="1">
      <c r="A21" s="2798" t="s">
        <v>1856</v>
      </c>
      <c r="B21" s="2799" t="s">
        <v>491</v>
      </c>
      <c r="C21" s="53">
        <f ca="1">ROUND(D21*E21/10000,0)</f>
        <v>79</v>
      </c>
      <c r="D21" s="2800">
        <f ca="1">IF(B1="",'数据-汇总表'!E5,IF(INDIRECT("'数据-取费表'!c"&amp;$K$1)="住宅",INDIRECT("'数据-取费表'!k"&amp;$K$1),0))</f>
        <v>41786.54</v>
      </c>
      <c r="E21" s="53">
        <f>'数据-取费表'!B27</f>
        <v>19</v>
      </c>
      <c r="F21" s="2803"/>
      <c r="G21" s="26"/>
      <c r="H21" s="51"/>
      <c r="I21" s="51"/>
      <c r="J21" s="51"/>
      <c r="K21" s="2775"/>
    </row>
    <row r="22" spans="1:14" s="2102" customFormat="1" ht="13.5" customHeight="1">
      <c r="A22" s="2798" t="s">
        <v>1857</v>
      </c>
      <c r="B22" s="2799" t="s">
        <v>492</v>
      </c>
      <c r="C22" s="53">
        <f ca="1">ROUND(D22*E22/10000,0)</f>
        <v>34</v>
      </c>
      <c r="D22" s="2800">
        <f ca="1">IF(B1="",'数据-汇总表'!E6,IF(INDIRECT("'数据-取费表'!c"&amp;$K$1)="住宅",INDIRECT("'数据-取费表'!s"&amp;$K$1),INDIRECT("'数据-取费表'!k"&amp;$K$1)+INDIRECT("'数据-取费表'!s"&amp;$K$1)))</f>
        <v>17908.519999999997</v>
      </c>
      <c r="E22" s="53">
        <f>'数据-取费表'!B28</f>
        <v>19</v>
      </c>
      <c r="F22" s="2803"/>
      <c r="G22" s="26"/>
      <c r="H22" s="51"/>
      <c r="I22" s="51"/>
      <c r="J22" s="51"/>
      <c r="K22" s="2775"/>
    </row>
    <row r="23" spans="1:14" s="2102" customFormat="1" ht="13.5" customHeight="1">
      <c r="A23" s="2806" t="s">
        <v>1858</v>
      </c>
      <c r="B23" s="2988" t="s">
        <v>2834</v>
      </c>
      <c r="C23" s="2808">
        <f ca="1">ROUND((C18+C19+C20)*F23,0)</f>
        <v>290</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716</v>
      </c>
      <c r="D24" s="475"/>
      <c r="E24" s="473"/>
      <c r="F24" s="2812">
        <f>'数据-取费表'!B38</f>
        <v>2.5000000000000001E-2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736</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736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1528</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17752</v>
      </c>
      <c r="D30" s="477">
        <f ca="1">C32</f>
        <v>0.12909999999999999</v>
      </c>
      <c r="E30" s="469" t="s">
        <v>495</v>
      </c>
      <c r="F30" s="471"/>
      <c r="G30" s="2776" t="s">
        <v>2973</v>
      </c>
      <c r="H30" s="2769"/>
      <c r="I30" s="2769"/>
      <c r="J30" s="2769"/>
      <c r="K30" s="2770"/>
    </row>
    <row r="31" spans="1:14" s="2106" customFormat="1" ht="13.5" customHeight="1">
      <c r="A31" s="803" t="s">
        <v>1856</v>
      </c>
      <c r="B31" s="2814"/>
      <c r="C31" s="450">
        <f ca="1">C18+C19+C20+C23+C24+C26+C29</f>
        <v>17752</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2633</v>
      </c>
      <c r="D33" s="467">
        <f ca="1">C34</f>
        <v>0.1749</v>
      </c>
      <c r="E33" s="469" t="s">
        <v>495</v>
      </c>
      <c r="F33" s="479">
        <f ca="1">IF(B1="",'数据-取费表'!Q16,INDIRECT("'数据-取费表'!q"&amp;$K$1))</f>
        <v>0.17</v>
      </c>
      <c r="G33" s="2772"/>
      <c r="H33" s="2773"/>
      <c r="I33" s="2773"/>
      <c r="J33" s="2773"/>
      <c r="K33" s="2774"/>
    </row>
    <row r="34" spans="1:11" s="2109" customFormat="1" ht="13.5" customHeight="1">
      <c r="A34" s="375" t="s">
        <v>1856</v>
      </c>
      <c r="B34" s="2819" t="s">
        <v>501</v>
      </c>
      <c r="C34" s="472">
        <f ca="1">ROUND((1+C25)*F33,4)</f>
        <v>0.1749</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2633</v>
      </c>
      <c r="D35" s="1615"/>
      <c r="E35" s="2820"/>
      <c r="F35" s="1616"/>
      <c r="G35" s="2778"/>
      <c r="H35" s="2779"/>
      <c r="I35" s="2779"/>
      <c r="J35" s="2779"/>
      <c r="K35" s="2780"/>
    </row>
    <row r="36" spans="1:11" s="2071" customFormat="1" ht="13.5" customHeight="1" thickBot="1">
      <c r="A36" s="284" t="s">
        <v>1844</v>
      </c>
      <c r="B36" s="2782"/>
      <c r="C36" s="2821">
        <f ca="1">ROUND((C6-C30-C33)/(1+D30+D33),0)</f>
        <v>6343</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62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11104</v>
      </c>
      <c r="D13" s="451"/>
      <c r="E13" s="365"/>
      <c r="F13" s="452"/>
      <c r="G13" s="444"/>
      <c r="H13" s="447"/>
      <c r="I13" s="447"/>
      <c r="J13" s="447"/>
      <c r="K13" s="448"/>
    </row>
    <row r="14" spans="1:41" s="2102" customFormat="1" ht="13.5" customHeight="1">
      <c r="A14" s="1619" t="s">
        <v>1849</v>
      </c>
      <c r="B14" s="449" t="s">
        <v>480</v>
      </c>
      <c r="C14" s="53">
        <f ca="1">ROUND(C13*F14,0)</f>
        <v>555</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752</v>
      </c>
      <c r="D15" s="451"/>
      <c r="E15" s="365"/>
      <c r="F15" s="453">
        <f>'数据-取费表'!B34</f>
        <v>0.1</v>
      </c>
      <c r="G15" s="444" t="s">
        <v>502</v>
      </c>
      <c r="H15" s="447"/>
      <c r="I15" s="447"/>
      <c r="J15" s="447"/>
      <c r="K15" s="448"/>
    </row>
    <row r="16" spans="1:41" s="2103" customFormat="1" ht="13.5" customHeight="1">
      <c r="A16" s="1619" t="s">
        <v>1851</v>
      </c>
      <c r="B16" s="449" t="s">
        <v>484</v>
      </c>
      <c r="C16" s="53">
        <f ca="1">ROUND(D16*E16/10000,0)</f>
        <v>1194</v>
      </c>
      <c r="D16" s="451">
        <f ca="1">IF(B1="",'数据-汇总表'!E3,INDIRECT("'数据-取费表'!K"&amp;$K$1)+INDIRECT("'数据-取费表'!S"&amp;$K$1))</f>
        <v>59695.06</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167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13772</v>
      </c>
      <c r="D18" s="461"/>
      <c r="E18" s="462"/>
      <c r="F18" s="462"/>
      <c r="G18" s="1323" t="s">
        <v>2432</v>
      </c>
      <c r="H18" s="447"/>
      <c r="I18" s="447"/>
      <c r="J18" s="447"/>
      <c r="K18" s="448"/>
    </row>
    <row r="19" spans="1:14" s="2105" customFormat="1" ht="13.5" customHeight="1">
      <c r="A19" s="1620" t="s">
        <v>1854</v>
      </c>
      <c r="B19" s="459" t="s">
        <v>493</v>
      </c>
      <c r="C19" s="460">
        <f ca="1">ROUND(C18*F19,0)</f>
        <v>275</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2.5000000000000001E-2</v>
      </c>
      <c r="D20" s="469" t="s">
        <v>505</v>
      </c>
      <c r="E20" s="469"/>
      <c r="F20" s="486">
        <f>'数据-取费表'!B38</f>
        <v>2.5000000000000001E-2</v>
      </c>
      <c r="G20" s="1323" t="s">
        <v>506</v>
      </c>
      <c r="H20" s="447"/>
      <c r="I20" s="447"/>
      <c r="J20" s="447"/>
      <c r="K20" s="448"/>
      <c r="L20" s="2107"/>
      <c r="M20" s="2107"/>
      <c r="N20" s="2107"/>
    </row>
    <row r="21" spans="1:14" s="2107" customFormat="1" ht="13.5" customHeight="1">
      <c r="A21" s="1620" t="s">
        <v>1858</v>
      </c>
      <c r="B21" s="461" t="s">
        <v>494</v>
      </c>
      <c r="C21" s="470">
        <f ca="1">C22</f>
        <v>667</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667</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1.1999999999999999E-3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2388</v>
      </c>
      <c r="D24" s="489">
        <f ca="1">C26</f>
        <v>4.3E-3</v>
      </c>
      <c r="E24" s="469" t="s">
        <v>507</v>
      </c>
      <c r="F24" s="479">
        <f ca="1">IF(B1="",'数据-取费表'!Q16,INDIRECT("'数据-取费表'!q"&amp;$K$1))</f>
        <v>0.17</v>
      </c>
      <c r="G24" s="444"/>
      <c r="H24" s="447"/>
      <c r="I24" s="447"/>
      <c r="J24" s="447"/>
      <c r="K24" s="448"/>
    </row>
    <row r="25" spans="1:14" s="2106" customFormat="1" ht="13.5" customHeight="1">
      <c r="A25" s="1619" t="s">
        <v>1848</v>
      </c>
      <c r="B25" s="1324" t="s">
        <v>2436</v>
      </c>
      <c r="C25" s="490">
        <f ca="1">ROUND((C18+C19)*F24,0)</f>
        <v>2388</v>
      </c>
      <c r="D25" s="472"/>
      <c r="E25" s="473"/>
      <c r="F25" s="480"/>
      <c r="G25" s="1322" t="s">
        <v>2433</v>
      </c>
      <c r="H25" s="457"/>
      <c r="I25" s="457"/>
      <c r="J25" s="457"/>
      <c r="K25" s="458"/>
    </row>
    <row r="26" spans="1:14" s="2106" customFormat="1" ht="13.5" customHeight="1">
      <c r="A26" s="1619" t="s">
        <v>1849</v>
      </c>
      <c r="B26" s="1324" t="s">
        <v>509</v>
      </c>
      <c r="C26" s="491">
        <f ca="1">ROUND(F20*F24,4)</f>
        <v>4.3E-3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18666</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1" t="s">
        <v>522</v>
      </c>
      <c r="D6" s="3382"/>
      <c r="E6" s="3415" t="s">
        <v>523</v>
      </c>
      <c r="F6" s="3416"/>
      <c r="G6" s="3381" t="s">
        <v>524</v>
      </c>
      <c r="H6" s="3382"/>
      <c r="I6" s="3381" t="s">
        <v>525</v>
      </c>
      <c r="J6" s="3382"/>
      <c r="K6" s="514" t="s">
        <v>526</v>
      </c>
      <c r="L6" s="2119"/>
      <c r="M6" s="2120"/>
      <c r="N6" s="2120"/>
      <c r="O6" s="2120"/>
      <c r="P6" s="3383" t="s">
        <v>527</v>
      </c>
      <c r="Q6" s="3384"/>
      <c r="R6" s="3389" t="s">
        <v>523</v>
      </c>
      <c r="S6" s="3390"/>
      <c r="T6" s="3389" t="s">
        <v>524</v>
      </c>
      <c r="U6" s="3390"/>
      <c r="V6" s="3376" t="s">
        <v>525</v>
      </c>
      <c r="W6" s="3376"/>
      <c r="X6" s="1554"/>
      <c r="Y6" s="3389" t="s">
        <v>527</v>
      </c>
      <c r="Z6" s="3390"/>
      <c r="AA6" s="3378" t="s">
        <v>523</v>
      </c>
      <c r="AB6" s="3379" t="s">
        <v>524</v>
      </c>
      <c r="AC6" s="3378" t="s">
        <v>525</v>
      </c>
    </row>
    <row r="7" spans="1:29" ht="15">
      <c r="A7" s="515"/>
      <c r="B7" s="516"/>
      <c r="C7" s="3397" t="s">
        <v>2931</v>
      </c>
      <c r="D7" s="3398"/>
      <c r="E7" s="3417" t="s">
        <v>2932</v>
      </c>
      <c r="F7" s="3418"/>
      <c r="G7" s="3397" t="s">
        <v>2933</v>
      </c>
      <c r="H7" s="3398"/>
      <c r="I7" s="3397" t="s">
        <v>2934</v>
      </c>
      <c r="J7" s="3398"/>
      <c r="K7" s="514"/>
      <c r="L7" s="2119"/>
      <c r="M7" s="2120"/>
      <c r="N7" s="2120"/>
      <c r="O7" s="2120"/>
      <c r="P7" s="3385"/>
      <c r="Q7" s="3386"/>
      <c r="R7" s="3391"/>
      <c r="S7" s="3392"/>
      <c r="T7" s="3391"/>
      <c r="U7" s="3392"/>
      <c r="V7" s="3376"/>
      <c r="W7" s="3376"/>
      <c r="X7" s="1554"/>
      <c r="Y7" s="3391"/>
      <c r="Z7" s="3392"/>
      <c r="AA7" s="3379"/>
      <c r="AB7" s="3379"/>
      <c r="AC7" s="3379"/>
    </row>
    <row r="8" spans="1:29" ht="15.75" thickBot="1">
      <c r="A8" s="517"/>
      <c r="B8" s="518"/>
      <c r="C8" s="3395" t="s">
        <v>2935</v>
      </c>
      <c r="D8" s="3396"/>
      <c r="E8" s="3413" t="s">
        <v>2935</v>
      </c>
      <c r="F8" s="3414"/>
      <c r="G8" s="3395" t="s">
        <v>2935</v>
      </c>
      <c r="H8" s="3396"/>
      <c r="I8" s="3395" t="s">
        <v>2935</v>
      </c>
      <c r="J8" s="3396"/>
      <c r="K8" s="514" t="s">
        <v>528</v>
      </c>
      <c r="L8" s="2119"/>
      <c r="M8" s="2120"/>
      <c r="N8" s="2120"/>
      <c r="O8" s="2120"/>
      <c r="P8" s="3387"/>
      <c r="Q8" s="3388"/>
      <c r="R8" s="3391"/>
      <c r="S8" s="3392"/>
      <c r="T8" s="3393"/>
      <c r="U8" s="3394"/>
      <c r="V8" s="3376"/>
      <c r="W8" s="3376"/>
      <c r="X8" s="1554"/>
      <c r="Y8" s="3393"/>
      <c r="Z8" s="3394"/>
      <c r="AA8" s="3380"/>
      <c r="AB8" s="3380"/>
      <c r="AC8" s="3380"/>
    </row>
    <row r="9" spans="1:29" s="1216" customFormat="1" ht="15.75" thickBot="1">
      <c r="A9" s="2868"/>
      <c r="B9" s="2875" t="s">
        <v>529</v>
      </c>
      <c r="C9" s="519">
        <f>'数据-取费表'!B2</f>
        <v>43712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6" t="s">
        <v>530</v>
      </c>
      <c r="Q9" s="3408"/>
      <c r="R9" s="1555" t="s">
        <v>8</v>
      </c>
      <c r="S9" s="1556">
        <f t="shared" ref="S9:S17" si="0">F9</f>
        <v>0</v>
      </c>
      <c r="T9" s="1555" t="s">
        <v>8</v>
      </c>
      <c r="U9" s="1556">
        <f t="shared" ref="U9:U17" si="1">H9</f>
        <v>0</v>
      </c>
      <c r="V9" s="1555" t="s">
        <v>8</v>
      </c>
      <c r="W9" s="1556">
        <f t="shared" ref="W9:W17" si="2">J9</f>
        <v>0</v>
      </c>
      <c r="X9" s="1557"/>
      <c r="Y9" s="3406" t="s">
        <v>530</v>
      </c>
      <c r="Z9" s="340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6" t="s">
        <v>533</v>
      </c>
      <c r="Q10" s="3407"/>
      <c r="R10" s="1555" t="s">
        <v>8</v>
      </c>
      <c r="S10" s="1556">
        <f t="shared" si="0"/>
        <v>0</v>
      </c>
      <c r="T10" s="1555" t="s">
        <v>8</v>
      </c>
      <c r="U10" s="1556">
        <f t="shared" si="1"/>
        <v>0</v>
      </c>
      <c r="V10" s="1555" t="s">
        <v>8</v>
      </c>
      <c r="W10" s="1556">
        <f t="shared" si="2"/>
        <v>0</v>
      </c>
      <c r="X10" s="1557"/>
      <c r="Y10" s="3406" t="s">
        <v>533</v>
      </c>
      <c r="Z10" s="3407"/>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5" t="s">
        <v>535</v>
      </c>
      <c r="Q11" s="1147" t="str">
        <f t="shared" ref="Q11:Q17" si="6">B11</f>
        <v>用途</v>
      </c>
      <c r="R11" s="1555" t="s">
        <v>8</v>
      </c>
      <c r="S11" s="1556">
        <f t="shared" si="0"/>
        <v>100</v>
      </c>
      <c r="T11" s="1555" t="s">
        <v>8</v>
      </c>
      <c r="U11" s="1556">
        <f t="shared" si="1"/>
        <v>100</v>
      </c>
      <c r="V11" s="1555" t="s">
        <v>8</v>
      </c>
      <c r="W11" s="1556">
        <f t="shared" si="2"/>
        <v>100</v>
      </c>
      <c r="X11" s="1557"/>
      <c r="Y11" s="3321"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75"/>
      <c r="Q12" s="1147" t="str">
        <f t="shared" si="6"/>
        <v>土地使用年限（年）</v>
      </c>
      <c r="R12" s="1555" t="s">
        <v>8</v>
      </c>
      <c r="S12" s="1556">
        <f t="shared" si="0"/>
        <v>101</v>
      </c>
      <c r="T12" s="1555" t="s">
        <v>8</v>
      </c>
      <c r="U12" s="1556">
        <f t="shared" si="1"/>
        <v>101</v>
      </c>
      <c r="V12" s="1555" t="s">
        <v>8</v>
      </c>
      <c r="W12" s="1556">
        <f t="shared" si="2"/>
        <v>101</v>
      </c>
      <c r="X12" s="1557"/>
      <c r="Y12" s="3321"/>
      <c r="Z12" s="1146" t="str">
        <f t="shared" si="7"/>
        <v>土地使用年限（年）</v>
      </c>
      <c r="AA12" s="1558">
        <f t="shared" si="3"/>
        <v>0.99009900990099009</v>
      </c>
      <c r="AB12" s="1558">
        <f t="shared" si="4"/>
        <v>0.99009900990099009</v>
      </c>
      <c r="AC12" s="1558">
        <f t="shared" si="5"/>
        <v>0.99009900990099009</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5"/>
      <c r="Q13" s="1147" t="str">
        <f t="shared" si="6"/>
        <v>容积率</v>
      </c>
      <c r="R13" s="1555" t="s">
        <v>8</v>
      </c>
      <c r="S13" s="1556" t="e">
        <f t="shared" si="0"/>
        <v>#N/A</v>
      </c>
      <c r="T13" s="1555" t="s">
        <v>8</v>
      </c>
      <c r="U13" s="1556" t="e">
        <f t="shared" si="1"/>
        <v>#N/A</v>
      </c>
      <c r="V13" s="1555" t="s">
        <v>8</v>
      </c>
      <c r="W13" s="1556" t="e">
        <f t="shared" si="2"/>
        <v>#N/A</v>
      </c>
      <c r="X13" s="1557"/>
      <c r="Y13" s="332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5"/>
      <c r="Q15" s="1147">
        <f t="shared" si="6"/>
        <v>111</v>
      </c>
      <c r="R15" s="1555" t="s">
        <v>8</v>
      </c>
      <c r="S15" s="1556">
        <f t="shared" si="0"/>
        <v>100</v>
      </c>
      <c r="T15" s="1555" t="s">
        <v>8</v>
      </c>
      <c r="U15" s="1556">
        <f t="shared" si="1"/>
        <v>100</v>
      </c>
      <c r="V15" s="1555" t="s">
        <v>8</v>
      </c>
      <c r="W15" s="1556">
        <f t="shared" si="2"/>
        <v>100</v>
      </c>
      <c r="X15" s="1557"/>
      <c r="Y15" s="332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5"/>
      <c r="Q16" s="1147">
        <f t="shared" si="6"/>
        <v>111</v>
      </c>
      <c r="R16" s="1555" t="s">
        <v>8</v>
      </c>
      <c r="S16" s="1556">
        <f t="shared" si="0"/>
        <v>100</v>
      </c>
      <c r="T16" s="1555" t="s">
        <v>8</v>
      </c>
      <c r="U16" s="1556">
        <f t="shared" si="1"/>
        <v>100</v>
      </c>
      <c r="V16" s="1555" t="s">
        <v>8</v>
      </c>
      <c r="W16" s="1556">
        <f t="shared" si="2"/>
        <v>100</v>
      </c>
      <c r="X16" s="1557"/>
      <c r="Y16" s="3321"/>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9" t="s">
        <v>540</v>
      </c>
      <c r="Q17" s="1559" t="str">
        <f t="shared" si="6"/>
        <v>产业集聚程度</v>
      </c>
      <c r="R17" s="1560" t="s">
        <v>8</v>
      </c>
      <c r="S17" s="1561">
        <f t="shared" si="0"/>
        <v>100</v>
      </c>
      <c r="T17" s="1560" t="s">
        <v>8</v>
      </c>
      <c r="U17" s="1561">
        <f t="shared" si="1"/>
        <v>100</v>
      </c>
      <c r="V17" s="1560" t="s">
        <v>8</v>
      </c>
      <c r="W17" s="1561">
        <f t="shared" si="2"/>
        <v>100</v>
      </c>
      <c r="X17" s="1554"/>
      <c r="Y17" s="340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0"/>
      <c r="Q18" s="1559"/>
      <c r="R18" s="1560"/>
      <c r="S18" s="1561"/>
      <c r="T18" s="1560"/>
      <c r="U18" s="1561"/>
      <c r="V18" s="1560"/>
      <c r="W18" s="1561"/>
      <c r="X18" s="1554"/>
      <c r="Y18" s="341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0"/>
      <c r="Q19" s="1559" t="str">
        <f>B19</f>
        <v>交通便捷度</v>
      </c>
      <c r="R19" s="1560" t="s">
        <v>8</v>
      </c>
      <c r="S19" s="1561">
        <f>F19</f>
        <v>100</v>
      </c>
      <c r="T19" s="1560" t="s">
        <v>8</v>
      </c>
      <c r="U19" s="1561">
        <f>H19</f>
        <v>100</v>
      </c>
      <c r="V19" s="1560" t="s">
        <v>8</v>
      </c>
      <c r="W19" s="1561">
        <f>J19</f>
        <v>100</v>
      </c>
      <c r="X19" s="1554"/>
      <c r="Y19" s="341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0"/>
      <c r="Q20" s="1559"/>
      <c r="R20" s="1560"/>
      <c r="S20" s="1561"/>
      <c r="T20" s="1560"/>
      <c r="U20" s="1561"/>
      <c r="V20" s="1560"/>
      <c r="W20" s="1561"/>
      <c r="X20" s="1554"/>
      <c r="Y20" s="341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0"/>
      <c r="Q21" s="1559" t="str">
        <f t="shared" ref="Q21:Q35" si="8">B21</f>
        <v>区域土地利用方向</v>
      </c>
      <c r="R21" s="1560" t="s">
        <v>8</v>
      </c>
      <c r="S21" s="1561">
        <f>F21</f>
        <v>100</v>
      </c>
      <c r="T21" s="1560" t="s">
        <v>8</v>
      </c>
      <c r="U21" s="1561">
        <f>H21</f>
        <v>100</v>
      </c>
      <c r="V21" s="1560" t="s">
        <v>8</v>
      </c>
      <c r="W21" s="1561">
        <f>J21</f>
        <v>100</v>
      </c>
      <c r="X21" s="1554"/>
      <c r="Y21" s="341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0"/>
      <c r="Q22" s="1559"/>
      <c r="R22" s="1560"/>
      <c r="S22" s="1561"/>
      <c r="T22" s="1560"/>
      <c r="U22" s="1561"/>
      <c r="V22" s="1560"/>
      <c r="W22" s="1561"/>
      <c r="X22" s="1554"/>
      <c r="Y22" s="341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0"/>
      <c r="Q23" s="1559" t="str">
        <f t="shared" si="8"/>
        <v>环境状况</v>
      </c>
      <c r="R23" s="1560" t="s">
        <v>8</v>
      </c>
      <c r="S23" s="1561">
        <f>F23</f>
        <v>100</v>
      </c>
      <c r="T23" s="1560" t="s">
        <v>8</v>
      </c>
      <c r="U23" s="1561">
        <f>H23</f>
        <v>100</v>
      </c>
      <c r="V23" s="1560" t="s">
        <v>8</v>
      </c>
      <c r="W23" s="1561">
        <f>J23</f>
        <v>100</v>
      </c>
      <c r="X23" s="1554"/>
      <c r="Y23" s="341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0"/>
      <c r="Q24" s="1559"/>
      <c r="R24" s="1560"/>
      <c r="S24" s="1561"/>
      <c r="T24" s="1560"/>
      <c r="U24" s="1561"/>
      <c r="V24" s="1560"/>
      <c r="W24" s="1561"/>
      <c r="X24" s="1554"/>
      <c r="Y24" s="3410"/>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0"/>
      <c r="Q25" s="1147" t="str">
        <f t="shared" si="8"/>
        <v>公共配套设施</v>
      </c>
      <c r="R25" s="1555" t="s">
        <v>8</v>
      </c>
      <c r="S25" s="1556">
        <f>F25</f>
        <v>100</v>
      </c>
      <c r="T25" s="1555" t="s">
        <v>8</v>
      </c>
      <c r="U25" s="1556">
        <f>H25</f>
        <v>100</v>
      </c>
      <c r="V25" s="1555" t="s">
        <v>8</v>
      </c>
      <c r="W25" s="1556">
        <f>J25</f>
        <v>100</v>
      </c>
      <c r="X25" s="1557"/>
      <c r="Y25" s="3410"/>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0"/>
      <c r="Q26" s="1147"/>
      <c r="R26" s="1555"/>
      <c r="S26" s="1556"/>
      <c r="T26" s="1555"/>
      <c r="U26" s="1556"/>
      <c r="V26" s="1555"/>
      <c r="W26" s="1556"/>
      <c r="X26" s="1557"/>
      <c r="Y26" s="3410"/>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0"/>
      <c r="Q27" s="2543" t="str">
        <f t="shared" ref="Q27" si="9">B27</f>
        <v>基础设施水平</v>
      </c>
      <c r="R27" s="1555" t="s">
        <v>8</v>
      </c>
      <c r="S27" s="1556">
        <f>F27</f>
        <v>100</v>
      </c>
      <c r="T27" s="1555" t="s">
        <v>8</v>
      </c>
      <c r="U27" s="1556">
        <f>H27</f>
        <v>100</v>
      </c>
      <c r="V27" s="1555" t="s">
        <v>8</v>
      </c>
      <c r="W27" s="1556">
        <f>J27</f>
        <v>100</v>
      </c>
      <c r="X27" s="1557"/>
      <c r="Y27" s="3410"/>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0"/>
      <c r="Q28" s="2543"/>
      <c r="R28" s="1555"/>
      <c r="S28" s="1556"/>
      <c r="T28" s="1555"/>
      <c r="U28" s="1556"/>
      <c r="V28" s="1555"/>
      <c r="W28" s="1556"/>
      <c r="X28" s="1557"/>
      <c r="Y28" s="3410"/>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0"/>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0"/>
      <c r="Q30" s="1559" t="str">
        <f t="shared" si="8"/>
        <v>毗邻道路的类型与等级</v>
      </c>
      <c r="R30" s="1560" t="s">
        <v>8</v>
      </c>
      <c r="S30" s="1561">
        <f t="shared" si="10"/>
        <v>100</v>
      </c>
      <c r="T30" s="1560" t="s">
        <v>8</v>
      </c>
      <c r="U30" s="1561">
        <f t="shared" si="11"/>
        <v>100</v>
      </c>
      <c r="V30" s="1560" t="s">
        <v>8</v>
      </c>
      <c r="W30" s="1561">
        <f t="shared" si="12"/>
        <v>100</v>
      </c>
      <c r="X30" s="1554"/>
      <c r="Y30" s="341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0"/>
      <c r="Q31" s="1559"/>
      <c r="R31" s="1560"/>
      <c r="S31" s="1561"/>
      <c r="T31" s="1560"/>
      <c r="U31" s="1561"/>
      <c r="V31" s="1560"/>
      <c r="W31" s="1561"/>
      <c r="X31" s="1554"/>
      <c r="Y31" s="3410"/>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0"/>
      <c r="Q32" s="1559" t="str">
        <f t="shared" si="8"/>
        <v>土地级别</v>
      </c>
      <c r="R32" s="1560" t="s">
        <v>8</v>
      </c>
      <c r="S32" s="1561">
        <f t="shared" si="10"/>
        <v>100</v>
      </c>
      <c r="T32" s="1560" t="s">
        <v>8</v>
      </c>
      <c r="U32" s="1561">
        <f t="shared" si="11"/>
        <v>100</v>
      </c>
      <c r="V32" s="1560" t="s">
        <v>8</v>
      </c>
      <c r="W32" s="1561">
        <f t="shared" si="12"/>
        <v>100</v>
      </c>
      <c r="X32" s="1554"/>
      <c r="Y32" s="341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0"/>
      <c r="Q33" s="1559">
        <f t="shared" si="8"/>
        <v>111</v>
      </c>
      <c r="R33" s="1560" t="s">
        <v>8</v>
      </c>
      <c r="S33" s="1561">
        <f t="shared" si="10"/>
        <v>100</v>
      </c>
      <c r="T33" s="1560" t="s">
        <v>8</v>
      </c>
      <c r="U33" s="1561">
        <f t="shared" si="11"/>
        <v>100</v>
      </c>
      <c r="V33" s="1560" t="s">
        <v>8</v>
      </c>
      <c r="W33" s="1561">
        <f t="shared" si="12"/>
        <v>100</v>
      </c>
      <c r="X33" s="1554"/>
      <c r="Y33" s="341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1" t="s">
        <v>550</v>
      </c>
      <c r="Q34" s="1559">
        <f t="shared" si="8"/>
        <v>111</v>
      </c>
      <c r="R34" s="1560" t="s">
        <v>8</v>
      </c>
      <c r="S34" s="1561">
        <f t="shared" si="10"/>
        <v>100</v>
      </c>
      <c r="T34" s="1560" t="s">
        <v>8</v>
      </c>
      <c r="U34" s="1561">
        <f t="shared" si="11"/>
        <v>100</v>
      </c>
      <c r="V34" s="1560" t="s">
        <v>8</v>
      </c>
      <c r="W34" s="1561">
        <f t="shared" si="12"/>
        <v>100</v>
      </c>
      <c r="X34" s="1554"/>
      <c r="Y34" s="3412"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2"/>
      <c r="Q35" s="1559">
        <f t="shared" si="8"/>
        <v>111</v>
      </c>
      <c r="R35" s="1564" t="s">
        <v>8</v>
      </c>
      <c r="S35" s="1565">
        <f t="shared" si="10"/>
        <v>100</v>
      </c>
      <c r="T35" s="1564" t="s">
        <v>8</v>
      </c>
      <c r="U35" s="1565">
        <f t="shared" si="11"/>
        <v>100</v>
      </c>
      <c r="V35" s="1564" t="s">
        <v>8</v>
      </c>
      <c r="W35" s="1565">
        <f t="shared" si="12"/>
        <v>100</v>
      </c>
      <c r="X35" s="1566"/>
      <c r="Y35" s="3412"/>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2"/>
      <c r="Q36" s="1559" t="str">
        <f>B36</f>
        <v>宗地面积</v>
      </c>
      <c r="R36" s="1560" t="s">
        <v>8</v>
      </c>
      <c r="S36" s="1561" t="e">
        <f t="shared" si="10"/>
        <v>#N/A</v>
      </c>
      <c r="T36" s="1560" t="s">
        <v>8</v>
      </c>
      <c r="U36" s="1561" t="e">
        <f t="shared" si="11"/>
        <v>#N/A</v>
      </c>
      <c r="V36" s="1560" t="s">
        <v>8</v>
      </c>
      <c r="W36" s="1561" t="e">
        <f t="shared" si="12"/>
        <v>#N/A</v>
      </c>
      <c r="X36" s="1554"/>
      <c r="Y36" s="341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2"/>
      <c r="Q37" s="1559" t="str">
        <f t="shared" ref="Q37:Q42" si="14">B37</f>
        <v>宗地形状</v>
      </c>
      <c r="R37" s="1560" t="s">
        <v>8</v>
      </c>
      <c r="S37" s="1561">
        <f t="shared" si="10"/>
        <v>100</v>
      </c>
      <c r="T37" s="1560" t="s">
        <v>8</v>
      </c>
      <c r="U37" s="1561">
        <f t="shared" si="11"/>
        <v>100</v>
      </c>
      <c r="V37" s="1560" t="s">
        <v>8</v>
      </c>
      <c r="W37" s="1561">
        <f t="shared" si="12"/>
        <v>100</v>
      </c>
      <c r="X37" s="1554"/>
      <c r="Y37" s="3412"/>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2"/>
      <c r="Q38" s="1559" t="str">
        <f t="shared" si="14"/>
        <v>宗地开发程度</v>
      </c>
      <c r="R38" s="1555" t="s">
        <v>8</v>
      </c>
      <c r="S38" s="1556">
        <f t="shared" si="10"/>
        <v>100</v>
      </c>
      <c r="T38" s="1555" t="s">
        <v>8</v>
      </c>
      <c r="U38" s="1556">
        <f t="shared" si="11"/>
        <v>100</v>
      </c>
      <c r="V38" s="1555" t="s">
        <v>8</v>
      </c>
      <c r="W38" s="1556">
        <f t="shared" si="12"/>
        <v>100</v>
      </c>
      <c r="X38" s="1557"/>
      <c r="Y38" s="341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2" t="s">
        <v>601</v>
      </c>
      <c r="Q39" s="1559" t="str">
        <f t="shared" si="14"/>
        <v>工程地质条件</v>
      </c>
      <c r="R39" s="1560" t="s">
        <v>8</v>
      </c>
      <c r="S39" s="1561">
        <f t="shared" si="10"/>
        <v>100</v>
      </c>
      <c r="T39" s="1560" t="s">
        <v>8</v>
      </c>
      <c r="U39" s="1561">
        <f t="shared" si="11"/>
        <v>100</v>
      </c>
      <c r="V39" s="1560" t="s">
        <v>8</v>
      </c>
      <c r="W39" s="1561">
        <f t="shared" si="12"/>
        <v>100</v>
      </c>
      <c r="X39" s="1554"/>
      <c r="Y39" s="341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2"/>
      <c r="Q40" s="1559">
        <f t="shared" si="14"/>
        <v>111</v>
      </c>
      <c r="R40" s="1560" t="s">
        <v>8</v>
      </c>
      <c r="S40" s="1561">
        <f t="shared" si="10"/>
        <v>100</v>
      </c>
      <c r="T40" s="1560" t="s">
        <v>8</v>
      </c>
      <c r="U40" s="1561">
        <f t="shared" si="11"/>
        <v>100</v>
      </c>
      <c r="V40" s="1560" t="s">
        <v>8</v>
      </c>
      <c r="W40" s="1561">
        <f t="shared" si="12"/>
        <v>100</v>
      </c>
      <c r="X40" s="1554"/>
      <c r="Y40" s="341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2"/>
      <c r="Q41" s="1559">
        <f t="shared" si="14"/>
        <v>111</v>
      </c>
      <c r="R41" s="1560" t="s">
        <v>8</v>
      </c>
      <c r="S41" s="1561">
        <f t="shared" si="10"/>
        <v>100</v>
      </c>
      <c r="T41" s="1560" t="s">
        <v>8</v>
      </c>
      <c r="U41" s="1561">
        <f t="shared" si="11"/>
        <v>100</v>
      </c>
      <c r="V41" s="1560" t="s">
        <v>8</v>
      </c>
      <c r="W41" s="1561">
        <f t="shared" si="12"/>
        <v>100</v>
      </c>
      <c r="X41" s="1554"/>
      <c r="Y41" s="341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2"/>
      <c r="Q42" s="1559">
        <f t="shared" si="14"/>
        <v>111</v>
      </c>
      <c r="R42" s="1564" t="s">
        <v>8</v>
      </c>
      <c r="S42" s="1565">
        <f t="shared" si="10"/>
        <v>100</v>
      </c>
      <c r="T42" s="1564" t="s">
        <v>8</v>
      </c>
      <c r="U42" s="1565">
        <f t="shared" si="11"/>
        <v>100</v>
      </c>
      <c r="V42" s="1564" t="s">
        <v>8</v>
      </c>
      <c r="W42" s="1565">
        <f t="shared" si="12"/>
        <v>100</v>
      </c>
      <c r="X42" s="1566"/>
      <c r="Y42" s="3412"/>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75" t="str">
        <f>A43</f>
        <v>成交单价</v>
      </c>
      <c r="Q43" s="3375"/>
      <c r="R43" s="3376">
        <f>E43</f>
        <v>0</v>
      </c>
      <c r="S43" s="3376"/>
      <c r="T43" s="3376">
        <f>G43</f>
        <v>0</v>
      </c>
      <c r="U43" s="3376"/>
      <c r="V43" s="3376">
        <f>I43</f>
        <v>0</v>
      </c>
      <c r="W43" s="3376"/>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5" t="str">
        <f>A44</f>
        <v>比较价格（元/平方米）</v>
      </c>
      <c r="Q44" s="3375"/>
      <c r="R44" s="3377" t="e">
        <f>ROUND(PRODUCT(R43,AA9:AA42),0)</f>
        <v>#DIV/0!</v>
      </c>
      <c r="S44" s="3377"/>
      <c r="T44" s="3377" t="e">
        <f>ROUND(PRODUCT(T43,AB9:AB42),0)</f>
        <v>#DIV/0!</v>
      </c>
      <c r="U44" s="3377"/>
      <c r="V44" s="3377" t="e">
        <f>ROUND(PRODUCT(V43,AC9:AC42),0)</f>
        <v>#DIV/0!</v>
      </c>
      <c r="W44" s="3377"/>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72" t="str">
        <f>A45</f>
        <v>估价对象XX用房的比较价格（楼面单价，元/平方米）</v>
      </c>
      <c r="Q45" s="3373"/>
      <c r="R45" s="3374" t="e">
        <f>ROUND(AVERAGE(R44:V44),0)</f>
        <v>#DIV/0!</v>
      </c>
      <c r="S45" s="3374"/>
      <c r="T45" s="3374"/>
      <c r="U45" s="3374"/>
      <c r="V45" s="3374"/>
      <c r="W45" s="337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19" t="s">
        <v>2284</v>
      </c>
      <c r="H52" s="342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59695.06</v>
      </c>
      <c r="F53" s="1936" t="e">
        <f t="shared" ref="F53:F62" si="15">ROUND(B53*E53/10000,0)</f>
        <v>#DIV/0!</v>
      </c>
      <c r="G53" s="3421"/>
      <c r="H53" s="342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2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2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2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2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23878.02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401" customWidth="1"/>
    <col min="2" max="2" width="20.875" style="1516" customWidth="1"/>
    <col min="3" max="4" width="12" style="1402"/>
    <col min="5" max="5" width="14.625" style="1402" customWidth="1"/>
    <col min="6" max="8" width="12" style="1402"/>
    <col min="9" max="9" width="12.1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5"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36"/>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5" t="s">
        <v>2783</v>
      </c>
      <c r="X8" s="3426"/>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36"/>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4"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6"/>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6"/>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4"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35"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4"/>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7"/>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24"/>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37"/>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8"/>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5" t="s">
        <v>1838</v>
      </c>
      <c r="B16" s="1424" t="s">
        <v>950</v>
      </c>
      <c r="C16" s="1052" t="e">
        <f>ROUND(IF(F17="与级别开发程度一致",0,(G17-E17)/C17),0)</f>
        <v>#DIV/0!</v>
      </c>
      <c r="D16" s="3432" t="s">
        <v>954</v>
      </c>
      <c r="E16" s="3433"/>
      <c r="F16" s="3432" t="s">
        <v>951</v>
      </c>
      <c r="G16" s="3433"/>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9"/>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43712</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2"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3"/>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3"/>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4"/>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0" t="s">
        <v>1633</v>
      </c>
      <c r="B90" s="3440"/>
      <c r="C90" s="3440"/>
      <c r="D90" s="3440"/>
      <c r="E90" s="3440"/>
      <c r="F90" s="3440"/>
      <c r="G90" s="3440"/>
      <c r="H90" s="3440"/>
      <c r="I90" s="3440"/>
      <c r="J90" s="3440"/>
      <c r="K90" s="2415"/>
      <c r="L90" s="2415"/>
      <c r="M90" s="2415"/>
      <c r="N90" s="2415"/>
    </row>
    <row r="91" spans="1:40">
      <c r="A91" s="3441" t="s">
        <v>1443</v>
      </c>
      <c r="B91" s="3441" t="s">
        <v>1634</v>
      </c>
      <c r="C91" s="1136" t="s">
        <v>1635</v>
      </c>
      <c r="D91" s="1137"/>
      <c r="E91" s="1137"/>
      <c r="F91" s="1137"/>
      <c r="G91" s="1137"/>
      <c r="H91" s="1137"/>
      <c r="I91" s="1137"/>
      <c r="J91" s="1138"/>
      <c r="K91" s="1130"/>
      <c r="L91" s="1130"/>
      <c r="M91" s="1130"/>
      <c r="N91" s="1130"/>
    </row>
    <row r="92" spans="1:40">
      <c r="A92" s="3441"/>
      <c r="B92" s="3441"/>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7"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7"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8"/>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8"/>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8"/>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8"/>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8"/>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8"/>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8"/>
      <c r="B108" s="343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9"/>
      <c r="B109" s="3431"/>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34" t="s">
        <v>1639</v>
      </c>
      <c r="B110" s="3434"/>
      <c r="C110" s="3434"/>
      <c r="D110" s="3434"/>
      <c r="E110" s="3434"/>
      <c r="F110" s="3434"/>
      <c r="G110" s="3434"/>
      <c r="H110" s="3434"/>
      <c r="I110" s="3434"/>
      <c r="J110" s="3434"/>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1" t="s">
        <v>1007</v>
      </c>
      <c r="B18" s="1150" t="s">
        <v>1446</v>
      </c>
      <c r="C18" s="1127" t="s">
        <v>1447</v>
      </c>
      <c r="D18" s="1128"/>
      <c r="E18" s="1150">
        <v>1</v>
      </c>
      <c r="F18" s="1129" t="s">
        <v>1448</v>
      </c>
      <c r="G18" s="1130"/>
      <c r="H18" s="1101"/>
      <c r="I18" s="1101"/>
    </row>
    <row r="19" spans="1:9" s="1585" customFormat="1" ht="19.5" customHeight="1">
      <c r="A19" s="3441"/>
      <c r="B19" s="3441" t="s">
        <v>1449</v>
      </c>
      <c r="C19" s="1127" t="s">
        <v>1450</v>
      </c>
      <c r="D19" s="1128"/>
      <c r="E19" s="1150">
        <v>0.9</v>
      </c>
      <c r="F19" s="1129" t="s">
        <v>1451</v>
      </c>
      <c r="G19" s="1130"/>
      <c r="H19" s="1101"/>
      <c r="I19" s="1101"/>
    </row>
    <row r="20" spans="1:9" s="1585" customFormat="1" ht="19.5" customHeight="1">
      <c r="A20" s="3441"/>
      <c r="B20" s="3441"/>
      <c r="C20" s="1127" t="s">
        <v>1452</v>
      </c>
      <c r="D20" s="1128"/>
      <c r="E20" s="1150">
        <v>1.1000000000000001</v>
      </c>
      <c r="F20" s="1129" t="s">
        <v>1453</v>
      </c>
      <c r="G20" s="1130"/>
      <c r="H20" s="1101"/>
      <c r="I20" s="1101"/>
    </row>
    <row r="21" spans="1:9" s="1585" customFormat="1" ht="19.5" customHeight="1">
      <c r="A21" s="3441"/>
      <c r="B21" s="3441"/>
      <c r="C21" s="1127" t="s">
        <v>1454</v>
      </c>
      <c r="D21" s="1128"/>
      <c r="E21" s="1150">
        <v>0.8</v>
      </c>
      <c r="F21" s="1129" t="s">
        <v>1455</v>
      </c>
      <c r="G21" s="1130"/>
      <c r="H21" s="1101"/>
      <c r="I21" s="1101"/>
    </row>
    <row r="22" spans="1:9" s="1585" customFormat="1" ht="19.5" customHeight="1">
      <c r="A22" s="3441"/>
      <c r="B22" s="3441"/>
      <c r="C22" s="1127" t="s">
        <v>1456</v>
      </c>
      <c r="D22" s="1128"/>
      <c r="E22" s="1150">
        <v>0.5</v>
      </c>
      <c r="F22" s="1129"/>
      <c r="G22" s="1130"/>
      <c r="H22" s="1101"/>
      <c r="I22" s="1101"/>
    </row>
    <row r="23" spans="1:9" s="1585" customFormat="1" ht="19.5" customHeight="1">
      <c r="A23" s="3441" t="s">
        <v>1029</v>
      </c>
      <c r="B23" s="1150" t="s">
        <v>1446</v>
      </c>
      <c r="C23" s="1127" t="s">
        <v>1457</v>
      </c>
      <c r="D23" s="1128"/>
      <c r="E23" s="1150">
        <v>1</v>
      </c>
      <c r="F23" s="1129" t="s">
        <v>1458</v>
      </c>
      <c r="G23" s="1130"/>
      <c r="H23" s="1101"/>
      <c r="I23" s="1101"/>
    </row>
    <row r="24" spans="1:9" s="1585" customFormat="1" ht="19.5" customHeight="1">
      <c r="A24" s="3441"/>
      <c r="B24" s="3441" t="s">
        <v>1449</v>
      </c>
      <c r="C24" s="1127" t="s">
        <v>1459</v>
      </c>
      <c r="D24" s="1128"/>
      <c r="E24" s="1150">
        <v>0.5</v>
      </c>
      <c r="F24" s="1129"/>
      <c r="G24" s="1130"/>
      <c r="H24" s="1101"/>
      <c r="I24" s="1101"/>
    </row>
    <row r="25" spans="1:9" s="1585" customFormat="1" ht="19.5" customHeight="1">
      <c r="A25" s="3441"/>
      <c r="B25" s="3441"/>
      <c r="C25" s="1127" t="s">
        <v>1460</v>
      </c>
      <c r="D25" s="1128"/>
      <c r="E25" s="1150">
        <v>1.1000000000000001</v>
      </c>
      <c r="F25" s="1129"/>
      <c r="G25" s="1130"/>
      <c r="H25" s="1101"/>
      <c r="I25" s="1101"/>
    </row>
    <row r="26" spans="1:9" s="1585" customFormat="1" ht="19.5" customHeight="1">
      <c r="A26" s="3441"/>
      <c r="B26" s="3441"/>
      <c r="C26" s="1127" t="s">
        <v>1461</v>
      </c>
      <c r="D26" s="1128"/>
      <c r="E26" s="1150">
        <v>1.1000000000000001</v>
      </c>
      <c r="F26" s="1129"/>
      <c r="G26" s="1130"/>
      <c r="H26" s="1101"/>
      <c r="I26" s="1101"/>
    </row>
    <row r="27" spans="1:9" s="1585" customFormat="1" ht="19.5" customHeight="1">
      <c r="A27" s="3441"/>
      <c r="B27" s="3441"/>
      <c r="C27" s="1127" t="s">
        <v>1462</v>
      </c>
      <c r="D27" s="1128"/>
      <c r="E27" s="1150">
        <v>0.9</v>
      </c>
      <c r="F27" s="1129" t="s">
        <v>1463</v>
      </c>
      <c r="G27" s="1130"/>
      <c r="H27" s="1101"/>
      <c r="I27" s="1101"/>
    </row>
    <row r="28" spans="1:9" s="1585" customFormat="1" ht="19.5" customHeight="1">
      <c r="A28" s="3441"/>
      <c r="B28" s="3441"/>
      <c r="C28" s="1127" t="s">
        <v>1464</v>
      </c>
      <c r="D28" s="1128"/>
      <c r="E28" s="1150">
        <v>0.9</v>
      </c>
      <c r="F28" s="1129" t="s">
        <v>1465</v>
      </c>
      <c r="G28" s="1130"/>
      <c r="H28" s="1101"/>
      <c r="I28" s="1101"/>
    </row>
    <row r="29" spans="1:9" s="1585" customFormat="1" ht="19.5" customHeight="1">
      <c r="A29" s="3441"/>
      <c r="B29" s="3441"/>
      <c r="C29" s="1127" t="s">
        <v>1466</v>
      </c>
      <c r="D29" s="1128"/>
      <c r="E29" s="1150">
        <v>0.9</v>
      </c>
      <c r="F29" s="1129" t="s">
        <v>1467</v>
      </c>
      <c r="G29" s="1130"/>
      <c r="H29" s="1101"/>
      <c r="I29" s="1101"/>
    </row>
    <row r="30" spans="1:9" s="1585" customFormat="1" ht="19.5" customHeight="1">
      <c r="A30" s="3441"/>
      <c r="B30" s="3441"/>
      <c r="C30" s="1127" t="s">
        <v>1468</v>
      </c>
      <c r="D30" s="1128"/>
      <c r="E30" s="1150">
        <v>0.9</v>
      </c>
      <c r="F30" s="1129" t="s">
        <v>1469</v>
      </c>
      <c r="G30" s="1130"/>
      <c r="H30" s="1101"/>
      <c r="I30" s="1101"/>
    </row>
    <row r="31" spans="1:9" s="1585" customFormat="1" ht="19.5" customHeight="1">
      <c r="A31" s="3441"/>
      <c r="B31" s="3441"/>
      <c r="C31" s="1127" t="s">
        <v>1470</v>
      </c>
      <c r="D31" s="1128"/>
      <c r="E31" s="1150">
        <v>0.8</v>
      </c>
      <c r="F31" s="1129" t="s">
        <v>1471</v>
      </c>
      <c r="G31" s="1130"/>
      <c r="H31" s="1101"/>
      <c r="I31" s="1101"/>
    </row>
    <row r="32" spans="1:9" s="1585" customFormat="1" ht="19.5" customHeight="1">
      <c r="A32" s="3441"/>
      <c r="B32" s="3441"/>
      <c r="C32" s="1127" t="s">
        <v>1472</v>
      </c>
      <c r="D32" s="1128"/>
      <c r="E32" s="1150">
        <v>0.8</v>
      </c>
      <c r="F32" s="1129" t="s">
        <v>1473</v>
      </c>
      <c r="G32" s="1130"/>
      <c r="H32" s="1101"/>
      <c r="I32" s="1101"/>
    </row>
    <row r="33" spans="1:9" s="1585" customFormat="1" ht="19.5" customHeight="1">
      <c r="A33" s="3441" t="s">
        <v>1474</v>
      </c>
      <c r="B33" s="1150" t="s">
        <v>1446</v>
      </c>
      <c r="C33" s="1127" t="s">
        <v>1475</v>
      </c>
      <c r="D33" s="1128"/>
      <c r="E33" s="1150">
        <v>1</v>
      </c>
      <c r="F33" s="1129" t="s">
        <v>1476</v>
      </c>
      <c r="G33" s="1130"/>
      <c r="H33" s="1101"/>
      <c r="I33" s="1101"/>
    </row>
    <row r="34" spans="1:9" s="1585" customFormat="1" ht="19.5" customHeight="1">
      <c r="A34" s="3441"/>
      <c r="B34" s="1150" t="s">
        <v>1449</v>
      </c>
      <c r="C34" s="1127" t="s">
        <v>1477</v>
      </c>
      <c r="D34" s="1128"/>
      <c r="E34" s="1150">
        <v>1.5</v>
      </c>
      <c r="F34" s="1129" t="s">
        <v>1478</v>
      </c>
      <c r="G34" s="1130"/>
      <c r="H34" s="1101"/>
      <c r="I34" s="1101"/>
    </row>
    <row r="35" spans="1:9" s="1585" customFormat="1" ht="19.5" customHeight="1">
      <c r="A35" s="3441" t="s">
        <v>1432</v>
      </c>
      <c r="B35" s="1150" t="s">
        <v>1446</v>
      </c>
      <c r="C35" s="1127" t="s">
        <v>1479</v>
      </c>
      <c r="D35" s="1128"/>
      <c r="E35" s="1150">
        <v>1</v>
      </c>
      <c r="F35" s="1129" t="s">
        <v>1480</v>
      </c>
      <c r="G35" s="1130"/>
      <c r="H35" s="1101"/>
      <c r="I35" s="1101"/>
    </row>
    <row r="36" spans="1:9" s="1585" customFormat="1" ht="19.5" customHeight="1">
      <c r="A36" s="3441"/>
      <c r="B36" s="3441" t="s">
        <v>1449</v>
      </c>
      <c r="C36" s="1127" t="s">
        <v>1481</v>
      </c>
      <c r="D36" s="1128"/>
      <c r="E36" s="1150">
        <v>1</v>
      </c>
      <c r="F36" s="1129" t="s">
        <v>1482</v>
      </c>
      <c r="G36" s="1130"/>
      <c r="H36" s="1101"/>
      <c r="I36" s="1101"/>
    </row>
    <row r="37" spans="1:9" s="1585" customFormat="1" ht="19.5" customHeight="1">
      <c r="A37" s="3441"/>
      <c r="B37" s="3441"/>
      <c r="C37" s="1127" t="s">
        <v>1483</v>
      </c>
      <c r="D37" s="1128"/>
      <c r="E37" s="1150">
        <v>1.5</v>
      </c>
      <c r="F37" s="1129" t="s">
        <v>1484</v>
      </c>
      <c r="G37" s="1130"/>
      <c r="H37" s="1101"/>
      <c r="I37" s="1101"/>
    </row>
    <row r="38" spans="1:9" s="1585" customFormat="1" ht="19.5" customHeight="1">
      <c r="A38" s="3441"/>
      <c r="B38" s="3441"/>
      <c r="C38" s="1127" t="s">
        <v>1485</v>
      </c>
      <c r="D38" s="1128"/>
      <c r="E38" s="1150">
        <v>1</v>
      </c>
      <c r="F38" s="1129" t="s">
        <v>1486</v>
      </c>
      <c r="G38" s="1130"/>
      <c r="H38" s="1101"/>
      <c r="I38" s="1101"/>
    </row>
    <row r="39" spans="1:9" s="1585" customFormat="1" ht="19.5" customHeight="1">
      <c r="A39" s="3441"/>
      <c r="B39" s="344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1" t="s">
        <v>1501</v>
      </c>
      <c r="C61" s="1064" t="s">
        <v>1502</v>
      </c>
      <c r="D61" s="1064" t="s">
        <v>1503</v>
      </c>
      <c r="E61" s="1135">
        <v>0.5</v>
      </c>
      <c r="F61" s="1150">
        <v>80</v>
      </c>
      <c r="H61" s="1101">
        <f>SUMIF(C59:C119,基准地价!C8,E59:E119)</f>
        <v>0</v>
      </c>
    </row>
    <row r="62" spans="1:8" s="1101" customFormat="1" ht="24">
      <c r="A62" s="1150">
        <v>2</v>
      </c>
      <c r="B62" s="3441"/>
      <c r="C62" s="1064" t="s">
        <v>1504</v>
      </c>
      <c r="D62" s="1064" t="s">
        <v>1505</v>
      </c>
      <c r="E62" s="1135">
        <v>0.5</v>
      </c>
      <c r="F62" s="1150">
        <v>80</v>
      </c>
    </row>
    <row r="63" spans="1:8" s="1101" customFormat="1" ht="36">
      <c r="A63" s="1150">
        <v>3</v>
      </c>
      <c r="B63" s="3441"/>
      <c r="C63" s="1064" t="s">
        <v>1506</v>
      </c>
      <c r="D63" s="1064" t="s">
        <v>1507</v>
      </c>
      <c r="E63" s="1135">
        <v>0.5</v>
      </c>
      <c r="F63" s="1150">
        <v>80</v>
      </c>
    </row>
    <row r="64" spans="1:8" s="1101" customFormat="1" ht="36">
      <c r="A64" s="1150">
        <v>4</v>
      </c>
      <c r="B64" s="3441"/>
      <c r="C64" s="1064" t="s">
        <v>1508</v>
      </c>
      <c r="D64" s="1064" t="s">
        <v>1509</v>
      </c>
      <c r="E64" s="1135">
        <v>0.4</v>
      </c>
      <c r="F64" s="1150">
        <v>60</v>
      </c>
    </row>
    <row r="65" spans="1:6" s="1101" customFormat="1" ht="36">
      <c r="A65" s="1150">
        <v>5</v>
      </c>
      <c r="B65" s="3441"/>
      <c r="C65" s="1064" t="s">
        <v>1510</v>
      </c>
      <c r="D65" s="1064" t="s">
        <v>1511</v>
      </c>
      <c r="E65" s="1135">
        <v>0.2</v>
      </c>
      <c r="F65" s="1150">
        <v>30</v>
      </c>
    </row>
    <row r="66" spans="1:6" s="1101" customFormat="1" ht="36">
      <c r="A66" s="1150">
        <v>6</v>
      </c>
      <c r="B66" s="3441"/>
      <c r="C66" s="1064" t="s">
        <v>1512</v>
      </c>
      <c r="D66" s="1064" t="s">
        <v>1513</v>
      </c>
      <c r="E66" s="1135">
        <v>0.3</v>
      </c>
      <c r="F66" s="1150">
        <v>50</v>
      </c>
    </row>
    <row r="67" spans="1:6" s="1101" customFormat="1" ht="36">
      <c r="A67" s="1150">
        <v>7</v>
      </c>
      <c r="B67" s="3441"/>
      <c r="C67" s="1064" t="s">
        <v>1514</v>
      </c>
      <c r="D67" s="1064" t="s">
        <v>1515</v>
      </c>
      <c r="E67" s="1135">
        <v>0.2</v>
      </c>
      <c r="F67" s="1150">
        <v>30</v>
      </c>
    </row>
    <row r="68" spans="1:6" s="1101" customFormat="1" ht="36">
      <c r="A68" s="1150">
        <v>8</v>
      </c>
      <c r="B68" s="3441"/>
      <c r="C68" s="1064" t="s">
        <v>1516</v>
      </c>
      <c r="D68" s="1064" t="s">
        <v>1517</v>
      </c>
      <c r="E68" s="1135">
        <v>0.2</v>
      </c>
      <c r="F68" s="1150">
        <v>30</v>
      </c>
    </row>
    <row r="69" spans="1:6" s="1101" customFormat="1" ht="36">
      <c r="A69" s="1150">
        <v>9</v>
      </c>
      <c r="B69" s="3441"/>
      <c r="C69" s="1064" t="s">
        <v>1518</v>
      </c>
      <c r="D69" s="1064" t="s">
        <v>1519</v>
      </c>
      <c r="E69" s="1135">
        <v>0.2</v>
      </c>
      <c r="F69" s="1150">
        <v>30</v>
      </c>
    </row>
    <row r="70" spans="1:6" s="1101" customFormat="1" ht="48">
      <c r="A70" s="1150">
        <v>10</v>
      </c>
      <c r="B70" s="3441"/>
      <c r="C70" s="1064" t="s">
        <v>1520</v>
      </c>
      <c r="D70" s="1064" t="s">
        <v>1521</v>
      </c>
      <c r="E70" s="1135">
        <v>0.2</v>
      </c>
      <c r="F70" s="1150">
        <v>30</v>
      </c>
    </row>
    <row r="71" spans="1:6" s="1101" customFormat="1" ht="48">
      <c r="A71" s="1150">
        <v>11</v>
      </c>
      <c r="B71" s="3441"/>
      <c r="C71" s="1064" t="s">
        <v>1522</v>
      </c>
      <c r="D71" s="1064" t="s">
        <v>1523</v>
      </c>
      <c r="E71" s="1135">
        <v>0.2</v>
      </c>
      <c r="F71" s="1150">
        <v>30</v>
      </c>
    </row>
    <row r="72" spans="1:6" s="1101" customFormat="1" ht="36">
      <c r="A72" s="1150">
        <v>12</v>
      </c>
      <c r="B72" s="3441"/>
      <c r="C72" s="1064" t="s">
        <v>1524</v>
      </c>
      <c r="D72" s="1064" t="s">
        <v>1525</v>
      </c>
      <c r="E72" s="1135">
        <v>0.5</v>
      </c>
      <c r="F72" s="1150">
        <v>80</v>
      </c>
    </row>
    <row r="73" spans="1:6" s="1101" customFormat="1" ht="24">
      <c r="A73" s="1150">
        <v>13</v>
      </c>
      <c r="B73" s="3441"/>
      <c r="C73" s="1064" t="s">
        <v>1526</v>
      </c>
      <c r="D73" s="1064" t="s">
        <v>1527</v>
      </c>
      <c r="E73" s="1135">
        <v>0.4</v>
      </c>
      <c r="F73" s="1150">
        <v>60</v>
      </c>
    </row>
    <row r="74" spans="1:6" s="1101" customFormat="1" ht="24">
      <c r="A74" s="1150">
        <v>14</v>
      </c>
      <c r="B74" s="3441"/>
      <c r="C74" s="1064" t="s">
        <v>1528</v>
      </c>
      <c r="D74" s="1064" t="s">
        <v>1529</v>
      </c>
      <c r="E74" s="1135">
        <v>0.2</v>
      </c>
      <c r="F74" s="1150">
        <v>30</v>
      </c>
    </row>
    <row r="75" spans="1:6" s="1101" customFormat="1" ht="24">
      <c r="A75" s="1150">
        <v>15</v>
      </c>
      <c r="B75" s="3441"/>
      <c r="C75" s="1064" t="s">
        <v>1530</v>
      </c>
      <c r="D75" s="1064" t="s">
        <v>1531</v>
      </c>
      <c r="E75" s="1135">
        <v>0.2</v>
      </c>
      <c r="F75" s="1150">
        <v>30</v>
      </c>
    </row>
    <row r="76" spans="1:6" s="1101" customFormat="1" ht="24">
      <c r="A76" s="1150">
        <v>16</v>
      </c>
      <c r="B76" s="3441" t="s">
        <v>1532</v>
      </c>
      <c r="C76" s="1064" t="s">
        <v>1533</v>
      </c>
      <c r="D76" s="1064" t="s">
        <v>1534</v>
      </c>
      <c r="E76" s="1135">
        <v>0.5</v>
      </c>
      <c r="F76" s="1150">
        <v>80</v>
      </c>
    </row>
    <row r="77" spans="1:6" s="1101" customFormat="1" ht="24">
      <c r="A77" s="1150">
        <v>17</v>
      </c>
      <c r="B77" s="3441"/>
      <c r="C77" s="1064" t="s">
        <v>1535</v>
      </c>
      <c r="D77" s="1064" t="s">
        <v>1536</v>
      </c>
      <c r="E77" s="1135">
        <v>0.5</v>
      </c>
      <c r="F77" s="1150">
        <v>80</v>
      </c>
    </row>
    <row r="78" spans="1:6" s="1101" customFormat="1" ht="24">
      <c r="A78" s="1150">
        <v>18</v>
      </c>
      <c r="B78" s="3441"/>
      <c r="C78" s="1064" t="s">
        <v>1537</v>
      </c>
      <c r="D78" s="1064" t="s">
        <v>1538</v>
      </c>
      <c r="E78" s="1135">
        <v>0.2</v>
      </c>
      <c r="F78" s="1150">
        <v>30</v>
      </c>
    </row>
    <row r="79" spans="1:6" s="1101" customFormat="1" ht="24">
      <c r="A79" s="1150">
        <v>19</v>
      </c>
      <c r="B79" s="3441"/>
      <c r="C79" s="1064" t="s">
        <v>1539</v>
      </c>
      <c r="D79" s="1064" t="s">
        <v>1540</v>
      </c>
      <c r="E79" s="1135">
        <v>0.5</v>
      </c>
      <c r="F79" s="1150">
        <v>80</v>
      </c>
    </row>
    <row r="80" spans="1:6" s="1101" customFormat="1" ht="36">
      <c r="A80" s="1150">
        <v>20</v>
      </c>
      <c r="B80" s="3441"/>
      <c r="C80" s="1064" t="s">
        <v>1541</v>
      </c>
      <c r="D80" s="1064" t="s">
        <v>1542</v>
      </c>
      <c r="E80" s="1135">
        <v>0.2</v>
      </c>
      <c r="F80" s="1150">
        <v>30</v>
      </c>
    </row>
    <row r="81" spans="1:6" s="1101" customFormat="1" ht="36">
      <c r="A81" s="1150">
        <v>21</v>
      </c>
      <c r="B81" s="3441"/>
      <c r="C81" s="1064" t="s">
        <v>1543</v>
      </c>
      <c r="D81" s="1064" t="s">
        <v>1544</v>
      </c>
      <c r="E81" s="1135">
        <v>0.2</v>
      </c>
      <c r="F81" s="1150">
        <v>30</v>
      </c>
    </row>
    <row r="82" spans="1:6" s="1101" customFormat="1" ht="48">
      <c r="A82" s="1150">
        <v>22</v>
      </c>
      <c r="B82" s="3441"/>
      <c r="C82" s="1064" t="s">
        <v>1545</v>
      </c>
      <c r="D82" s="1064" t="s">
        <v>1546</v>
      </c>
      <c r="E82" s="1135">
        <v>0.2</v>
      </c>
      <c r="F82" s="1150">
        <v>30</v>
      </c>
    </row>
    <row r="83" spans="1:6" s="1101" customFormat="1" ht="48">
      <c r="A83" s="1150">
        <v>23</v>
      </c>
      <c r="B83" s="3441"/>
      <c r="C83" s="1064" t="s">
        <v>1547</v>
      </c>
      <c r="D83" s="1064" t="s">
        <v>1548</v>
      </c>
      <c r="E83" s="1135">
        <v>0.2</v>
      </c>
      <c r="F83" s="1150">
        <v>30</v>
      </c>
    </row>
    <row r="84" spans="1:6" s="1101" customFormat="1" ht="36">
      <c r="A84" s="1150">
        <v>24</v>
      </c>
      <c r="B84" s="3441"/>
      <c r="C84" s="1064" t="s">
        <v>1549</v>
      </c>
      <c r="D84" s="1064" t="s">
        <v>1550</v>
      </c>
      <c r="E84" s="1135">
        <v>0.2</v>
      </c>
      <c r="F84" s="1150">
        <v>30</v>
      </c>
    </row>
    <row r="85" spans="1:6" s="1101" customFormat="1" ht="36">
      <c r="A85" s="1150">
        <v>25</v>
      </c>
      <c r="B85" s="3441"/>
      <c r="C85" s="1064" t="s">
        <v>1551</v>
      </c>
      <c r="D85" s="1064" t="s">
        <v>1552</v>
      </c>
      <c r="E85" s="1135">
        <v>0.5</v>
      </c>
      <c r="F85" s="1150">
        <v>80</v>
      </c>
    </row>
    <row r="86" spans="1:6" s="1101" customFormat="1" ht="36">
      <c r="A86" s="1150">
        <v>26</v>
      </c>
      <c r="B86" s="3441"/>
      <c r="C86" s="1064" t="s">
        <v>1553</v>
      </c>
      <c r="D86" s="1064" t="s">
        <v>1554</v>
      </c>
      <c r="E86" s="1135">
        <v>0.2</v>
      </c>
      <c r="F86" s="1150">
        <v>30</v>
      </c>
    </row>
    <row r="87" spans="1:6" s="1101" customFormat="1" ht="36">
      <c r="A87" s="1150">
        <v>27</v>
      </c>
      <c r="B87" s="3441"/>
      <c r="C87" s="1064" t="s">
        <v>1555</v>
      </c>
      <c r="D87" s="1064" t="s">
        <v>1556</v>
      </c>
      <c r="E87" s="1135">
        <v>0.2</v>
      </c>
      <c r="F87" s="1150">
        <v>30</v>
      </c>
    </row>
    <row r="88" spans="1:6" s="1101" customFormat="1" ht="36">
      <c r="A88" s="1150">
        <v>28</v>
      </c>
      <c r="B88" s="3441"/>
      <c r="C88" s="1064" t="s">
        <v>1557</v>
      </c>
      <c r="D88" s="1064" t="s">
        <v>1558</v>
      </c>
      <c r="E88" s="1135">
        <v>0.2</v>
      </c>
      <c r="F88" s="1150">
        <v>30</v>
      </c>
    </row>
    <row r="89" spans="1:6" s="1101" customFormat="1" ht="24">
      <c r="A89" s="1150">
        <v>29</v>
      </c>
      <c r="B89" s="3441"/>
      <c r="C89" s="1064" t="s">
        <v>1559</v>
      </c>
      <c r="D89" s="1064" t="s">
        <v>1560</v>
      </c>
      <c r="E89" s="1135">
        <v>0.2</v>
      </c>
      <c r="F89" s="1150">
        <v>30</v>
      </c>
    </row>
    <row r="90" spans="1:6" s="1101" customFormat="1" ht="24">
      <c r="A90" s="1150">
        <v>30</v>
      </c>
      <c r="B90" s="3441"/>
      <c r="C90" s="1064" t="s">
        <v>1561</v>
      </c>
      <c r="D90" s="1064" t="s">
        <v>1562</v>
      </c>
      <c r="E90" s="1135">
        <v>0.2</v>
      </c>
      <c r="F90" s="1150">
        <v>30</v>
      </c>
    </row>
    <row r="91" spans="1:6" s="1101" customFormat="1" ht="36">
      <c r="A91" s="1150">
        <v>31</v>
      </c>
      <c r="B91" s="3441"/>
      <c r="C91" s="1064" t="s">
        <v>1563</v>
      </c>
      <c r="D91" s="1064" t="s">
        <v>1564</v>
      </c>
      <c r="E91" s="1135">
        <v>0.2</v>
      </c>
      <c r="F91" s="1150">
        <v>30</v>
      </c>
    </row>
    <row r="92" spans="1:6" s="1101" customFormat="1" ht="24">
      <c r="A92" s="1150">
        <v>32</v>
      </c>
      <c r="B92" s="3441" t="s">
        <v>1565</v>
      </c>
      <c r="C92" s="1150" t="s">
        <v>1566</v>
      </c>
      <c r="D92" s="1064" t="s">
        <v>1567</v>
      </c>
      <c r="E92" s="1135">
        <v>0.2</v>
      </c>
      <c r="F92" s="1150">
        <v>30</v>
      </c>
    </row>
    <row r="93" spans="1:6" s="1101" customFormat="1" ht="36">
      <c r="A93" s="1150">
        <v>33</v>
      </c>
      <c r="B93" s="3441"/>
      <c r="C93" s="1150" t="s">
        <v>1568</v>
      </c>
      <c r="D93" s="1064" t="s">
        <v>1569</v>
      </c>
      <c r="E93" s="1135">
        <v>0.2</v>
      </c>
      <c r="F93" s="1150">
        <v>30</v>
      </c>
    </row>
    <row r="94" spans="1:6" s="1101" customFormat="1" ht="48">
      <c r="A94" s="1150">
        <v>34</v>
      </c>
      <c r="B94" s="3441"/>
      <c r="C94" s="1150" t="s">
        <v>1570</v>
      </c>
      <c r="D94" s="1064" t="s">
        <v>1571</v>
      </c>
      <c r="E94" s="1135">
        <v>0.2</v>
      </c>
      <c r="F94" s="1150">
        <v>30</v>
      </c>
    </row>
    <row r="95" spans="1:6" s="1101" customFormat="1" ht="36">
      <c r="A95" s="1150">
        <v>35</v>
      </c>
      <c r="B95" s="3441"/>
      <c r="C95" s="1150" t="s">
        <v>1572</v>
      </c>
      <c r="D95" s="1064" t="s">
        <v>1573</v>
      </c>
      <c r="E95" s="1135">
        <v>0.2</v>
      </c>
      <c r="F95" s="1150">
        <v>30</v>
      </c>
    </row>
    <row r="96" spans="1:6" s="1101" customFormat="1" ht="48">
      <c r="A96" s="1150">
        <v>36</v>
      </c>
      <c r="B96" s="3441"/>
      <c r="C96" s="1064" t="s">
        <v>1574</v>
      </c>
      <c r="D96" s="1064" t="s">
        <v>1575</v>
      </c>
      <c r="E96" s="1135">
        <v>0.2</v>
      </c>
      <c r="F96" s="1150">
        <v>30</v>
      </c>
    </row>
    <row r="97" spans="1:6" s="1101" customFormat="1" ht="36">
      <c r="A97" s="1150">
        <v>37</v>
      </c>
      <c r="B97" s="3441"/>
      <c r="C97" s="1150" t="s">
        <v>1576</v>
      </c>
      <c r="D97" s="1064" t="s">
        <v>1577</v>
      </c>
      <c r="E97" s="1135">
        <v>0.2</v>
      </c>
      <c r="F97" s="1150">
        <v>30</v>
      </c>
    </row>
    <row r="98" spans="1:6" s="1101" customFormat="1" ht="36">
      <c r="A98" s="1150">
        <v>38</v>
      </c>
      <c r="B98" s="3441"/>
      <c r="C98" s="1150" t="s">
        <v>1578</v>
      </c>
      <c r="D98" s="1064" t="s">
        <v>1579</v>
      </c>
      <c r="E98" s="1135">
        <v>0.2</v>
      </c>
      <c r="F98" s="1150">
        <v>30</v>
      </c>
    </row>
    <row r="99" spans="1:6" s="1101" customFormat="1" ht="36">
      <c r="A99" s="1150">
        <v>39</v>
      </c>
      <c r="B99" s="3441" t="s">
        <v>1580</v>
      </c>
      <c r="C99" s="1150" t="s">
        <v>1581</v>
      </c>
      <c r="D99" s="1064" t="s">
        <v>1582</v>
      </c>
      <c r="E99" s="1135">
        <v>0.3</v>
      </c>
      <c r="F99" s="1150">
        <v>50</v>
      </c>
    </row>
    <row r="100" spans="1:6" s="1101" customFormat="1" ht="24">
      <c r="A100" s="1150">
        <v>40</v>
      </c>
      <c r="B100" s="3441"/>
      <c r="C100" s="1150" t="s">
        <v>1583</v>
      </c>
      <c r="D100" s="1064" t="s">
        <v>1584</v>
      </c>
      <c r="E100" s="1135">
        <v>0.2</v>
      </c>
      <c r="F100" s="1150">
        <v>30</v>
      </c>
    </row>
    <row r="101" spans="1:6" s="1101" customFormat="1" ht="36">
      <c r="A101" s="1150">
        <v>41</v>
      </c>
      <c r="B101" s="344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1" t="s">
        <v>1595</v>
      </c>
      <c r="C105" s="1150" t="s">
        <v>1596</v>
      </c>
      <c r="D105" s="1064" t="s">
        <v>1597</v>
      </c>
      <c r="E105" s="1135">
        <v>0.2</v>
      </c>
      <c r="F105" s="1150">
        <v>30</v>
      </c>
    </row>
    <row r="106" spans="1:6" s="1101" customFormat="1" ht="36">
      <c r="A106" s="1150">
        <v>46</v>
      </c>
      <c r="B106" s="3441"/>
      <c r="C106" s="1150" t="s">
        <v>1598</v>
      </c>
      <c r="D106" s="1064" t="s">
        <v>1599</v>
      </c>
      <c r="E106" s="1135">
        <v>0.2</v>
      </c>
      <c r="F106" s="1150">
        <v>30</v>
      </c>
    </row>
    <row r="107" spans="1:6" s="1101" customFormat="1" ht="36">
      <c r="A107" s="1150">
        <v>47</v>
      </c>
      <c r="B107" s="3441" t="s">
        <v>1600</v>
      </c>
      <c r="C107" s="1150" t="s">
        <v>1601</v>
      </c>
      <c r="D107" s="1064" t="s">
        <v>1602</v>
      </c>
      <c r="E107" s="1135">
        <v>0.3</v>
      </c>
      <c r="F107" s="1150">
        <v>50</v>
      </c>
    </row>
    <row r="108" spans="1:6" s="1101" customFormat="1" ht="36">
      <c r="A108" s="1150">
        <v>48</v>
      </c>
      <c r="B108" s="344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1" t="s">
        <v>1611</v>
      </c>
      <c r="C111" s="1150" t="s">
        <v>1612</v>
      </c>
      <c r="D111" s="1064" t="s">
        <v>1613</v>
      </c>
      <c r="E111" s="1135">
        <v>0.2</v>
      </c>
      <c r="F111" s="1150">
        <v>30</v>
      </c>
    </row>
    <row r="112" spans="1:6" s="1101" customFormat="1" ht="24">
      <c r="A112" s="1150">
        <v>52</v>
      </c>
      <c r="B112" s="3441"/>
      <c r="C112" s="1150" t="s">
        <v>1614</v>
      </c>
      <c r="D112" s="1064" t="s">
        <v>1615</v>
      </c>
      <c r="E112" s="1135">
        <v>0.2</v>
      </c>
      <c r="F112" s="1150">
        <v>30</v>
      </c>
    </row>
    <row r="113" spans="1:14" s="1101" customFormat="1" ht="24">
      <c r="A113" s="1150">
        <v>53</v>
      </c>
      <c r="B113" s="344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1" t="s">
        <v>1624</v>
      </c>
      <c r="C116" s="1150" t="s">
        <v>1625</v>
      </c>
      <c r="D116" s="1064" t="s">
        <v>1626</v>
      </c>
      <c r="E116" s="1135">
        <v>0.2</v>
      </c>
      <c r="F116" s="1150">
        <v>30</v>
      </c>
    </row>
    <row r="117" spans="1:14" ht="36">
      <c r="A117" s="1150">
        <v>57</v>
      </c>
      <c r="B117" s="344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0" t="s">
        <v>1633</v>
      </c>
      <c r="B121" s="3440"/>
      <c r="C121" s="3440"/>
      <c r="D121" s="3440"/>
      <c r="E121" s="3440"/>
      <c r="F121" s="3440"/>
      <c r="G121" s="3440"/>
      <c r="H121" s="3440"/>
      <c r="I121" s="3440"/>
      <c r="J121" s="344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45" t="s">
        <v>1039</v>
      </c>
      <c r="B1" s="3445"/>
      <c r="C1" s="3445"/>
      <c r="D1" s="3445"/>
      <c r="E1" s="3445"/>
      <c r="F1" s="344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6" t="s">
        <v>1052</v>
      </c>
      <c r="B2" s="3446"/>
      <c r="C2" s="3446"/>
      <c r="D2" s="3446"/>
      <c r="E2" s="3446"/>
      <c r="F2" s="344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6" customWidth="1"/>
    <col min="2" max="2" width="10.125" style="1867" customWidth="1"/>
  </cols>
  <sheetData>
    <row r="1" spans="1:6">
      <c r="A1" s="3449" t="s">
        <v>2079</v>
      </c>
      <c r="B1" s="3449"/>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24.75" thickBot="1">
      <c r="A72" s="1841" t="s">
        <v>925</v>
      </c>
      <c r="B72" s="1845" t="s">
        <v>2093</v>
      </c>
      <c r="C72" s="1855"/>
      <c r="D72" s="1855"/>
      <c r="E72" s="1855"/>
      <c r="F72" s="1847">
        <v>0.05</v>
      </c>
    </row>
    <row r="73" spans="1:6" ht="24.75" thickBot="1">
      <c r="A73" s="1841" t="s">
        <v>925</v>
      </c>
      <c r="B73" s="1845" t="s">
        <v>2094</v>
      </c>
      <c r="C73" s="1855"/>
      <c r="D73" s="1855"/>
      <c r="E73" s="1855"/>
      <c r="F73" s="1847">
        <v>0.05</v>
      </c>
    </row>
    <row r="74" spans="1:6" ht="24.75" thickBot="1">
      <c r="A74" s="1841" t="s">
        <v>925</v>
      </c>
      <c r="B74" s="1845" t="s">
        <v>2095</v>
      </c>
      <c r="C74" s="1855"/>
      <c r="D74" s="1855"/>
      <c r="E74" s="1855"/>
      <c r="F74" s="1847">
        <v>0.05</v>
      </c>
    </row>
    <row r="75" spans="1:6" ht="24.7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24.7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24.7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1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7" t="s">
        <v>2576</v>
      </c>
      <c r="C1" s="3457"/>
      <c r="D1" s="3457"/>
      <c r="E1" s="3457"/>
      <c r="F1" s="3457"/>
      <c r="G1" s="3456" t="s">
        <v>2577</v>
      </c>
      <c r="H1" s="3456"/>
      <c r="I1" s="3456"/>
      <c r="J1" s="3456"/>
      <c r="K1" s="3456"/>
      <c r="L1" s="3456"/>
      <c r="N1" s="3456" t="s">
        <v>2578</v>
      </c>
      <c r="O1" s="3456"/>
      <c r="P1" s="3456"/>
      <c r="Q1" s="3456"/>
      <c r="R1" s="2619"/>
      <c r="S1" s="3456" t="s">
        <v>2579</v>
      </c>
      <c r="T1" s="3456"/>
      <c r="U1" s="3456"/>
      <c r="V1" s="3456"/>
      <c r="X1" s="3455" t="s">
        <v>2639</v>
      </c>
      <c r="Y1" s="3456"/>
      <c r="Z1" s="3456"/>
      <c r="AA1" s="3456"/>
      <c r="AB1" s="3456"/>
      <c r="AD1" s="3455" t="s">
        <v>2643</v>
      </c>
      <c r="AE1" s="3456"/>
      <c r="AF1" s="3456"/>
      <c r="AG1" s="3456"/>
      <c r="AH1" s="3456"/>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51">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51"/>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51"/>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52"/>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50">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51"/>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51"/>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52"/>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50">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51"/>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51"/>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54"/>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53">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51"/>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51"/>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54"/>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53">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51"/>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51"/>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54"/>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58">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59"/>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59"/>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60"/>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53">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51"/>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51"/>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54"/>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53">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51">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51">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54">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53">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51">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51">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54">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53">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51">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51">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54">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53">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51">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51">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54">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53">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51">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51">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54">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53">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51">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51">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54">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53">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51">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51">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54">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53">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51">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51">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54">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53">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51">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51">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54">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53">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51">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51">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54">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23878.02平方米。根据《建设工程规划许可证》[]、《出让合同》[]，估价对象规划建筑面积为59695.06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根据《国有土地使用证》[]，估价对象（分摊）出让国有建设用地使用权面积为23878.02平方米。根据《建设工程规划许可证》[]、《出让合同》[]，估价对象规划建筑面积为59695.06平方米。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125" style="2045" customWidth="1"/>
    <col min="17" max="17" width="13.625" style="2045" customWidth="1"/>
    <col min="18" max="18" width="22.1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62" t="s">
        <v>2463</v>
      </c>
      <c r="C8" s="1811">
        <f ca="1">ROUND(F8*F10*F9*(1-F11)/10000,0)</f>
        <v>0</v>
      </c>
      <c r="D8" s="1808" t="s">
        <v>2534</v>
      </c>
      <c r="E8" s="61" t="s">
        <v>637</v>
      </c>
      <c r="F8" s="785">
        <f ca="1">INDIRECT("'数据-取费表'!u"&amp;$G$1)</f>
        <v>0</v>
      </c>
      <c r="G8" s="1579"/>
      <c r="H8" s="2469" t="s">
        <v>1824</v>
      </c>
      <c r="I8" s="3462" t="s">
        <v>2463</v>
      </c>
      <c r="J8" s="783">
        <f ca="1">ROUND(M8*M10*M9*(1-M11)/10000,0)</f>
        <v>0</v>
      </c>
      <c r="K8" s="341" t="s">
        <v>2534</v>
      </c>
      <c r="L8" s="784" t="s">
        <v>1738</v>
      </c>
      <c r="M8" s="785">
        <f ca="1">INDIRECT("'数据-取费表'!z"&amp;$G$1)</f>
        <v>0</v>
      </c>
    </row>
    <row r="9" spans="1:25" ht="18" customHeight="1">
      <c r="A9" s="2465"/>
      <c r="B9" s="3463"/>
      <c r="C9" s="1812"/>
      <c r="D9" s="1809"/>
      <c r="E9" s="61" t="s">
        <v>638</v>
      </c>
      <c r="F9" s="785">
        <f ca="1">IF(INDIRECT("'数据-取费表'!ah"&amp;$G$1)="",INDIRECT("'数据-取费表'!k"&amp;$G$1),INDIRECT("'数据-取费表'!ah"&amp;$G$1))</f>
        <v>0</v>
      </c>
      <c r="G9" s="1579"/>
      <c r="H9" s="2454"/>
      <c r="I9" s="3463"/>
      <c r="J9" s="788"/>
      <c r="K9" s="789"/>
      <c r="L9" s="784" t="s">
        <v>1739</v>
      </c>
      <c r="M9" s="785">
        <f ca="1">F9</f>
        <v>0</v>
      </c>
    </row>
    <row r="10" spans="1:25" ht="18" customHeight="1">
      <c r="A10" s="2458"/>
      <c r="B10" s="3464"/>
      <c r="C10" s="1812"/>
      <c r="D10" s="1809"/>
      <c r="E10" s="61" t="s">
        <v>639</v>
      </c>
      <c r="F10" s="785">
        <f ca="1">INDIRECT("'数据-取费表'!ai"&amp;$G$1)</f>
        <v>0</v>
      </c>
      <c r="G10" s="1579"/>
      <c r="H10" s="2454"/>
      <c r="I10" s="3464"/>
      <c r="J10" s="788"/>
      <c r="K10" s="789"/>
      <c r="L10" s="784" t="s">
        <v>1740</v>
      </c>
      <c r="M10" s="785">
        <f ca="1">INDIRECT("'数据-取费表'!ai"&amp;$G$1)</f>
        <v>0</v>
      </c>
    </row>
    <row r="11" spans="1:25" ht="18" customHeight="1">
      <c r="A11" s="786"/>
      <c r="B11" s="3465"/>
      <c r="C11" s="1812"/>
      <c r="D11" s="1809"/>
      <c r="E11" s="61" t="s">
        <v>640</v>
      </c>
      <c r="F11" s="794">
        <f ca="1">INDIRECT("'数据-取费表'!w"&amp;$G$1)</f>
        <v>0</v>
      </c>
      <c r="G11" s="1579"/>
      <c r="H11" s="2470"/>
      <c r="I11" s="3464"/>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2.5000000000000001E-2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1.1999999999999999E-3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v>
      </c>
      <c r="G36" s="2048"/>
      <c r="H36" s="2051"/>
      <c r="I36" s="3461"/>
      <c r="J36" s="2065"/>
      <c r="K36" s="2066"/>
      <c r="L36" s="2065"/>
      <c r="M36" s="2065"/>
    </row>
    <row r="37" spans="1:18" ht="18" customHeight="1">
      <c r="A37" s="815"/>
      <c r="B37" s="793"/>
      <c r="C37" s="69"/>
      <c r="D37" s="816"/>
      <c r="E37" s="784" t="s">
        <v>674</v>
      </c>
      <c r="F37" s="785">
        <f ca="1">INDIRECT("'数据-取费表'!r"&amp;$G$1)</f>
        <v>0</v>
      </c>
      <c r="G37" s="2048"/>
      <c r="H37" s="2051"/>
      <c r="I37" s="3461"/>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-2</v>
      </c>
      <c r="K54" s="3466"/>
      <c r="L54" s="3467"/>
      <c r="O54" s="2366" t="s">
        <v>2388</v>
      </c>
      <c r="P54" s="2364" t="s">
        <v>2389</v>
      </c>
      <c r="Q54" s="2365">
        <f ca="1">J54</f>
        <v>-2</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6" zoomScale="80" zoomScaleNormal="80" workbookViewId="0">
      <selection activeCell="D20" sqref="D20"/>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62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3068</v>
      </c>
      <c r="D1" s="3078" t="s">
        <v>3071</v>
      </c>
      <c r="E1" s="2352" t="s">
        <v>2374</v>
      </c>
      <c r="F1" s="2353">
        <f ca="1">J53</f>
        <v>36.32</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10374</v>
      </c>
      <c r="C2" s="2043"/>
      <c r="D2" s="2041"/>
      <c r="E2" s="2042"/>
      <c r="F2" s="2042"/>
      <c r="G2" s="1577"/>
      <c r="H2" s="2043"/>
      <c r="I2" s="2043"/>
      <c r="J2" s="2043"/>
      <c r="K2" s="2044"/>
      <c r="L2" s="2043"/>
      <c r="M2" s="2043"/>
    </row>
    <row r="3" spans="1:33" ht="18" customHeight="1" thickBot="1">
      <c r="A3" s="833" t="s">
        <v>1727</v>
      </c>
      <c r="B3" s="834">
        <f ca="1">IF(ISERROR(B2*10000/F43),0,ROUND(B2*10000/F43,0))</f>
        <v>5793</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668</v>
      </c>
      <c r="D5" s="2461" t="s">
        <v>2461</v>
      </c>
      <c r="E5" s="2455"/>
      <c r="F5" s="2456"/>
      <c r="G5" s="1579"/>
      <c r="H5" s="781">
        <v>1</v>
      </c>
      <c r="I5" s="782" t="s">
        <v>2458</v>
      </c>
      <c r="J5" s="55">
        <f ca="1">J6+J10+J12</f>
        <v>0</v>
      </c>
      <c r="K5" s="2461" t="s">
        <v>2461</v>
      </c>
      <c r="L5" s="2455"/>
      <c r="M5" s="2456"/>
    </row>
    <row r="6" spans="1:33" ht="18" customHeight="1">
      <c r="A6" s="1816" t="s">
        <v>1824</v>
      </c>
      <c r="B6" s="3462" t="s">
        <v>2463</v>
      </c>
      <c r="C6" s="783">
        <f ca="1">ROUND(F6*F8*F7*(1-F9)/10000,0)</f>
        <v>667</v>
      </c>
      <c r="D6" s="2462" t="s">
        <v>2462</v>
      </c>
      <c r="E6" s="784" t="s">
        <v>1738</v>
      </c>
      <c r="F6" s="785">
        <f ca="1">INDIRECT("'数据-取费表'!u"&amp;$G$1)</f>
        <v>1.2</v>
      </c>
      <c r="G6" s="1579"/>
      <c r="H6" s="2469" t="s">
        <v>2468</v>
      </c>
      <c r="I6" s="3462" t="s">
        <v>2463</v>
      </c>
      <c r="J6" s="783">
        <f ca="1">ROUND(M6*M8*M7*(1-M9)/10000,0)</f>
        <v>0</v>
      </c>
      <c r="K6" s="341" t="s">
        <v>1737</v>
      </c>
      <c r="L6" s="784" t="s">
        <v>1738</v>
      </c>
      <c r="M6" s="785">
        <f ca="1">INDIRECT("'数据-取费表'!z"&amp;$G$1)</f>
        <v>0</v>
      </c>
    </row>
    <row r="7" spans="1:33" ht="18" customHeight="1">
      <c r="A7" s="2465"/>
      <c r="B7" s="3463"/>
      <c r="C7" s="788"/>
      <c r="D7" s="789"/>
      <c r="E7" s="784" t="s">
        <v>1739</v>
      </c>
      <c r="F7" s="785">
        <f ca="1">IF(INDIRECT("'数据-取费表'!ah"&amp;$G$1)="",INDIRECT("'数据-取费表'!k"&amp;$G$1),INDIRECT("'数据-取费表'!ah"&amp;$G$1))</f>
        <v>17908.52</v>
      </c>
      <c r="G7" s="1579"/>
      <c r="H7" s="2454"/>
      <c r="I7" s="3463"/>
      <c r="J7" s="788"/>
      <c r="K7" s="789"/>
      <c r="L7" s="784" t="s">
        <v>1739</v>
      </c>
      <c r="M7" s="785">
        <f ca="1">F7</f>
        <v>17908.52</v>
      </c>
    </row>
    <row r="8" spans="1:33" ht="18" customHeight="1">
      <c r="A8" s="2458"/>
      <c r="B8" s="3464"/>
      <c r="C8" s="788"/>
      <c r="D8" s="789"/>
      <c r="E8" s="784" t="s">
        <v>1740</v>
      </c>
      <c r="F8" s="785">
        <f ca="1">INDIRECT("'数据-取费表'!ai"&amp;$G$1)</f>
        <v>365</v>
      </c>
      <c r="G8" s="1579"/>
      <c r="H8" s="2454"/>
      <c r="I8" s="3464"/>
      <c r="J8" s="788"/>
      <c r="K8" s="789"/>
      <c r="L8" s="784" t="s">
        <v>1740</v>
      </c>
      <c r="M8" s="785">
        <f ca="1">INDIRECT("'数据-取费表'!ai"&amp;$G$1)</f>
        <v>365</v>
      </c>
    </row>
    <row r="9" spans="1:33" ht="18" customHeight="1">
      <c r="A9" s="786"/>
      <c r="B9" s="3465"/>
      <c r="C9" s="788"/>
      <c r="D9" s="789"/>
      <c r="E9" s="784" t="s">
        <v>1741</v>
      </c>
      <c r="F9" s="794">
        <f ca="1">INDIRECT("'数据-取费表'!w"&amp;$G$1)</f>
        <v>0.15</v>
      </c>
      <c r="G9" s="1579"/>
      <c r="H9" s="2470"/>
      <c r="I9" s="3464"/>
      <c r="J9" s="788"/>
      <c r="K9" s="789"/>
      <c r="L9" s="795" t="s">
        <v>1741</v>
      </c>
      <c r="M9" s="796">
        <f ca="1">INDIRECT("'数据-取费表'!ab"&amp;$G$1)</f>
        <v>0</v>
      </c>
    </row>
    <row r="10" spans="1:33" ht="18" customHeight="1">
      <c r="A10" s="1816" t="s">
        <v>2466</v>
      </c>
      <c r="B10" s="2459" t="s">
        <v>2459</v>
      </c>
      <c r="C10" s="799">
        <f ca="1">ROUND(IF(F10="押一",C6/12*F11,IF(F10="押二",C6/12*2*F11,IF(F10="押三",C6/12*3*F11,C11*F11))),0)</f>
        <v>1</v>
      </c>
      <c r="D10" s="2466" t="s">
        <v>2975</v>
      </c>
      <c r="E10" s="2463" t="s">
        <v>2464</v>
      </c>
      <c r="F10" s="2586" t="s">
        <v>3073</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5799</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3582</v>
      </c>
      <c r="D14" s="1965" t="s">
        <v>1745</v>
      </c>
      <c r="E14" s="1966"/>
      <c r="F14" s="805"/>
      <c r="G14" s="1579"/>
      <c r="H14" s="1635" t="s">
        <v>1830</v>
      </c>
      <c r="I14" s="2217" t="s">
        <v>2826</v>
      </c>
      <c r="J14" s="53">
        <f ca="1">C29</f>
        <v>5799</v>
      </c>
      <c r="K14" s="26"/>
      <c r="L14" s="801"/>
      <c r="M14" s="802"/>
    </row>
    <row r="15" spans="1:33" s="2050" customFormat="1" ht="18" customHeight="1" thickBot="1">
      <c r="A15" s="1634" t="s">
        <v>1885</v>
      </c>
      <c r="B15" s="784" t="s">
        <v>647</v>
      </c>
      <c r="C15" s="53">
        <f ca="1">ROUND(C14*F15,0)</f>
        <v>179</v>
      </c>
      <c r="D15" s="806" t="s">
        <v>1746</v>
      </c>
      <c r="E15" s="806" t="s">
        <v>1747</v>
      </c>
      <c r="F15" s="807">
        <f>'数据-取费表'!B33</f>
        <v>0.05</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578</v>
      </c>
      <c r="K16" s="1807" t="s">
        <v>1750</v>
      </c>
      <c r="L16" s="2451"/>
      <c r="M16" s="2456"/>
    </row>
    <row r="17" spans="1:33" s="2050" customFormat="1" ht="18" customHeight="1">
      <c r="A17" s="1634" t="s">
        <v>1887</v>
      </c>
      <c r="B17" s="784" t="s">
        <v>653</v>
      </c>
      <c r="C17" s="53">
        <f ca="1">ROUND(F17*(F43+INDIRECT("'数据-取费表'!S"&amp;$G$1))/10000,0)</f>
        <v>358</v>
      </c>
      <c r="D17" s="784" t="s">
        <v>1751</v>
      </c>
      <c r="E17" s="784" t="s">
        <v>1752</v>
      </c>
      <c r="F17" s="56">
        <f>'数据-取费表'!B35</f>
        <v>200</v>
      </c>
      <c r="G17" s="1580"/>
      <c r="H17" s="1635" t="s">
        <v>1830</v>
      </c>
      <c r="I17" s="784" t="s">
        <v>656</v>
      </c>
      <c r="J17" s="53">
        <f ca="1">ROUND(IF(项目基本情况!B11="自然人",J6*M17/(1+'数据-取费表'!C42),J18+J19+J20),0)</f>
        <v>491</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54</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4173</v>
      </c>
      <c r="D19" s="261" t="s">
        <v>1757</v>
      </c>
      <c r="E19" s="1968"/>
      <c r="F19" s="56"/>
      <c r="G19" s="1579"/>
      <c r="H19" s="1634" t="s">
        <v>1885</v>
      </c>
      <c r="I19" s="784" t="s">
        <v>1758</v>
      </c>
      <c r="J19" s="53">
        <f ca="1">IF(K19="按租金收入计税",ROUND(J6*M19/(1+'数据-取费表'!C42),1),ROUND(C29*F33*0.7,1))</f>
        <v>487.1</v>
      </c>
      <c r="K19" s="811" t="s">
        <v>665</v>
      </c>
      <c r="L19" s="784" t="s">
        <v>1747</v>
      </c>
      <c r="M19" s="809">
        <f>IF(K19="按租金收入计税",'数据-取费表'!B51,'数据-取费表'!B50)</f>
        <v>1.2E-2</v>
      </c>
    </row>
    <row r="20" spans="1:33" s="2050" customFormat="1" ht="18" customHeight="1">
      <c r="A20" s="1635" t="s">
        <v>1889</v>
      </c>
      <c r="B20" s="784" t="s">
        <v>666</v>
      </c>
      <c r="C20" s="53">
        <f ca="1">ROUND(C19*F20,0)</f>
        <v>83</v>
      </c>
      <c r="D20" s="812" t="s">
        <v>1759</v>
      </c>
      <c r="E20" s="784" t="s">
        <v>1747</v>
      </c>
      <c r="F20" s="809">
        <f>'数据-取费表'!B37</f>
        <v>0.02</v>
      </c>
      <c r="G20" s="1580"/>
      <c r="H20" s="1637" t="s">
        <v>1880</v>
      </c>
      <c r="I20" s="341" t="s">
        <v>1760</v>
      </c>
      <c r="J20" s="54">
        <f ca="1">ROUND(M20*M21/10000,0)</f>
        <v>4</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2.5000000000000001E-2</v>
      </c>
      <c r="G21" s="1580"/>
      <c r="H21" s="2471"/>
      <c r="I21" s="793"/>
      <c r="J21" s="69"/>
      <c r="K21" s="816"/>
      <c r="L21" s="784" t="s">
        <v>1766</v>
      </c>
      <c r="M21" s="785">
        <f ca="1">INDIRECT("'数据-取费表'!r"&amp;$G$1)</f>
        <v>7163.41</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87</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202</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1.1999999999999999E-3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-578</v>
      </c>
      <c r="K25" s="2513" t="s">
        <v>1777</v>
      </c>
      <c r="L25" s="2514"/>
      <c r="M25" s="2515"/>
    </row>
    <row r="26" spans="1:33" ht="18" customHeight="1">
      <c r="A26" s="1634" t="s">
        <v>1831</v>
      </c>
      <c r="B26" s="784" t="s">
        <v>2438</v>
      </c>
      <c r="C26" s="53">
        <f ca="1">ROUND((C19+C20)*F26,0)</f>
        <v>851</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5799</v>
      </c>
      <c r="D29" s="2510"/>
      <c r="E29" s="2511"/>
      <c r="F29" s="2512"/>
      <c r="G29" s="1580"/>
      <c r="H29" s="823" t="s">
        <v>1787</v>
      </c>
      <c r="I29" s="824" t="s">
        <v>1788</v>
      </c>
      <c r="J29" s="825">
        <f ca="1">ROUND(J26/(1+F40)^F41,0)</f>
        <v>0</v>
      </c>
      <c r="K29" s="826" t="s">
        <v>1789</v>
      </c>
      <c r="L29" s="827"/>
      <c r="M29" s="828">
        <f ca="1">INDIRECT("'数据-取费表'!k"&amp;$G$1)</f>
        <v>17908.52</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222</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116.1</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35.6</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76.2</v>
      </c>
      <c r="D33" s="811" t="s">
        <v>3074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4.3</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7163.41</v>
      </c>
      <c r="G35" s="2048"/>
      <c r="H35" s="2051"/>
      <c r="I35" s="837" t="s">
        <v>1814</v>
      </c>
      <c r="J35" s="838">
        <f ca="1">ROUND(C13*J36,0)</f>
        <v>493</v>
      </c>
      <c r="K35" s="2064"/>
      <c r="L35" s="2063"/>
      <c r="M35" s="2063"/>
    </row>
    <row r="36" spans="1:18" ht="18" customHeight="1">
      <c r="A36" s="1635" t="s">
        <v>1889</v>
      </c>
      <c r="B36" s="784" t="s">
        <v>1802</v>
      </c>
      <c r="C36" s="53">
        <f ca="1">ROUND(C29*F36,1)</f>
        <v>87</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8.6999999999999993</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10</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2822</v>
      </c>
      <c r="C39" s="792">
        <f ca="1">C5-C30</f>
        <v>446</v>
      </c>
      <c r="D39" s="2513" t="s">
        <v>1806</v>
      </c>
      <c r="E39" s="2514"/>
      <c r="F39" s="2515"/>
      <c r="G39" s="2048"/>
      <c r="H39" s="2063"/>
      <c r="I39" s="837" t="s">
        <v>1818</v>
      </c>
      <c r="J39" s="845">
        <f ca="1">ROUND(J35/C39,3)</f>
        <v>1.105</v>
      </c>
      <c r="K39" s="2069"/>
      <c r="L39" s="2063"/>
      <c r="M39" s="2063"/>
    </row>
    <row r="40" spans="1:18" ht="18" customHeight="1">
      <c r="A40" s="781" t="s">
        <v>1895</v>
      </c>
      <c r="B40" s="2218" t="s">
        <v>2301</v>
      </c>
      <c r="C40" s="783">
        <f ca="1">ROUND(C39*(1-((1+F42)/(1+F40))^F41)/(F40-F42),0)</f>
        <v>10374</v>
      </c>
      <c r="D40" s="814" t="s">
        <v>1807</v>
      </c>
      <c r="E40" s="784" t="s">
        <v>2419</v>
      </c>
      <c r="F40" s="794">
        <f ca="1">INDIRECT("'数据-取费表'!I"&amp;$G$1)</f>
        <v>5.5E-2</v>
      </c>
      <c r="G40" s="2048"/>
      <c r="H40" s="2048"/>
      <c r="I40" s="837" t="s">
        <v>1819</v>
      </c>
      <c r="J40" s="845">
        <f ca="1">1-J39</f>
        <v>-0.10499999999999998</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36.32</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0.55900000000000005</v>
      </c>
      <c r="K42" s="2068"/>
      <c r="L42" s="1974"/>
      <c r="M42" s="1974"/>
    </row>
    <row r="43" spans="1:18" ht="18" customHeight="1" thickBot="1">
      <c r="A43" s="823" t="s">
        <v>1787</v>
      </c>
      <c r="B43" s="824" t="s">
        <v>1810</v>
      </c>
      <c r="C43" s="825">
        <f ca="1">ROUND(C40*10000/F43,0)</f>
        <v>5793</v>
      </c>
      <c r="D43" s="826" t="s">
        <v>1811</v>
      </c>
      <c r="E43" s="827" t="s">
        <v>1812</v>
      </c>
      <c r="F43" s="828">
        <f ca="1">INDIRECT("'数据-取费表'!k"&amp;$G$1)</f>
        <v>17908.52</v>
      </c>
      <c r="G43" s="2048"/>
      <c r="H43" s="1974"/>
      <c r="I43" s="847" t="s">
        <v>1822</v>
      </c>
      <c r="J43" s="848">
        <f ca="1">1-J42</f>
        <v>0.44099999999999995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-11932</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3072</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38.32</v>
      </c>
      <c r="O48" s="2363" t="s">
        <v>2379</v>
      </c>
      <c r="P48" s="2364" t="s">
        <v>2405</v>
      </c>
      <c r="Q48" s="2365">
        <f ca="1">C40+J29</f>
        <v>10374</v>
      </c>
      <c r="R48" s="2364" t="s">
        <v>2380</v>
      </c>
    </row>
    <row r="49" spans="1:18" s="2045" customFormat="1" ht="18" customHeight="1" thickBot="1">
      <c r="A49" s="786"/>
      <c r="B49" s="787"/>
      <c r="C49" s="788"/>
      <c r="D49" s="789"/>
      <c r="E49" s="784" t="s">
        <v>1739</v>
      </c>
      <c r="F49" s="785">
        <f ca="1">F7</f>
        <v>17908.52</v>
      </c>
      <c r="G49" s="2076"/>
      <c r="H49" s="2079"/>
      <c r="I49" s="3079" t="s">
        <v>2346</v>
      </c>
      <c r="J49" s="2348">
        <v>2022</v>
      </c>
      <c r="K49" s="3108" t="s">
        <v>2352</v>
      </c>
      <c r="L49" s="2349"/>
      <c r="O49" s="2363" t="s">
        <v>2381</v>
      </c>
      <c r="P49" s="2364" t="s">
        <v>2406</v>
      </c>
      <c r="Q49" s="2365">
        <f ca="1">J60</f>
        <v>104</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8" t="s">
        <v>2353</v>
      </c>
      <c r="L50" s="2349"/>
      <c r="O50" s="2366" t="s">
        <v>2383</v>
      </c>
      <c r="P50" s="2364" t="s">
        <v>2407</v>
      </c>
      <c r="Q50" s="2365">
        <f ca="1">C29</f>
        <v>5799</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1">
        <f ca="1">ROUND(-PV(INDIRECT("'数据-取费表'!h"&amp;$G$1),L48,(C39-C13*J36),0),0)</f>
        <v>-794</v>
      </c>
      <c r="O51" s="2366" t="s">
        <v>2384</v>
      </c>
      <c r="P51" s="2364" t="s">
        <v>2385</v>
      </c>
      <c r="Q51" s="2367">
        <f ca="1">J58</f>
        <v>0.41099999999999998</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0.09</v>
      </c>
      <c r="K52" s="3102"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36.32</v>
      </c>
      <c r="K53" s="3468" t="s">
        <v>2967</v>
      </c>
      <c r="L53" s="3469"/>
      <c r="O53" s="2366" t="s">
        <v>2388</v>
      </c>
      <c r="P53" s="2364" t="s">
        <v>2389</v>
      </c>
      <c r="Q53" s="2365">
        <f ca="1">J53</f>
        <v>36.32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10478</v>
      </c>
      <c r="R54" s="2368" t="s">
        <v>2392</v>
      </c>
    </row>
    <row r="55" spans="1:18" s="2045" customFormat="1" ht="18" customHeight="1" thickTop="1" thickBot="1">
      <c r="A55" s="797">
        <v>2</v>
      </c>
      <c r="B55" s="798" t="s">
        <v>644</v>
      </c>
      <c r="C55" s="799">
        <f ca="1">C13</f>
        <v>5799</v>
      </c>
      <c r="D55" s="795"/>
      <c r="E55" s="795"/>
      <c r="F55" s="800"/>
      <c r="I55" s="3114" t="s">
        <v>2355</v>
      </c>
      <c r="J55" s="3054">
        <f ca="1">ROUND(IF(J47="钢混",J57/J50,1-(1-2%)*(J50-J57)/J50),3)</f>
        <v>0.41099999999999998</v>
      </c>
      <c r="K55" s="3115" t="s">
        <v>2356</v>
      </c>
      <c r="L55" s="2351"/>
      <c r="O55" s="2369" t="s">
        <v>2411</v>
      </c>
      <c r="P55" s="1579"/>
      <c r="Q55" s="1590"/>
      <c r="R55" s="1579"/>
    </row>
    <row r="56" spans="1:18" s="2045" customFormat="1" ht="42.75" customHeight="1" thickBot="1">
      <c r="A56" s="1636"/>
      <c r="B56" s="2217" t="s">
        <v>2302</v>
      </c>
      <c r="C56" s="53">
        <f ca="1">C29</f>
        <v>5799</v>
      </c>
      <c r="D56" s="2604"/>
      <c r="E56" s="784"/>
      <c r="F56" s="809"/>
      <c r="I56" s="3116" t="s">
        <v>2357</v>
      </c>
      <c r="J56" s="3126"/>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100</v>
      </c>
      <c r="D57" s="26" t="s">
        <v>1750</v>
      </c>
      <c r="E57" s="2605"/>
      <c r="F57" s="56"/>
      <c r="I57" s="3117" t="s">
        <v>2358</v>
      </c>
      <c r="J57" s="3118">
        <f ca="1">IF(OR(M47="住宅",J51&lt;L48,J56="是"),"——",J51-L48)</f>
        <v>24.68</v>
      </c>
      <c r="K57" s="3079" t="s">
        <v>2363</v>
      </c>
      <c r="L57" s="1894" t="str">
        <f ca="1">IF(L48&lt;J51,"——",IF(L55="比较法",L49,IF(L55="基准地价",L50,L51)))</f>
        <v>——</v>
      </c>
      <c r="O57" s="2363" t="s">
        <v>2379</v>
      </c>
      <c r="P57" s="2364" t="s">
        <v>2409</v>
      </c>
      <c r="Q57" s="2365">
        <f ca="1">C40+J29</f>
        <v>10374</v>
      </c>
      <c r="R57" s="2364" t="s">
        <v>2380</v>
      </c>
    </row>
    <row r="58" spans="1:18" s="2045" customFormat="1" ht="28.5" customHeight="1" thickBot="1">
      <c r="A58" s="1635" t="s">
        <v>1824</v>
      </c>
      <c r="B58" s="784" t="s">
        <v>656</v>
      </c>
      <c r="C58" s="53">
        <f ca="1">ROUND(IF(项目基本情况!B11="自然人",C47*F58,C59+C60+C61),1)</f>
        <v>4.3</v>
      </c>
      <c r="D58" s="2603" t="s">
        <v>657</v>
      </c>
      <c r="E58" s="2604" t="s">
        <v>690</v>
      </c>
      <c r="F58" s="810">
        <f ca="1">IF(项目基本情况!B11="企业","",IF(INDIRECT("'数据-取费表'!c"&amp;$G$1)="住宅",5%,IF(F48*F49*F50/12/(1+'数据-取费表'!C42)&gt;20000,12%,7%)))</f>
        <v>7.0000000000000007E-2</v>
      </c>
      <c r="I58" s="3117" t="s">
        <v>2359</v>
      </c>
      <c r="J58" s="3055">
        <f ca="1">IF(J55&lt;0.4,0.4,J55)</f>
        <v>0.41099999999999998</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f ca="1">IF(OR(M47="住宅",J51&lt;L48,J56="是"),"——",ROUND(C29*J58,0))</f>
        <v>2383</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104</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4.3</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7163.41</v>
      </c>
      <c r="I62" s="3122" t="s">
        <v>2367</v>
      </c>
      <c r="J62" s="3123" t="s">
        <v>2368</v>
      </c>
      <c r="K62" s="3123" t="s">
        <v>2369</v>
      </c>
      <c r="L62" s="3123" t="s">
        <v>2350</v>
      </c>
      <c r="M62" s="3124"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87</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10374</v>
      </c>
      <c r="R63" s="2368" t="s">
        <v>2392</v>
      </c>
    </row>
    <row r="64" spans="1:18" s="2045" customFormat="1" ht="16.5" thickBot="1">
      <c r="A64" s="1635" t="s">
        <v>1890</v>
      </c>
      <c r="B64" s="784" t="s">
        <v>679</v>
      </c>
      <c r="C64" s="53">
        <f ca="1">ROUND(C55*F64,1)</f>
        <v>8.6999999999999993</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1.4999999999999999E-2</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-100</v>
      </c>
      <c r="D66" s="2603" t="s">
        <v>700</v>
      </c>
      <c r="E66" s="2602"/>
      <c r="F66" s="820"/>
      <c r="K66" s="2072"/>
      <c r="O66" s="2363" t="s">
        <v>2379</v>
      </c>
      <c r="P66" s="2364" t="s">
        <v>2409</v>
      </c>
      <c r="Q66" s="2365">
        <f ca="1">C40+J29</f>
        <v>10374</v>
      </c>
      <c r="R66" s="2364" t="s">
        <v>2380</v>
      </c>
    </row>
    <row r="67" spans="1:18" s="2045" customFormat="1" ht="20.25" thickBot="1">
      <c r="A67" s="781" t="s">
        <v>1780</v>
      </c>
      <c r="B67" s="2218" t="s">
        <v>2301</v>
      </c>
      <c r="C67" s="783">
        <f ca="1">ROUND(C66*(1-((1+F69)/(1+F67))^F68)/(F67-F69),0)</f>
        <v>-1558</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36.32</v>
      </c>
      <c r="O68" s="2366" t="s">
        <v>2383</v>
      </c>
      <c r="P68" s="2364" t="s">
        <v>2413</v>
      </c>
      <c r="Q68" s="2370">
        <f ca="1">L51</f>
        <v>-794</v>
      </c>
      <c r="R68" s="2371" t="s">
        <v>2416</v>
      </c>
    </row>
    <row r="69" spans="1:18" ht="20.25" thickBot="1">
      <c r="A69" s="790"/>
      <c r="B69" s="791"/>
      <c r="C69" s="792"/>
      <c r="D69" s="816"/>
      <c r="E69" s="784" t="s">
        <v>710</v>
      </c>
      <c r="F69" s="2336"/>
      <c r="O69" s="2366" t="s">
        <v>2384</v>
      </c>
      <c r="P69" s="2372" t="s">
        <v>2398</v>
      </c>
      <c r="Q69" s="2365">
        <f ca="1">ROUND(Q70-Q71*Q72,0)</f>
        <v>-47</v>
      </c>
      <c r="R69" s="2368"/>
    </row>
    <row r="70" spans="1:18" ht="15.75" thickBot="1">
      <c r="A70" s="823" t="s">
        <v>1787</v>
      </c>
      <c r="B70" s="824" t="s">
        <v>1810</v>
      </c>
      <c r="C70" s="825">
        <f ca="1">ROUND(C67*10000/F70,0)</f>
        <v>-870</v>
      </c>
      <c r="D70" s="826" t="s">
        <v>1811</v>
      </c>
      <c r="E70" s="827" t="s">
        <v>1812</v>
      </c>
      <c r="F70" s="828">
        <f ca="1">F43</f>
        <v>17908.52</v>
      </c>
      <c r="O70" s="2366" t="s">
        <v>2399</v>
      </c>
      <c r="P70" s="2372" t="s">
        <v>2400</v>
      </c>
      <c r="Q70" s="2365">
        <f ca="1">C39</f>
        <v>446</v>
      </c>
      <c r="R70" s="2364" t="s">
        <v>2380</v>
      </c>
    </row>
    <row r="71" spans="1:18" ht="15.75" thickBot="1">
      <c r="O71" s="2366" t="s">
        <v>2401</v>
      </c>
      <c r="P71" s="2372" t="s">
        <v>2402</v>
      </c>
      <c r="Q71" s="2365">
        <f ca="1">C13</f>
        <v>5799</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10374</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470" t="s">
        <v>2471</v>
      </c>
      <c r="B1" s="3471"/>
      <c r="C1" s="3472"/>
      <c r="D1" s="3473">
        <f>SUM(I10,I15,I20,I21,I23)</f>
        <v>0</v>
      </c>
      <c r="E1" s="3473"/>
      <c r="F1" s="3473"/>
      <c r="G1" s="3473"/>
      <c r="H1" s="3473"/>
      <c r="I1" s="3474"/>
    </row>
    <row r="2" spans="1:9">
      <c r="A2" s="3475" t="s">
        <v>2472</v>
      </c>
      <c r="B2" s="3476" t="s">
        <v>2473</v>
      </c>
      <c r="C2" s="3476"/>
      <c r="D2" s="2472" t="s">
        <v>2474</v>
      </c>
      <c r="E2" s="2472" t="s">
        <v>2475</v>
      </c>
      <c r="F2" s="2472" t="s">
        <v>2476</v>
      </c>
      <c r="G2" s="2472" t="s">
        <v>2477</v>
      </c>
      <c r="H2" s="2472" t="s">
        <v>2478</v>
      </c>
      <c r="I2" s="2473" t="s">
        <v>2479</v>
      </c>
    </row>
    <row r="3" spans="1:9">
      <c r="A3" s="3475"/>
      <c r="B3" s="3476" t="s">
        <v>2480</v>
      </c>
      <c r="C3" s="3476"/>
      <c r="D3" s="2474"/>
      <c r="E3" s="2472"/>
      <c r="F3" s="2475"/>
      <c r="G3" s="2475"/>
      <c r="H3" s="2476"/>
      <c r="I3" s="2477">
        <f>ROUND(D3*E3*F3*G3*H3/10000,0)</f>
        <v>0</v>
      </c>
    </row>
    <row r="4" spans="1:9">
      <c r="A4" s="3475"/>
      <c r="B4" s="3476" t="s">
        <v>2481</v>
      </c>
      <c r="C4" s="3476"/>
      <c r="D4" s="2474"/>
      <c r="E4" s="2472"/>
      <c r="F4" s="2475"/>
      <c r="G4" s="2475"/>
      <c r="H4" s="2476"/>
      <c r="I4" s="2477">
        <f t="shared" ref="I4:I9" si="0">ROUND(D4*E4*F4*G4*H4/10000,0)</f>
        <v>0</v>
      </c>
    </row>
    <row r="5" spans="1:9">
      <c r="A5" s="3475"/>
      <c r="B5" s="3476" t="s">
        <v>2482</v>
      </c>
      <c r="C5" s="3476"/>
      <c r="D5" s="2474"/>
      <c r="E5" s="2472"/>
      <c r="F5" s="2475"/>
      <c r="G5" s="2475"/>
      <c r="H5" s="2476"/>
      <c r="I5" s="2477">
        <f t="shared" si="0"/>
        <v>0</v>
      </c>
    </row>
    <row r="6" spans="1:9">
      <c r="A6" s="3475"/>
      <c r="B6" s="3476" t="s">
        <v>2483</v>
      </c>
      <c r="C6" s="3476"/>
      <c r="D6" s="2474"/>
      <c r="E6" s="2472"/>
      <c r="F6" s="2475"/>
      <c r="G6" s="2475"/>
      <c r="H6" s="2476"/>
      <c r="I6" s="2477">
        <f t="shared" si="0"/>
        <v>0</v>
      </c>
    </row>
    <row r="7" spans="1:9">
      <c r="A7" s="3475"/>
      <c r="B7" s="3476" t="s">
        <v>2484</v>
      </c>
      <c r="C7" s="3476"/>
      <c r="D7" s="2474"/>
      <c r="E7" s="2472"/>
      <c r="F7" s="2475"/>
      <c r="G7" s="2475"/>
      <c r="H7" s="2476"/>
      <c r="I7" s="2477">
        <f t="shared" si="0"/>
        <v>0</v>
      </c>
    </row>
    <row r="8" spans="1:9">
      <c r="A8" s="3475"/>
      <c r="B8" s="3476" t="s">
        <v>2485</v>
      </c>
      <c r="C8" s="3476"/>
      <c r="D8" s="2474"/>
      <c r="E8" s="2472"/>
      <c r="F8" s="2475"/>
      <c r="G8" s="2475"/>
      <c r="H8" s="2476"/>
      <c r="I8" s="2477">
        <f t="shared" si="0"/>
        <v>0</v>
      </c>
    </row>
    <row r="9" spans="1:9">
      <c r="A9" s="3475"/>
      <c r="B9" s="3476" t="s">
        <v>2486</v>
      </c>
      <c r="C9" s="3476"/>
      <c r="D9" s="2474"/>
      <c r="E9" s="2472"/>
      <c r="F9" s="2475"/>
      <c r="G9" s="2475"/>
      <c r="H9" s="2476"/>
      <c r="I9" s="2477">
        <f t="shared" si="0"/>
        <v>0</v>
      </c>
    </row>
    <row r="10" spans="1:9">
      <c r="A10" s="3475"/>
      <c r="B10" s="3477" t="s">
        <v>2487</v>
      </c>
      <c r="C10" s="3477"/>
      <c r="D10" s="2478">
        <v>527</v>
      </c>
      <c r="E10" s="2478" t="e">
        <f>ROUND(D1*10000/D10/H9,0)</f>
        <v>#DIV/0!</v>
      </c>
      <c r="F10" s="2479"/>
      <c r="G10" s="2479"/>
      <c r="H10" s="2480"/>
      <c r="I10" s="2481">
        <f>SUM(I3:I9)</f>
        <v>0</v>
      </c>
    </row>
    <row r="11" spans="1:9" ht="14.25">
      <c r="A11" s="3475" t="s">
        <v>2488</v>
      </c>
      <c r="B11" s="3476" t="s">
        <v>2489</v>
      </c>
      <c r="C11" s="3476"/>
      <c r="D11" s="2474" t="s">
        <v>2490</v>
      </c>
      <c r="E11" s="2474" t="s">
        <v>2491</v>
      </c>
      <c r="F11" s="2475" t="s">
        <v>2492</v>
      </c>
      <c r="G11" s="2475" t="s">
        <v>2493</v>
      </c>
      <c r="H11" s="2482" t="s">
        <v>2494</v>
      </c>
      <c r="I11" s="2473" t="s">
        <v>2495</v>
      </c>
    </row>
    <row r="12" spans="1:9">
      <c r="A12" s="3475"/>
      <c r="B12" s="3476" t="s">
        <v>2496</v>
      </c>
      <c r="C12" s="3476"/>
      <c r="D12" s="2474"/>
      <c r="E12" s="2474"/>
      <c r="F12" s="2475"/>
      <c r="G12" s="2476"/>
      <c r="H12" s="2483"/>
      <c r="I12" s="2473">
        <f>ROUND(D12*E12*F12*G12/10000,0)</f>
        <v>0</v>
      </c>
    </row>
    <row r="13" spans="1:9">
      <c r="A13" s="3475"/>
      <c r="B13" s="3476" t="s">
        <v>2497</v>
      </c>
      <c r="C13" s="3476"/>
      <c r="D13" s="2474"/>
      <c r="E13" s="2474"/>
      <c r="F13" s="2475"/>
      <c r="G13" s="2476"/>
      <c r="H13" s="2483"/>
      <c r="I13" s="2473">
        <f>ROUND(D13*E13*F13*G13/10000,0)</f>
        <v>0</v>
      </c>
    </row>
    <row r="14" spans="1:9">
      <c r="A14" s="3475"/>
      <c r="B14" s="3476" t="s">
        <v>2498</v>
      </c>
      <c r="C14" s="3476"/>
      <c r="D14" s="2474"/>
      <c r="E14" s="2474"/>
      <c r="F14" s="2475"/>
      <c r="G14" s="2476"/>
      <c r="H14" s="2483"/>
      <c r="I14" s="2473">
        <f>ROUND(D14*E14*F14*G14/10000,0)</f>
        <v>0</v>
      </c>
    </row>
    <row r="15" spans="1:9">
      <c r="A15" s="3475"/>
      <c r="B15" s="3477" t="s">
        <v>2487</v>
      </c>
      <c r="C15" s="3477"/>
      <c r="D15" s="2478"/>
      <c r="E15" s="2478">
        <f>SUM(E12:E14)</f>
        <v>0</v>
      </c>
      <c r="F15" s="2479"/>
      <c r="G15" s="2476"/>
      <c r="H15" s="2483"/>
      <c r="I15" s="2484">
        <f>SUM(I12:I14)</f>
        <v>0</v>
      </c>
    </row>
    <row r="16" spans="1:9" ht="24">
      <c r="A16" s="3475" t="s">
        <v>2499</v>
      </c>
      <c r="B16" s="3476" t="s">
        <v>2500</v>
      </c>
      <c r="C16" s="3476"/>
      <c r="D16" s="2474" t="s">
        <v>2501</v>
      </c>
      <c r="E16" s="2485" t="s">
        <v>2502</v>
      </c>
      <c r="F16" s="2475" t="s">
        <v>2503</v>
      </c>
      <c r="G16" s="2476" t="s">
        <v>2493</v>
      </c>
      <c r="H16" s="2482" t="s">
        <v>2494</v>
      </c>
      <c r="I16" s="2473" t="s">
        <v>2495</v>
      </c>
    </row>
    <row r="17" spans="1:9" ht="14.25">
      <c r="A17" s="3475"/>
      <c r="B17" s="3476" t="s">
        <v>2504</v>
      </c>
      <c r="C17" s="3476"/>
      <c r="D17" s="2474"/>
      <c r="E17" s="2474"/>
      <c r="F17" s="2475"/>
      <c r="G17" s="2476"/>
      <c r="H17" s="2486"/>
      <c r="I17" s="2487">
        <f>ROUND(D17*E17*F17*G17/10000,0)</f>
        <v>0</v>
      </c>
    </row>
    <row r="18" spans="1:9" ht="14.25">
      <c r="A18" s="3475"/>
      <c r="B18" s="3476" t="s">
        <v>2505</v>
      </c>
      <c r="C18" s="3476"/>
      <c r="D18" s="2474"/>
      <c r="E18" s="2474"/>
      <c r="F18" s="2475"/>
      <c r="G18" s="2476"/>
      <c r="H18" s="2486"/>
      <c r="I18" s="2487">
        <f>ROUND(D18*E18*F18*G18/10000,0)</f>
        <v>0</v>
      </c>
    </row>
    <row r="19" spans="1:9" ht="14.25">
      <c r="A19" s="3475"/>
      <c r="B19" s="3476" t="s">
        <v>2506</v>
      </c>
      <c r="C19" s="3476"/>
      <c r="D19" s="2474"/>
      <c r="E19" s="2474"/>
      <c r="F19" s="2475"/>
      <c r="G19" s="2476"/>
      <c r="H19" s="2486"/>
      <c r="I19" s="2487">
        <f>ROUND(D19*E19*F19*G19/10000,0)</f>
        <v>0</v>
      </c>
    </row>
    <row r="20" spans="1:9">
      <c r="A20" s="3475"/>
      <c r="B20" s="3477" t="s">
        <v>2487</v>
      </c>
      <c r="C20" s="3477"/>
      <c r="D20" s="2478">
        <f>SUM(D17:D19)</f>
        <v>0</v>
      </c>
      <c r="E20" s="2478"/>
      <c r="F20" s="2479"/>
      <c r="G20" s="2476"/>
      <c r="H20" s="2483"/>
      <c r="I20" s="2484">
        <f>SUM(I17:I19)</f>
        <v>0</v>
      </c>
    </row>
    <row r="21" spans="1:9">
      <c r="A21" s="3475" t="s">
        <v>2507</v>
      </c>
      <c r="B21" s="3479"/>
      <c r="C21" s="3479"/>
      <c r="D21" s="3479"/>
      <c r="E21" s="3479"/>
      <c r="F21" s="3479"/>
      <c r="G21" s="3479"/>
      <c r="H21" s="2488">
        <v>0.1</v>
      </c>
      <c r="I21" s="2481">
        <f>ROUND(I10*H21,0)</f>
        <v>0</v>
      </c>
    </row>
    <row r="22" spans="1:9" ht="14.25">
      <c r="A22" s="3480" t="s">
        <v>2508</v>
      </c>
      <c r="B22" s="3481"/>
      <c r="C22" s="3482"/>
      <c r="D22" s="2489" t="s">
        <v>2509</v>
      </c>
      <c r="E22" s="2489" t="s">
        <v>2510</v>
      </c>
      <c r="F22" s="2490" t="s">
        <v>2511</v>
      </c>
      <c r="G22" s="2490" t="s">
        <v>2512</v>
      </c>
      <c r="H22" s="2482" t="s">
        <v>2513</v>
      </c>
      <c r="I22" s="2473" t="s">
        <v>2514</v>
      </c>
    </row>
    <row r="23" spans="1:9" ht="14.25" thickBot="1">
      <c r="A23" s="3483"/>
      <c r="B23" s="3484"/>
      <c r="C23" s="3485"/>
      <c r="D23" s="2491"/>
      <c r="E23" s="2491"/>
      <c r="F23" s="2491"/>
      <c r="G23" s="2492"/>
      <c r="H23" s="2493"/>
      <c r="I23" s="2494">
        <f>ROUND(E23*D23*F23*(1-G23)/10000,0)</f>
        <v>0</v>
      </c>
    </row>
    <row r="26" spans="1:9">
      <c r="A26" s="2495" t="s">
        <v>2515</v>
      </c>
      <c r="B26" s="2495"/>
      <c r="C26" s="2495"/>
      <c r="D26" s="2495"/>
      <c r="E26" s="3486">
        <f>C27-C30-C31-C32</f>
        <v>0</v>
      </c>
      <c r="F26" s="3486"/>
      <c r="G26" s="3486"/>
      <c r="H26" s="2996" t="s">
        <v>2843</v>
      </c>
    </row>
    <row r="27" spans="1:9">
      <c r="A27" s="2496">
        <v>1</v>
      </c>
      <c r="B27" s="2497" t="s">
        <v>2516</v>
      </c>
      <c r="C27" s="2497"/>
      <c r="D27" s="2497"/>
      <c r="E27" s="3487"/>
      <c r="F27" s="3487"/>
      <c r="G27" s="3487"/>
    </row>
    <row r="28" spans="1:9">
      <c r="A28" s="2498" t="s">
        <v>2517</v>
      </c>
      <c r="B28" s="2497" t="s">
        <v>2518</v>
      </c>
      <c r="C28" s="2497"/>
      <c r="D28" s="2497"/>
      <c r="E28" s="3487"/>
      <c r="F28" s="3487"/>
      <c r="G28" s="3487"/>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78"/>
      <c r="F32" s="3478"/>
      <c r="G32" s="3478"/>
    </row>
    <row r="33" spans="1:7" hidden="1">
      <c r="A33" s="3488" t="s">
        <v>2526</v>
      </c>
      <c r="B33" s="3489"/>
      <c r="C33" s="3489"/>
      <c r="D33" s="3490"/>
      <c r="E33" s="3486"/>
      <c r="F33" s="3486"/>
      <c r="G33" s="3486"/>
    </row>
    <row r="34" spans="1:7" hidden="1">
      <c r="A34" s="2500">
        <v>1</v>
      </c>
      <c r="B34" s="2497" t="s">
        <v>2527</v>
      </c>
      <c r="C34" s="2497"/>
      <c r="D34" s="2497"/>
      <c r="E34" s="3487"/>
      <c r="F34" s="3487"/>
      <c r="G34" s="3487"/>
    </row>
    <row r="35" spans="1:7" hidden="1">
      <c r="A35" s="2500">
        <v>2</v>
      </c>
      <c r="B35" s="2497" t="s">
        <v>2528</v>
      </c>
      <c r="C35" s="2497"/>
      <c r="D35" s="2497"/>
      <c r="E35" s="3487"/>
      <c r="F35" s="3487"/>
      <c r="G35" s="3487"/>
    </row>
    <row r="36" spans="1:7" hidden="1">
      <c r="A36" s="2500">
        <v>3</v>
      </c>
      <c r="B36" s="2497" t="s">
        <v>2529</v>
      </c>
      <c r="C36" s="2497"/>
      <c r="D36" s="2497"/>
      <c r="E36" s="3487"/>
      <c r="F36" s="3487"/>
      <c r="G36" s="3487"/>
    </row>
    <row r="37" spans="1:7" hidden="1">
      <c r="A37" s="2500">
        <v>4</v>
      </c>
      <c r="B37" s="2497" t="s">
        <v>2530</v>
      </c>
      <c r="C37" s="2497"/>
      <c r="D37" s="2497"/>
      <c r="E37" s="3487"/>
      <c r="F37" s="3487"/>
      <c r="G37" s="3487"/>
    </row>
    <row r="38" spans="1:7" hidden="1">
      <c r="A38" s="3488" t="s">
        <v>2531</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59695.06</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79</v>
      </c>
      <c r="D12" s="758">
        <f>'数据-汇总表'!E5</f>
        <v>41786.54</v>
      </c>
      <c r="E12" s="757">
        <f>'数据-取费表'!B27</f>
        <v>19</v>
      </c>
      <c r="F12" s="755"/>
      <c r="G12" s="759"/>
    </row>
    <row r="13" spans="1:25" s="2169" customFormat="1" ht="13.5" customHeight="1">
      <c r="A13" s="2441" t="s">
        <v>2447</v>
      </c>
      <c r="B13" s="756" t="s">
        <v>612</v>
      </c>
      <c r="C13" s="757">
        <f>ROUND(D13*E13/10000,0)</f>
        <v>34</v>
      </c>
      <c r="D13" s="758">
        <f>'数据-汇总表'!E6</f>
        <v>17908.519999999997</v>
      </c>
      <c r="E13" s="757">
        <f>'数据-取费表'!B28</f>
        <v>19</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0.17</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0.91900000000000004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G42" sqref="G42"/>
    </sheetView>
  </sheetViews>
  <sheetFormatPr defaultColWidth="9" defaultRowHeight="14.25"/>
  <cols>
    <col min="1" max="1" width="10.5" style="1333" customWidth="1"/>
    <col min="2" max="2" width="15.62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3102</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18282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4375</v>
      </c>
      <c r="C3" s="852" t="s">
        <v>722</v>
      </c>
      <c r="D3" s="851">
        <f>SUMIF('数据-汇总表'!$C19:$C33,D1,'数据-汇总表'!$E19:$E33)</f>
        <v>41786.54</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1" t="s">
        <v>522</v>
      </c>
      <c r="D4" s="3382"/>
      <c r="E4" s="3415" t="s">
        <v>523</v>
      </c>
      <c r="F4" s="3416"/>
      <c r="G4" s="3381" t="s">
        <v>524</v>
      </c>
      <c r="H4" s="3382"/>
      <c r="I4" s="3381" t="s">
        <v>525</v>
      </c>
      <c r="J4" s="3382"/>
      <c r="K4" s="853" t="s">
        <v>526</v>
      </c>
      <c r="L4" s="2119"/>
      <c r="M4" s="2120"/>
      <c r="N4" s="2120"/>
      <c r="O4" s="2120"/>
      <c r="P4" s="3383" t="s">
        <v>527</v>
      </c>
      <c r="Q4" s="3384"/>
      <c r="R4" s="3389" t="s">
        <v>523</v>
      </c>
      <c r="S4" s="3390"/>
      <c r="T4" s="3389" t="s">
        <v>524</v>
      </c>
      <c r="U4" s="3390"/>
      <c r="V4" s="3376" t="s">
        <v>525</v>
      </c>
      <c r="W4" s="3376"/>
      <c r="X4" s="1554"/>
      <c r="Y4" s="3389" t="s">
        <v>527</v>
      </c>
      <c r="Z4" s="3390"/>
      <c r="AA4" s="3378" t="s">
        <v>523</v>
      </c>
      <c r="AB4" s="3378" t="s">
        <v>524</v>
      </c>
      <c r="AC4" s="3378" t="s">
        <v>525</v>
      </c>
    </row>
    <row r="5" spans="1:29" ht="15">
      <c r="A5" s="515"/>
      <c r="B5" s="516"/>
      <c r="C5" s="3397" t="s">
        <v>2931</v>
      </c>
      <c r="D5" s="3398"/>
      <c r="E5" s="3495" t="s">
        <v>3087</v>
      </c>
      <c r="F5" s="3418"/>
      <c r="G5" s="3494" t="s">
        <v>3088</v>
      </c>
      <c r="H5" s="3398"/>
      <c r="I5" s="3494" t="s">
        <v>3089</v>
      </c>
      <c r="J5" s="3398"/>
      <c r="K5" s="854"/>
      <c r="L5" s="2119"/>
      <c r="M5" s="2120"/>
      <c r="N5" s="2120"/>
      <c r="O5" s="2120"/>
      <c r="P5" s="3385"/>
      <c r="Q5" s="3386"/>
      <c r="R5" s="3391"/>
      <c r="S5" s="3392"/>
      <c r="T5" s="3391"/>
      <c r="U5" s="3392"/>
      <c r="V5" s="3376"/>
      <c r="W5" s="3376"/>
      <c r="X5" s="1554"/>
      <c r="Y5" s="3391"/>
      <c r="Z5" s="3392"/>
      <c r="AA5" s="3379"/>
      <c r="AB5" s="3379"/>
      <c r="AC5" s="3379"/>
    </row>
    <row r="6" spans="1:29" ht="15.75" thickBot="1">
      <c r="A6" s="517"/>
      <c r="B6" s="518"/>
      <c r="C6" s="3395" t="s">
        <v>2935</v>
      </c>
      <c r="D6" s="3396"/>
      <c r="E6" s="3413" t="s">
        <v>2935</v>
      </c>
      <c r="F6" s="3414"/>
      <c r="G6" s="3395" t="s">
        <v>2935</v>
      </c>
      <c r="H6" s="3396"/>
      <c r="I6" s="3395" t="s">
        <v>2935</v>
      </c>
      <c r="J6" s="3396"/>
      <c r="K6" s="854" t="s">
        <v>528</v>
      </c>
      <c r="L6" s="2119"/>
      <c r="M6" s="2120"/>
      <c r="N6" s="2120"/>
      <c r="O6" s="2120"/>
      <c r="P6" s="3387"/>
      <c r="Q6" s="3388"/>
      <c r="R6" s="3391"/>
      <c r="S6" s="3392"/>
      <c r="T6" s="3393"/>
      <c r="U6" s="3394"/>
      <c r="V6" s="3376"/>
      <c r="W6" s="3376"/>
      <c r="X6" s="1554"/>
      <c r="Y6" s="3393"/>
      <c r="Z6" s="3394"/>
      <c r="AA6" s="3380"/>
      <c r="AB6" s="3380"/>
      <c r="AC6" s="3380"/>
    </row>
    <row r="7" spans="1:29" s="1216" customFormat="1" ht="15.75" thickBot="1">
      <c r="A7" s="2868"/>
      <c r="B7" s="2875" t="s">
        <v>529</v>
      </c>
      <c r="C7" s="519">
        <f>'数据-取费表'!B2</f>
        <v>43712</v>
      </c>
      <c r="D7" s="520">
        <v>100</v>
      </c>
      <c r="E7" s="521">
        <v>43712</v>
      </c>
      <c r="F7" s="522">
        <f>SUMIF(58:58,YEAR(E7)&amp;"-"&amp;MONTH(E7),59:59)</f>
        <v>100</v>
      </c>
      <c r="G7" s="523">
        <v>43712</v>
      </c>
      <c r="H7" s="520">
        <f>SUMIF(58:58,YEAR(G7)&amp;"-"&amp;MONTH(G7),59:59)</f>
        <v>100</v>
      </c>
      <c r="I7" s="523">
        <v>43712</v>
      </c>
      <c r="J7" s="520">
        <f>SUMIF(58:58,YEAR(I7)&amp;"-"&amp;MONTH(I7),59:59)</f>
        <v>100</v>
      </c>
      <c r="K7" s="855"/>
      <c r="L7" s="2121"/>
      <c r="M7" s="2122"/>
      <c r="N7" s="2122"/>
      <c r="O7" s="2122"/>
      <c r="P7" s="3406" t="s">
        <v>530</v>
      </c>
      <c r="Q7" s="3408"/>
      <c r="R7" s="1555" t="s">
        <v>13</v>
      </c>
      <c r="S7" s="1556">
        <f t="shared" ref="S7:S15" si="0">F7</f>
        <v>100</v>
      </c>
      <c r="T7" s="1555" t="s">
        <v>13</v>
      </c>
      <c r="U7" s="1556">
        <f t="shared" ref="U7:U15" si="1">H7</f>
        <v>100</v>
      </c>
      <c r="V7" s="1555" t="s">
        <v>13</v>
      </c>
      <c r="W7" s="1556">
        <f t="shared" ref="W7:W15" si="2">J7</f>
        <v>100</v>
      </c>
      <c r="X7" s="1557"/>
      <c r="Y7" s="3406" t="s">
        <v>530</v>
      </c>
      <c r="Z7" s="3407"/>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406" t="s">
        <v>533</v>
      </c>
      <c r="Q8" s="3407"/>
      <c r="R8" s="1555" t="s">
        <v>13</v>
      </c>
      <c r="S8" s="1556">
        <f t="shared" si="0"/>
        <v>100</v>
      </c>
      <c r="T8" s="1555" t="s">
        <v>13</v>
      </c>
      <c r="U8" s="1556">
        <f t="shared" si="1"/>
        <v>100</v>
      </c>
      <c r="V8" s="1555" t="s">
        <v>13</v>
      </c>
      <c r="W8" s="1556">
        <f t="shared" si="2"/>
        <v>100</v>
      </c>
      <c r="X8" s="1557"/>
      <c r="Y8" s="3406" t="s">
        <v>533</v>
      </c>
      <c r="Z8" s="3407"/>
      <c r="AA8" s="1558">
        <f t="shared" ref="AA8:AA46" si="3">D8/F8</f>
        <v>1</v>
      </c>
      <c r="AB8" s="1558">
        <f t="shared" ref="AB8:AB46" si="4">D8/H8</f>
        <v>1</v>
      </c>
      <c r="AC8" s="1558">
        <f t="shared" ref="AC8:AC46" si="5">D8/J8</f>
        <v>1</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6" t="s">
        <v>2758</v>
      </c>
      <c r="C11" s="533">
        <v>3</v>
      </c>
      <c r="D11" s="255">
        <v>100</v>
      </c>
      <c r="E11" s="534">
        <v>4.5999999999999996</v>
      </c>
      <c r="F11" s="863">
        <f>LOOKUP(E11,68:68,69:69)-LOOKUP(C11,68:68,69:69)+100</f>
        <v>98</v>
      </c>
      <c r="G11" s="533">
        <v>3.54</v>
      </c>
      <c r="H11" s="255">
        <f>LOOKUP(G11,68:68,69:69)-LOOKUP(C11,68:68,69:69)+100</f>
        <v>100</v>
      </c>
      <c r="I11" s="533">
        <v>3</v>
      </c>
      <c r="J11" s="255">
        <f>LOOKUP(I11,68:68,69:69)-LOOKUP(C11,68:68,69:69)+100</f>
        <v>100</v>
      </c>
      <c r="K11" s="864">
        <v>2</v>
      </c>
      <c r="L11" s="2126"/>
      <c r="M11" s="2120"/>
      <c r="N11" s="2120"/>
      <c r="O11" s="2127"/>
      <c r="P11" s="3375"/>
      <c r="Q11" s="1147" t="str">
        <f t="shared" si="6"/>
        <v>容积率</v>
      </c>
      <c r="R11" s="1555" t="s">
        <v>11</v>
      </c>
      <c r="S11" s="1556">
        <f t="shared" si="0"/>
        <v>98</v>
      </c>
      <c r="T11" s="1555" t="s">
        <v>11</v>
      </c>
      <c r="U11" s="1556">
        <f t="shared" si="1"/>
        <v>100</v>
      </c>
      <c r="V11" s="1555" t="s">
        <v>11</v>
      </c>
      <c r="W11" s="1556">
        <f t="shared" si="2"/>
        <v>100</v>
      </c>
      <c r="X11" s="1557"/>
      <c r="Y11" s="3321"/>
      <c r="Z11" s="1146" t="str">
        <f t="shared" si="7"/>
        <v>容积率</v>
      </c>
      <c r="AA11" s="1558">
        <f t="shared" si="3"/>
        <v>1.0204081632653061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5"/>
      <c r="Q12" s="1147">
        <f t="shared" si="6"/>
        <v>111</v>
      </c>
      <c r="R12" s="1555" t="s">
        <v>11</v>
      </c>
      <c r="S12" s="1556">
        <f t="shared" si="0"/>
        <v>100</v>
      </c>
      <c r="T12" s="1555" t="s">
        <v>11</v>
      </c>
      <c r="U12" s="1556">
        <f t="shared" si="1"/>
        <v>100</v>
      </c>
      <c r="V12" s="1555" t="s">
        <v>11</v>
      </c>
      <c r="W12" s="1556">
        <f t="shared" si="2"/>
        <v>100</v>
      </c>
      <c r="X12" s="1557"/>
      <c r="Y12" s="332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5"/>
      <c r="Q13" s="1147">
        <f t="shared" si="6"/>
        <v>111</v>
      </c>
      <c r="R13" s="1555" t="s">
        <v>11</v>
      </c>
      <c r="S13" s="1556">
        <f t="shared" si="0"/>
        <v>100</v>
      </c>
      <c r="T13" s="1555" t="s">
        <v>11</v>
      </c>
      <c r="U13" s="1556">
        <f t="shared" si="1"/>
        <v>100</v>
      </c>
      <c r="V13" s="1555" t="s">
        <v>11</v>
      </c>
      <c r="W13" s="1556">
        <f t="shared" si="2"/>
        <v>100</v>
      </c>
      <c r="X13" s="1557"/>
      <c r="Y13" s="332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5"/>
      <c r="Q14" s="1147">
        <f t="shared" si="6"/>
        <v>111</v>
      </c>
      <c r="R14" s="1555" t="s">
        <v>11</v>
      </c>
      <c r="S14" s="1556">
        <f t="shared" si="0"/>
        <v>100</v>
      </c>
      <c r="T14" s="1555" t="s">
        <v>11</v>
      </c>
      <c r="U14" s="1556">
        <f t="shared" si="1"/>
        <v>100</v>
      </c>
      <c r="V14" s="1555" t="s">
        <v>11</v>
      </c>
      <c r="W14" s="1556">
        <f t="shared" si="2"/>
        <v>100</v>
      </c>
      <c r="X14" s="1557"/>
      <c r="Y14" s="3321"/>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09" t="s">
        <v>540</v>
      </c>
      <c r="Q15" s="1559" t="str">
        <f t="shared" si="6"/>
        <v>居住社区成熟度</v>
      </c>
      <c r="R15" s="1560" t="s">
        <v>11</v>
      </c>
      <c r="S15" s="1561">
        <f t="shared" si="0"/>
        <v>100</v>
      </c>
      <c r="T15" s="1560" t="s">
        <v>11</v>
      </c>
      <c r="U15" s="1561">
        <f t="shared" si="1"/>
        <v>100</v>
      </c>
      <c r="V15" s="1560" t="s">
        <v>11</v>
      </c>
      <c r="W15" s="1561">
        <f t="shared" si="2"/>
        <v>100</v>
      </c>
      <c r="X15" s="1554"/>
      <c r="Y15" s="3409" t="s">
        <v>540</v>
      </c>
      <c r="Z15" s="1562" t="str">
        <f t="shared" si="7"/>
        <v>居住社区成熟度</v>
      </c>
      <c r="AA15" s="1563">
        <f t="shared" si="3"/>
        <v>1</v>
      </c>
      <c r="AB15" s="1563">
        <f t="shared" si="4"/>
        <v>1</v>
      </c>
      <c r="AC15" s="1563">
        <f t="shared" si="5"/>
        <v>1</v>
      </c>
    </row>
    <row r="16" spans="1:29" ht="15">
      <c r="A16" s="532"/>
      <c r="B16" s="869"/>
      <c r="C16" s="576" t="s">
        <v>3084</v>
      </c>
      <c r="D16" s="555"/>
      <c r="E16" s="556" t="s">
        <v>3084</v>
      </c>
      <c r="F16" s="557"/>
      <c r="G16" s="558" t="s">
        <v>3084</v>
      </c>
      <c r="H16" s="559"/>
      <c r="I16" s="556" t="s">
        <v>3084</v>
      </c>
      <c r="J16" s="555"/>
      <c r="K16" s="870"/>
      <c r="L16" s="2128"/>
      <c r="M16" s="2120"/>
      <c r="N16" s="2120"/>
      <c r="O16" s="2127"/>
      <c r="P16" s="3410"/>
      <c r="Q16" s="1559"/>
      <c r="R16" s="1560"/>
      <c r="S16" s="1561"/>
      <c r="T16" s="1560"/>
      <c r="U16" s="1561"/>
      <c r="V16" s="1560"/>
      <c r="W16" s="1561"/>
      <c r="X16" s="1554"/>
      <c r="Y16" s="341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10"/>
      <c r="Q17" s="1559" t="str">
        <f>B17</f>
        <v>交通便捷度</v>
      </c>
      <c r="R17" s="1560" t="s">
        <v>11</v>
      </c>
      <c r="S17" s="1561">
        <f>F17</f>
        <v>100</v>
      </c>
      <c r="T17" s="1560" t="s">
        <v>11</v>
      </c>
      <c r="U17" s="1561">
        <f>H17</f>
        <v>100</v>
      </c>
      <c r="V17" s="1560" t="s">
        <v>11</v>
      </c>
      <c r="W17" s="1561">
        <f>J17</f>
        <v>100</v>
      </c>
      <c r="X17" s="1554"/>
      <c r="Y17" s="3410"/>
      <c r="Z17" s="1562" t="str">
        <f>Q17</f>
        <v>交通便捷度</v>
      </c>
      <c r="AA17" s="1563">
        <f t="shared" si="3"/>
        <v>1</v>
      </c>
      <c r="AB17" s="1563">
        <f t="shared" si="4"/>
        <v>1</v>
      </c>
      <c r="AC17" s="1563">
        <f t="shared" si="5"/>
        <v>1</v>
      </c>
    </row>
    <row r="18" spans="1:29" ht="15">
      <c r="A18" s="532"/>
      <c r="B18" s="595"/>
      <c r="C18" s="873" t="s">
        <v>3084</v>
      </c>
      <c r="D18" s="559"/>
      <c r="E18" s="568" t="s">
        <v>3084</v>
      </c>
      <c r="F18" s="563"/>
      <c r="G18" s="569" t="s">
        <v>3084</v>
      </c>
      <c r="H18" s="555"/>
      <c r="I18" s="568" t="s">
        <v>3084</v>
      </c>
      <c r="J18" s="555"/>
      <c r="K18" s="870"/>
      <c r="L18" s="2128"/>
      <c r="M18" s="2120"/>
      <c r="N18" s="2120"/>
      <c r="O18" s="2127"/>
      <c r="P18" s="3410"/>
      <c r="Q18" s="1559"/>
      <c r="R18" s="1560"/>
      <c r="S18" s="1561"/>
      <c r="T18" s="1560"/>
      <c r="U18" s="1561"/>
      <c r="V18" s="1560"/>
      <c r="W18" s="1561"/>
      <c r="X18" s="1554"/>
      <c r="Y18" s="3410"/>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8"/>
      <c r="M19" s="2120"/>
      <c r="N19" s="2120"/>
      <c r="O19" s="2127"/>
      <c r="P19" s="3410"/>
      <c r="Q19" s="1559" t="str">
        <f>B19</f>
        <v>公共配套设施</v>
      </c>
      <c r="R19" s="1560" t="s">
        <v>11</v>
      </c>
      <c r="S19" s="1561">
        <f>F19</f>
        <v>100</v>
      </c>
      <c r="T19" s="1560" t="s">
        <v>11</v>
      </c>
      <c r="U19" s="1561">
        <f>H19</f>
        <v>100</v>
      </c>
      <c r="V19" s="1560" t="s">
        <v>11</v>
      </c>
      <c r="W19" s="1561">
        <f>J19</f>
        <v>100</v>
      </c>
      <c r="X19" s="1554"/>
      <c r="Y19" s="3410"/>
      <c r="Z19" s="1562" t="str">
        <f>Q19</f>
        <v>公共配套设施</v>
      </c>
      <c r="AA19" s="1563">
        <f t="shared" si="3"/>
        <v>1</v>
      </c>
      <c r="AB19" s="1563">
        <f t="shared" si="4"/>
        <v>1</v>
      </c>
      <c r="AC19" s="1563">
        <f t="shared" si="5"/>
        <v>1</v>
      </c>
    </row>
    <row r="20" spans="1:29" ht="15">
      <c r="A20" s="532"/>
      <c r="B20" s="595"/>
      <c r="C20" s="576" t="s">
        <v>3084</v>
      </c>
      <c r="D20" s="555"/>
      <c r="E20" s="556" t="s">
        <v>3084</v>
      </c>
      <c r="F20" s="557"/>
      <c r="G20" s="558" t="s">
        <v>3084</v>
      </c>
      <c r="H20" s="555"/>
      <c r="I20" s="556" t="s">
        <v>3084</v>
      </c>
      <c r="J20" s="555"/>
      <c r="K20" s="870"/>
      <c r="L20" s="2128"/>
      <c r="M20" s="2120"/>
      <c r="N20" s="2120"/>
      <c r="O20" s="2127"/>
      <c r="P20" s="3410"/>
      <c r="Q20" s="1559"/>
      <c r="R20" s="1560"/>
      <c r="S20" s="1561"/>
      <c r="T20" s="1560"/>
      <c r="U20" s="1561"/>
      <c r="V20" s="1560"/>
      <c r="W20" s="1561"/>
      <c r="X20" s="1554"/>
      <c r="Y20" s="3410"/>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28"/>
      <c r="M21" s="2120"/>
      <c r="N21" s="2120"/>
      <c r="O21" s="2127"/>
      <c r="P21" s="3410"/>
      <c r="Q21" s="2544" t="str">
        <f>B21</f>
        <v>基础设施水平</v>
      </c>
      <c r="R21" s="1560" t="s">
        <v>11</v>
      </c>
      <c r="S21" s="1561">
        <f>F21</f>
        <v>100</v>
      </c>
      <c r="T21" s="1560" t="s">
        <v>11</v>
      </c>
      <c r="U21" s="1561">
        <f>H21</f>
        <v>100</v>
      </c>
      <c r="V21" s="1560" t="s">
        <v>11</v>
      </c>
      <c r="W21" s="1561">
        <f>J21</f>
        <v>100</v>
      </c>
      <c r="X21" s="2546"/>
      <c r="Y21" s="3410"/>
      <c r="Z21" s="2545" t="str">
        <f>Q21</f>
        <v>基础设施水平</v>
      </c>
      <c r="AA21" s="1563">
        <f t="shared" ref="AA21" si="8">D21/F21</f>
        <v>1</v>
      </c>
      <c r="AB21" s="1563">
        <f t="shared" ref="AB21" si="9">D21/H21</f>
        <v>1</v>
      </c>
      <c r="AC21" s="1563">
        <f t="shared" ref="AC21" si="10">D21/J21</f>
        <v>1</v>
      </c>
    </row>
    <row r="22" spans="1:29" ht="15">
      <c r="A22" s="532"/>
      <c r="B22" s="922"/>
      <c r="C22" s="873" t="s">
        <v>3085</v>
      </c>
      <c r="D22" s="555"/>
      <c r="E22" s="576" t="s">
        <v>3085</v>
      </c>
      <c r="F22" s="557"/>
      <c r="G22" s="576" t="s">
        <v>3085</v>
      </c>
      <c r="H22" s="555"/>
      <c r="I22" s="576" t="s">
        <v>3085</v>
      </c>
      <c r="J22" s="555"/>
      <c r="K22" s="2564"/>
      <c r="L22" s="2128"/>
      <c r="M22" s="2120"/>
      <c r="N22" s="2120"/>
      <c r="O22" s="2127"/>
      <c r="P22" s="3410"/>
      <c r="Q22" s="2544"/>
      <c r="R22" s="1560"/>
      <c r="S22" s="1561"/>
      <c r="T22" s="1560"/>
      <c r="U22" s="1561"/>
      <c r="V22" s="1560"/>
      <c r="W22" s="1561"/>
      <c r="X22" s="2546"/>
      <c r="Y22" s="3410"/>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10"/>
      <c r="Q23" s="1559" t="str">
        <f>B23</f>
        <v>自然及人文环境</v>
      </c>
      <c r="R23" s="1560" t="s">
        <v>11</v>
      </c>
      <c r="S23" s="1561">
        <f>F23</f>
        <v>100</v>
      </c>
      <c r="T23" s="1560" t="s">
        <v>11</v>
      </c>
      <c r="U23" s="1561">
        <f>H23</f>
        <v>100</v>
      </c>
      <c r="V23" s="1560" t="s">
        <v>11</v>
      </c>
      <c r="W23" s="1561">
        <f>J23</f>
        <v>100</v>
      </c>
      <c r="X23" s="1554"/>
      <c r="Y23" s="3410"/>
      <c r="Z23" s="1562" t="str">
        <f>Q23</f>
        <v>自然及人文环境</v>
      </c>
      <c r="AA23" s="1563">
        <f t="shared" si="3"/>
        <v>1</v>
      </c>
      <c r="AB23" s="1563">
        <f t="shared" si="4"/>
        <v>1</v>
      </c>
      <c r="AC23" s="1563">
        <f t="shared" si="5"/>
        <v>1</v>
      </c>
    </row>
    <row r="24" spans="1:29" ht="15.75" thickBot="1">
      <c r="A24" s="532"/>
      <c r="B24" s="595"/>
      <c r="C24" s="576" t="s">
        <v>3084</v>
      </c>
      <c r="D24" s="555"/>
      <c r="E24" s="556" t="s">
        <v>3084</v>
      </c>
      <c r="F24" s="557"/>
      <c r="G24" s="558" t="s">
        <v>3084</v>
      </c>
      <c r="H24" s="555"/>
      <c r="I24" s="556" t="s">
        <v>3084</v>
      </c>
      <c r="J24" s="555"/>
      <c r="K24" s="870"/>
      <c r="L24" s="2128"/>
      <c r="M24" s="2120"/>
      <c r="N24" s="2120"/>
      <c r="O24" s="2127"/>
      <c r="P24" s="3410"/>
      <c r="Q24" s="1559"/>
      <c r="R24" s="1560"/>
      <c r="S24" s="1561"/>
      <c r="T24" s="1560"/>
      <c r="U24" s="1561"/>
      <c r="V24" s="1560"/>
      <c r="W24" s="1561"/>
      <c r="X24" s="1554"/>
      <c r="Y24" s="3410"/>
      <c r="Z24" s="1562"/>
      <c r="AA24" s="1563">
        <v>1</v>
      </c>
      <c r="AB24" s="1563">
        <v>1</v>
      </c>
      <c r="AC24" s="1563">
        <v>1</v>
      </c>
    </row>
    <row r="25" spans="1:29" ht="15" hidden="1">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0"/>
      <c r="Q25" s="1559" t="str">
        <f t="shared" ref="Q25:Q46" si="11">B25</f>
        <v>楼层-1</v>
      </c>
      <c r="R25" s="1560" t="s">
        <v>11</v>
      </c>
      <c r="S25" s="1561">
        <f>F25</f>
        <v>100</v>
      </c>
      <c r="T25" s="1560" t="s">
        <v>11</v>
      </c>
      <c r="U25" s="1561">
        <f>H25</f>
        <v>100</v>
      </c>
      <c r="V25" s="1560" t="s">
        <v>11</v>
      </c>
      <c r="W25" s="1561">
        <f>J25</f>
        <v>100</v>
      </c>
      <c r="X25" s="1554"/>
      <c r="Y25" s="3410"/>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0"/>
      <c r="Q26" s="1559" t="str">
        <f t="shared" si="11"/>
        <v>朝向</v>
      </c>
      <c r="R26" s="1560" t="s">
        <v>11</v>
      </c>
      <c r="S26" s="1561">
        <f>F26</f>
        <v>100</v>
      </c>
      <c r="T26" s="1560" t="s">
        <v>11</v>
      </c>
      <c r="U26" s="1561">
        <f>H26</f>
        <v>100</v>
      </c>
      <c r="V26" s="1560" t="s">
        <v>11</v>
      </c>
      <c r="W26" s="1561">
        <f>J26</f>
        <v>100</v>
      </c>
      <c r="X26" s="1554"/>
      <c r="Y26" s="3410"/>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0"/>
      <c r="Q27" s="1147" t="str">
        <f t="shared" si="11"/>
        <v>道路级别</v>
      </c>
      <c r="R27" s="1555" t="s">
        <v>11</v>
      </c>
      <c r="S27" s="1556">
        <f>F27</f>
        <v>100</v>
      </c>
      <c r="T27" s="1555" t="s">
        <v>11</v>
      </c>
      <c r="U27" s="1556">
        <f>H27</f>
        <v>100</v>
      </c>
      <c r="V27" s="1555" t="s">
        <v>11</v>
      </c>
      <c r="W27" s="1556">
        <f>J27</f>
        <v>100</v>
      </c>
      <c r="X27" s="1557"/>
      <c r="Y27" s="3410"/>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0"/>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0"/>
      <c r="Q29" s="1559">
        <f t="shared" si="11"/>
        <v>111</v>
      </c>
      <c r="R29" s="1560" t="s">
        <v>11</v>
      </c>
      <c r="S29" s="1561">
        <f t="shared" si="12"/>
        <v>100</v>
      </c>
      <c r="T29" s="1560" t="s">
        <v>11</v>
      </c>
      <c r="U29" s="1561">
        <f t="shared" si="13"/>
        <v>100</v>
      </c>
      <c r="V29" s="1560" t="s">
        <v>11</v>
      </c>
      <c r="W29" s="1561">
        <f t="shared" si="14"/>
        <v>100</v>
      </c>
      <c r="X29" s="1554"/>
      <c r="Y29" s="3410"/>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0"/>
      <c r="Q30" s="1559">
        <f t="shared" si="11"/>
        <v>111</v>
      </c>
      <c r="R30" s="1560" t="s">
        <v>11</v>
      </c>
      <c r="S30" s="1561">
        <f t="shared" si="12"/>
        <v>100</v>
      </c>
      <c r="T30" s="1560" t="s">
        <v>11</v>
      </c>
      <c r="U30" s="1561">
        <f t="shared" si="13"/>
        <v>100</v>
      </c>
      <c r="V30" s="1560" t="s">
        <v>11</v>
      </c>
      <c r="W30" s="1561">
        <f t="shared" si="14"/>
        <v>100</v>
      </c>
      <c r="X30" s="1554"/>
      <c r="Y30" s="3410"/>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0"/>
      <c r="Q31" s="1559">
        <f t="shared" si="11"/>
        <v>111</v>
      </c>
      <c r="R31" s="1560" t="s">
        <v>11</v>
      </c>
      <c r="S31" s="1561">
        <f t="shared" si="12"/>
        <v>100</v>
      </c>
      <c r="T31" s="1560" t="s">
        <v>11</v>
      </c>
      <c r="U31" s="1561">
        <f t="shared" si="13"/>
        <v>100</v>
      </c>
      <c r="V31" s="1560" t="s">
        <v>11</v>
      </c>
      <c r="W31" s="1561">
        <f t="shared" si="14"/>
        <v>100</v>
      </c>
      <c r="X31" s="1554"/>
      <c r="Y31" s="3410"/>
      <c r="Z31" s="1562">
        <f t="shared" si="15"/>
        <v>111</v>
      </c>
      <c r="AA31" s="1563">
        <f t="shared" si="3"/>
        <v>1</v>
      </c>
      <c r="AB31" s="1563">
        <f t="shared" si="4"/>
        <v>1</v>
      </c>
      <c r="AC31" s="1563">
        <f t="shared" si="5"/>
        <v>1</v>
      </c>
    </row>
    <row r="32" spans="1:29" ht="15">
      <c r="A32" s="2863" t="s">
        <v>2755</v>
      </c>
      <c r="B32" s="172" t="s">
        <v>725</v>
      </c>
      <c r="C32" s="878" t="s">
        <v>3100</v>
      </c>
      <c r="D32" s="597">
        <v>100</v>
      </c>
      <c r="E32" s="879" t="s">
        <v>3100</v>
      </c>
      <c r="F32" s="575">
        <f>SUMIF(100:100,E32,101:101)-SUMIF(100:100,C32,101:101)+100</f>
        <v>100</v>
      </c>
      <c r="G32" s="878" t="s">
        <v>3100</v>
      </c>
      <c r="H32" s="597">
        <f>SUMIF(100:100,G32,101:101)-SUMIF(100:100,C32,101:101)+100</f>
        <v>100</v>
      </c>
      <c r="I32" s="879" t="s">
        <v>3100</v>
      </c>
      <c r="J32" s="540">
        <f>SUMIF(100:100,I32,101:101)-SUMIF(100:100,C32,101:101)+100</f>
        <v>100</v>
      </c>
      <c r="K32" s="864">
        <v>3</v>
      </c>
      <c r="L32" s="2128"/>
      <c r="M32" s="2120"/>
      <c r="N32" s="2120"/>
      <c r="O32" s="2127"/>
      <c r="P32" s="3411" t="s">
        <v>550</v>
      </c>
      <c r="Q32" s="1559" t="str">
        <f t="shared" si="11"/>
        <v>建筑类型</v>
      </c>
      <c r="R32" s="1560" t="s">
        <v>11</v>
      </c>
      <c r="S32" s="1561">
        <f t="shared" si="12"/>
        <v>100</v>
      </c>
      <c r="T32" s="1560" t="s">
        <v>11</v>
      </c>
      <c r="U32" s="1561">
        <f t="shared" si="13"/>
        <v>100</v>
      </c>
      <c r="V32" s="1560" t="s">
        <v>11</v>
      </c>
      <c r="W32" s="1561">
        <f t="shared" si="14"/>
        <v>100</v>
      </c>
      <c r="X32" s="1554"/>
      <c r="Y32" s="3412" t="s">
        <v>550</v>
      </c>
      <c r="Z32" s="1562" t="str">
        <f t="shared" si="15"/>
        <v>建筑类型</v>
      </c>
      <c r="AA32" s="1563">
        <f t="shared" si="3"/>
        <v>1</v>
      </c>
      <c r="AB32" s="1563">
        <f t="shared" si="4"/>
        <v>1</v>
      </c>
      <c r="AC32" s="1563">
        <f t="shared" si="5"/>
        <v>1</v>
      </c>
    </row>
    <row r="33" spans="1:29" s="1335" customFormat="1" ht="15">
      <c r="A33" s="603"/>
      <c r="B33" s="527" t="s">
        <v>726</v>
      </c>
      <c r="C33" s="880">
        <f>'数据-基础表'!B3</f>
        <v>59695.06</v>
      </c>
      <c r="D33" s="255">
        <v>100</v>
      </c>
      <c r="E33" s="534">
        <v>225504.9</v>
      </c>
      <c r="F33" s="863">
        <f>LOOKUP(E33,103:103,104:104)-LOOKUP(C33,103:103,104:104)+100</f>
        <v>101</v>
      </c>
      <c r="G33" s="533">
        <v>52428</v>
      </c>
      <c r="H33" s="255">
        <f>LOOKUP(G33,103:103,104:104)-LOOKUP(C33,103:103,104:104)+100</f>
        <v>100</v>
      </c>
      <c r="I33" s="534">
        <v>100000</v>
      </c>
      <c r="J33" s="255">
        <f>LOOKUP(I33,103:103,104:104)-LOOKUP(C33,103:103,104:104)+100</f>
        <v>100</v>
      </c>
      <c r="K33" s="865"/>
      <c r="L33" s="2126"/>
      <c r="M33" s="2157"/>
      <c r="N33" s="2157"/>
      <c r="O33" s="2129"/>
      <c r="P33" s="3412"/>
      <c r="Q33" s="1591" t="str">
        <f t="shared" si="11"/>
        <v>项目建筑规模</v>
      </c>
      <c r="R33" s="1564" t="s">
        <v>11</v>
      </c>
      <c r="S33" s="1565">
        <f t="shared" si="12"/>
        <v>101</v>
      </c>
      <c r="T33" s="1564" t="s">
        <v>11</v>
      </c>
      <c r="U33" s="1565">
        <f t="shared" si="13"/>
        <v>100</v>
      </c>
      <c r="V33" s="1564" t="s">
        <v>11</v>
      </c>
      <c r="W33" s="1565">
        <f t="shared" si="14"/>
        <v>100</v>
      </c>
      <c r="X33" s="1566"/>
      <c r="Y33" s="3412"/>
      <c r="Z33" s="1567" t="str">
        <f t="shared" si="15"/>
        <v>项目建筑规模</v>
      </c>
      <c r="AA33" s="1563">
        <f t="shared" si="3"/>
        <v>0.99009900990099009</v>
      </c>
      <c r="AB33" s="1563">
        <f t="shared" si="4"/>
        <v>1</v>
      </c>
      <c r="AC33" s="1563">
        <f t="shared" si="5"/>
        <v>1</v>
      </c>
    </row>
    <row r="34" spans="1:29" ht="15">
      <c r="A34" s="594"/>
      <c r="B34" s="527" t="s">
        <v>727</v>
      </c>
      <c r="C34" s="881" t="s">
        <v>3072</v>
      </c>
      <c r="D34" s="540">
        <v>100</v>
      </c>
      <c r="E34" s="882" t="s">
        <v>3072</v>
      </c>
      <c r="F34" s="575">
        <f>SUMIF(105:105,E34,106:106)-SUMIF(105:105,C34,106:106)+100</f>
        <v>100</v>
      </c>
      <c r="G34" s="881" t="s">
        <v>3072</v>
      </c>
      <c r="H34" s="540">
        <f>SUMIF(105:105,G34,106:106)-SUMIF(105:105,C34,106:106)+100</f>
        <v>100</v>
      </c>
      <c r="I34" s="882" t="s">
        <v>3072</v>
      </c>
      <c r="J34" s="540">
        <f>SUMIF(105:105,I34,106:106)-SUMIF(105:105,C34,106:106)+100</f>
        <v>100</v>
      </c>
      <c r="K34" s="864">
        <v>2</v>
      </c>
      <c r="L34" s="2128"/>
      <c r="M34" s="2120"/>
      <c r="N34" s="2120"/>
      <c r="O34" s="2127"/>
      <c r="P34" s="3412"/>
      <c r="Q34" s="1559" t="str">
        <f t="shared" si="11"/>
        <v>建筑结构</v>
      </c>
      <c r="R34" s="1560" t="s">
        <v>11</v>
      </c>
      <c r="S34" s="1561">
        <f t="shared" si="12"/>
        <v>100</v>
      </c>
      <c r="T34" s="1560" t="s">
        <v>11</v>
      </c>
      <c r="U34" s="1561">
        <f t="shared" si="13"/>
        <v>100</v>
      </c>
      <c r="V34" s="1560" t="s">
        <v>11</v>
      </c>
      <c r="W34" s="1561">
        <f t="shared" si="14"/>
        <v>100</v>
      </c>
      <c r="X34" s="1554"/>
      <c r="Y34" s="3412"/>
      <c r="Z34" s="1562" t="str">
        <f t="shared" si="15"/>
        <v>建筑结构</v>
      </c>
      <c r="AA34" s="1563">
        <f t="shared" si="3"/>
        <v>1</v>
      </c>
      <c r="AB34" s="1563">
        <f t="shared" si="4"/>
        <v>1</v>
      </c>
      <c r="AC34" s="1563">
        <f t="shared" si="5"/>
        <v>1</v>
      </c>
    </row>
    <row r="35" spans="1:29" ht="15">
      <c r="A35" s="594"/>
      <c r="B35" s="527" t="s">
        <v>728</v>
      </c>
      <c r="C35" s="599" t="s">
        <v>3080</v>
      </c>
      <c r="D35" s="540">
        <v>100</v>
      </c>
      <c r="E35" s="874" t="s">
        <v>3080</v>
      </c>
      <c r="F35" s="575">
        <f>SUMIF(107:107,E35,108:108)-SUMIF(107:107,C35,108:108)+100</f>
        <v>100</v>
      </c>
      <c r="G35" s="599" t="s">
        <v>3080</v>
      </c>
      <c r="H35" s="540">
        <f>SUMIF(107:107,G35,108:108)-SUMIF(107:107,C35,108:108)+100</f>
        <v>100</v>
      </c>
      <c r="I35" s="874" t="s">
        <v>3080</v>
      </c>
      <c r="J35" s="540">
        <f>SUMIF(107:107,I35,108:108)-SUMIF(107:107,C35,108:108)+100</f>
        <v>100</v>
      </c>
      <c r="K35" s="864">
        <v>2</v>
      </c>
      <c r="L35" s="2128"/>
      <c r="M35" s="2120"/>
      <c r="N35" s="2120"/>
      <c r="O35" s="2127"/>
      <c r="P35" s="3412"/>
      <c r="Q35" s="1559" t="str">
        <f t="shared" si="11"/>
        <v>建筑品质</v>
      </c>
      <c r="R35" s="1560" t="s">
        <v>11</v>
      </c>
      <c r="S35" s="1561">
        <f t="shared" si="12"/>
        <v>100</v>
      </c>
      <c r="T35" s="1560" t="s">
        <v>11</v>
      </c>
      <c r="U35" s="1561">
        <f t="shared" si="13"/>
        <v>100</v>
      </c>
      <c r="V35" s="1560" t="s">
        <v>11</v>
      </c>
      <c r="W35" s="1561">
        <f t="shared" si="14"/>
        <v>100</v>
      </c>
      <c r="X35" s="1554"/>
      <c r="Y35" s="3412"/>
      <c r="Z35" s="1562" t="str">
        <f t="shared" si="15"/>
        <v>建筑品质</v>
      </c>
      <c r="AA35" s="1563">
        <f t="shared" si="3"/>
        <v>1</v>
      </c>
      <c r="AB35" s="1563">
        <f t="shared" si="4"/>
        <v>1</v>
      </c>
      <c r="AC35" s="1563">
        <f t="shared" si="5"/>
        <v>1</v>
      </c>
    </row>
    <row r="36" spans="1:29" ht="15">
      <c r="A36" s="594"/>
      <c r="B36" s="527" t="s">
        <v>729</v>
      </c>
      <c r="C36" s="599" t="s">
        <v>3092</v>
      </c>
      <c r="D36" s="540">
        <v>100</v>
      </c>
      <c r="E36" s="874" t="s">
        <v>3092</v>
      </c>
      <c r="F36" s="575">
        <f>SUMIF(109:109,E36,110:110)-SUMIF(109:109,C36,110:110)+100</f>
        <v>100</v>
      </c>
      <c r="G36" s="599" t="s">
        <v>3092</v>
      </c>
      <c r="H36" s="540">
        <f>SUMIF(109:109,G36,110:110)-SUMIF(109:109,C36,110:110)+100</f>
        <v>100</v>
      </c>
      <c r="I36" s="874" t="s">
        <v>3092</v>
      </c>
      <c r="J36" s="540">
        <f>SUMIF(109:109,I36,110:110)-SUMIF(109:109,C36,110:110)+100</f>
        <v>100</v>
      </c>
      <c r="K36" s="864">
        <v>2</v>
      </c>
      <c r="L36" s="2128"/>
      <c r="M36" s="2120"/>
      <c r="N36" s="2120"/>
      <c r="O36" s="2127"/>
      <c r="P36" s="3412"/>
      <c r="Q36" s="1559" t="str">
        <f t="shared" si="11"/>
        <v>公共部分装修</v>
      </c>
      <c r="R36" s="1560" t="s">
        <v>11</v>
      </c>
      <c r="S36" s="1561">
        <f t="shared" si="12"/>
        <v>100</v>
      </c>
      <c r="T36" s="1560" t="s">
        <v>11</v>
      </c>
      <c r="U36" s="1561">
        <f t="shared" si="13"/>
        <v>100</v>
      </c>
      <c r="V36" s="1560" t="s">
        <v>11</v>
      </c>
      <c r="W36" s="1561">
        <f t="shared" si="14"/>
        <v>100</v>
      </c>
      <c r="X36" s="1554"/>
      <c r="Y36" s="3412"/>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3201">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12"/>
      <c r="Q37" s="1147" t="str">
        <f t="shared" si="11"/>
        <v>成新度</v>
      </c>
      <c r="R37" s="1555" t="s">
        <v>11</v>
      </c>
      <c r="S37" s="1556">
        <f t="shared" si="12"/>
        <v>100</v>
      </c>
      <c r="T37" s="1555" t="s">
        <v>11</v>
      </c>
      <c r="U37" s="1556">
        <f t="shared" si="13"/>
        <v>100</v>
      </c>
      <c r="V37" s="1555" t="s">
        <v>11</v>
      </c>
      <c r="W37" s="1556">
        <f t="shared" si="14"/>
        <v>100</v>
      </c>
      <c r="X37" s="1557"/>
      <c r="Y37" s="3412"/>
      <c r="Z37" s="1146" t="str">
        <f t="shared" si="15"/>
        <v>成新度</v>
      </c>
      <c r="AA37" s="1558">
        <f t="shared" si="3"/>
        <v>1</v>
      </c>
      <c r="AB37" s="1558">
        <f t="shared" si="4"/>
        <v>1</v>
      </c>
      <c r="AC37" s="1558">
        <f t="shared" si="5"/>
        <v>1</v>
      </c>
    </row>
    <row r="38" spans="1:29" ht="15">
      <c r="A38" s="594"/>
      <c r="B38" s="527" t="s">
        <v>731</v>
      </c>
      <c r="C38" s="599" t="s">
        <v>3094</v>
      </c>
      <c r="D38" s="540">
        <v>100</v>
      </c>
      <c r="E38" s="874" t="s">
        <v>3094</v>
      </c>
      <c r="F38" s="575">
        <f>SUMIF(114:114,E38,115:115)-SUMIF(114:114,C38,115:115)+100</f>
        <v>100</v>
      </c>
      <c r="G38" s="599" t="s">
        <v>3094</v>
      </c>
      <c r="H38" s="540">
        <f>SUMIF(114:114,G38,115:115)-SUMIF(114:114,C38,115:115)+100</f>
        <v>100</v>
      </c>
      <c r="I38" s="874" t="s">
        <v>3094</v>
      </c>
      <c r="J38" s="540">
        <f>SUMIF(114:114,I38,115:115)-SUMIF(114:114,C38,115:115)+100</f>
        <v>100</v>
      </c>
      <c r="K38" s="864">
        <v>2</v>
      </c>
      <c r="L38" s="2128"/>
      <c r="M38" s="2120"/>
      <c r="N38" s="2120"/>
      <c r="O38" s="2127"/>
      <c r="P38" s="3412" t="s">
        <v>550</v>
      </c>
      <c r="Q38" s="1559" t="str">
        <f t="shared" si="11"/>
        <v>物业管理</v>
      </c>
      <c r="R38" s="1560" t="s">
        <v>11</v>
      </c>
      <c r="S38" s="1561">
        <f t="shared" si="12"/>
        <v>100</v>
      </c>
      <c r="T38" s="1560" t="s">
        <v>11</v>
      </c>
      <c r="U38" s="1561">
        <f t="shared" si="13"/>
        <v>100</v>
      </c>
      <c r="V38" s="1560" t="s">
        <v>11</v>
      </c>
      <c r="W38" s="1561">
        <f t="shared" si="14"/>
        <v>100</v>
      </c>
      <c r="X38" s="1554"/>
      <c r="Y38" s="3412" t="s">
        <v>550</v>
      </c>
      <c r="Z38" s="1562" t="str">
        <f t="shared" si="15"/>
        <v>物业管理</v>
      </c>
      <c r="AA38" s="1563">
        <f t="shared" si="3"/>
        <v>1</v>
      </c>
      <c r="AB38" s="1563">
        <f t="shared" si="4"/>
        <v>1</v>
      </c>
      <c r="AC38" s="1563">
        <f t="shared" si="5"/>
        <v>1</v>
      </c>
    </row>
    <row r="39" spans="1:29" ht="15">
      <c r="A39" s="594"/>
      <c r="B39" s="1881" t="s">
        <v>2564</v>
      </c>
      <c r="C39" s="599" t="s">
        <v>3085</v>
      </c>
      <c r="D39" s="540">
        <v>100</v>
      </c>
      <c r="E39" s="874" t="s">
        <v>3085</v>
      </c>
      <c r="F39" s="575">
        <f>SUMIF(116:116,E39,117:117)-SUMIF(116:116,C39,117:117)+100</f>
        <v>100</v>
      </c>
      <c r="G39" s="599" t="s">
        <v>3085</v>
      </c>
      <c r="H39" s="540">
        <f>SUMIF(116:116,G39,117:117)-SUMIF(116:116,C39,117:117)+100</f>
        <v>100</v>
      </c>
      <c r="I39" s="874" t="s">
        <v>3085</v>
      </c>
      <c r="J39" s="540">
        <f>SUMIF(116:116,I39,117:117)-SUMIF(116:116,C39,117:117)+100</f>
        <v>100</v>
      </c>
      <c r="K39" s="864">
        <v>2</v>
      </c>
      <c r="L39" s="2128"/>
      <c r="M39" s="2120"/>
      <c r="N39" s="2120"/>
      <c r="O39" s="2127"/>
      <c r="P39" s="3412"/>
      <c r="Q39" s="1559" t="str">
        <f t="shared" si="11"/>
        <v>市政基础设施</v>
      </c>
      <c r="R39" s="1560" t="s">
        <v>11</v>
      </c>
      <c r="S39" s="1561">
        <f t="shared" si="12"/>
        <v>100</v>
      </c>
      <c r="T39" s="1560" t="s">
        <v>11</v>
      </c>
      <c r="U39" s="1561">
        <f t="shared" si="13"/>
        <v>100</v>
      </c>
      <c r="V39" s="1560" t="s">
        <v>11</v>
      </c>
      <c r="W39" s="1561">
        <f t="shared" si="14"/>
        <v>100</v>
      </c>
      <c r="X39" s="1554"/>
      <c r="Y39" s="341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2"/>
      <c r="Q40" s="1559" t="str">
        <f t="shared" si="11"/>
        <v>房型</v>
      </c>
      <c r="R40" s="1560" t="s">
        <v>11</v>
      </c>
      <c r="S40" s="1561">
        <f t="shared" si="12"/>
        <v>100</v>
      </c>
      <c r="T40" s="1560" t="s">
        <v>11</v>
      </c>
      <c r="U40" s="1561">
        <f t="shared" si="13"/>
        <v>100</v>
      </c>
      <c r="V40" s="1560" t="s">
        <v>11</v>
      </c>
      <c r="W40" s="1561">
        <f t="shared" si="14"/>
        <v>100</v>
      </c>
      <c r="X40" s="1554"/>
      <c r="Y40" s="341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2"/>
      <c r="Q41" s="1591" t="str">
        <f t="shared" si="11"/>
        <v>单套/主力户型建筑面积</v>
      </c>
      <c r="R41" s="1564" t="s">
        <v>11</v>
      </c>
      <c r="S41" s="1565">
        <f t="shared" si="12"/>
        <v>100</v>
      </c>
      <c r="T41" s="1564" t="s">
        <v>11</v>
      </c>
      <c r="U41" s="1565">
        <f t="shared" si="13"/>
        <v>100</v>
      </c>
      <c r="V41" s="1564" t="s">
        <v>11</v>
      </c>
      <c r="W41" s="1565">
        <f t="shared" si="14"/>
        <v>100</v>
      </c>
      <c r="X41" s="1566"/>
      <c r="Y41" s="3412"/>
      <c r="Z41" s="1567" t="str">
        <f t="shared" si="15"/>
        <v>单套/主力户型建筑面积</v>
      </c>
      <c r="AA41" s="1563">
        <f t="shared" si="3"/>
        <v>1</v>
      </c>
      <c r="AB41" s="1563">
        <f t="shared" si="4"/>
        <v>1</v>
      </c>
      <c r="AC41" s="1563">
        <f t="shared" si="5"/>
        <v>1</v>
      </c>
    </row>
    <row r="42" spans="1:29" ht="15">
      <c r="A42" s="594"/>
      <c r="B42" s="527" t="s">
        <v>734</v>
      </c>
      <c r="C42" s="599" t="s">
        <v>3098</v>
      </c>
      <c r="D42" s="540">
        <v>100</v>
      </c>
      <c r="E42" s="874" t="s">
        <v>3098</v>
      </c>
      <c r="F42" s="575">
        <f>SUMIF(122:122,E42,123:123)-SUMIF(122:122,C42,123:123)+100</f>
        <v>100</v>
      </c>
      <c r="G42" s="599" t="s">
        <v>3098</v>
      </c>
      <c r="H42" s="540">
        <f>SUMIF(122:122,G42,123:123)-SUMIF(122:122,C42,123:123)+100</f>
        <v>100</v>
      </c>
      <c r="I42" s="874" t="s">
        <v>3092</v>
      </c>
      <c r="J42" s="540">
        <f>SUMIF(122:122,I42,123:123)-SUMIF(122:122,C42,123:123)+100</f>
        <v>120</v>
      </c>
      <c r="K42" s="864">
        <v>10</v>
      </c>
      <c r="L42" s="2128"/>
      <c r="M42" s="2120"/>
      <c r="N42" s="2120"/>
      <c r="O42" s="2127"/>
      <c r="P42" s="3412"/>
      <c r="Q42" s="1559" t="str">
        <f t="shared" si="11"/>
        <v>内部装修</v>
      </c>
      <c r="R42" s="1560" t="s">
        <v>11</v>
      </c>
      <c r="S42" s="1561">
        <f t="shared" si="12"/>
        <v>100</v>
      </c>
      <c r="T42" s="1560" t="s">
        <v>11</v>
      </c>
      <c r="U42" s="1561">
        <f t="shared" si="13"/>
        <v>100</v>
      </c>
      <c r="V42" s="1560" t="s">
        <v>11</v>
      </c>
      <c r="W42" s="1561">
        <f t="shared" si="14"/>
        <v>120</v>
      </c>
      <c r="X42" s="1554"/>
      <c r="Y42" s="3412"/>
      <c r="Z42" s="1562" t="str">
        <f t="shared" si="15"/>
        <v>内部装修</v>
      </c>
      <c r="AA42" s="1563">
        <f t="shared" si="3"/>
        <v>1</v>
      </c>
      <c r="AB42" s="1563">
        <f t="shared" si="4"/>
        <v>1</v>
      </c>
      <c r="AC42" s="1563">
        <f t="shared" si="5"/>
        <v>0.83333333333333337</v>
      </c>
    </row>
    <row r="43" spans="1:29" ht="27">
      <c r="A43" s="594"/>
      <c r="B43" s="527" t="s">
        <v>735</v>
      </c>
      <c r="C43" s="599" t="s">
        <v>3080</v>
      </c>
      <c r="D43" s="540">
        <v>100</v>
      </c>
      <c r="E43" s="874" t="s">
        <v>3080</v>
      </c>
      <c r="F43" s="575">
        <f>SUMIF(124:124,E43,125:125)-SUMIF(124:124,C43,125:125)+100</f>
        <v>100</v>
      </c>
      <c r="G43" s="599" t="s">
        <v>3080</v>
      </c>
      <c r="H43" s="540">
        <f>SUMIF(124:124,G43,125:125)-SUMIF(124:124,C43,125:125)+100</f>
        <v>100</v>
      </c>
      <c r="I43" s="874" t="s">
        <v>3080</v>
      </c>
      <c r="J43" s="540">
        <f>SUMIF(124:124,I43,125:125)-SUMIF(124:124,C43,125:125)+100</f>
        <v>100</v>
      </c>
      <c r="K43" s="864">
        <v>2</v>
      </c>
      <c r="L43" s="2128"/>
      <c r="M43" s="2120"/>
      <c r="N43" s="2120"/>
      <c r="O43" s="2127"/>
      <c r="P43" s="3412"/>
      <c r="Q43" s="1559" t="str">
        <f t="shared" si="11"/>
        <v>内部装修维护情况</v>
      </c>
      <c r="R43" s="1560" t="s">
        <v>11</v>
      </c>
      <c r="S43" s="1561">
        <f t="shared" si="12"/>
        <v>100</v>
      </c>
      <c r="T43" s="1560" t="s">
        <v>11</v>
      </c>
      <c r="U43" s="1561">
        <f t="shared" si="13"/>
        <v>100</v>
      </c>
      <c r="V43" s="1560" t="s">
        <v>11</v>
      </c>
      <c r="W43" s="1561">
        <f t="shared" si="14"/>
        <v>100</v>
      </c>
      <c r="X43" s="1554"/>
      <c r="Y43" s="3412"/>
      <c r="Z43" s="1562" t="str">
        <f t="shared" si="15"/>
        <v>内部装修维护情况</v>
      </c>
      <c r="AA43" s="1563">
        <f t="shared" si="3"/>
        <v>1</v>
      </c>
      <c r="AB43" s="1563">
        <f t="shared" si="4"/>
        <v>1</v>
      </c>
      <c r="AC43" s="1563">
        <f t="shared" si="5"/>
        <v>1</v>
      </c>
    </row>
    <row r="44" spans="1:29" s="1216" customFormat="1" ht="15">
      <c r="A44" s="600"/>
      <c r="B44" s="877"/>
      <c r="C44" s="3202"/>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2"/>
      <c r="Q44" s="1147">
        <f t="shared" si="11"/>
        <v>0</v>
      </c>
      <c r="R44" s="1555" t="s">
        <v>11</v>
      </c>
      <c r="S44" s="1556">
        <f t="shared" si="12"/>
        <v>100</v>
      </c>
      <c r="T44" s="1555" t="s">
        <v>11</v>
      </c>
      <c r="U44" s="1556">
        <f t="shared" si="13"/>
        <v>100</v>
      </c>
      <c r="V44" s="1555" t="s">
        <v>11</v>
      </c>
      <c r="W44" s="1556">
        <f t="shared" si="14"/>
        <v>100</v>
      </c>
      <c r="X44" s="1557"/>
      <c r="Y44" s="3412"/>
      <c r="Z44" s="1146">
        <f t="shared" si="15"/>
        <v>0</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2"/>
      <c r="Q45" s="1559">
        <f t="shared" si="11"/>
        <v>111</v>
      </c>
      <c r="R45" s="1560" t="s">
        <v>11</v>
      </c>
      <c r="S45" s="1561">
        <f t="shared" si="12"/>
        <v>100</v>
      </c>
      <c r="T45" s="1560" t="s">
        <v>11</v>
      </c>
      <c r="U45" s="1561">
        <f t="shared" si="13"/>
        <v>100</v>
      </c>
      <c r="V45" s="1560" t="s">
        <v>11</v>
      </c>
      <c r="W45" s="1561">
        <f t="shared" si="14"/>
        <v>100</v>
      </c>
      <c r="X45" s="1554"/>
      <c r="Y45" s="341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3"/>
      <c r="Q46" s="1559">
        <f t="shared" si="11"/>
        <v>111</v>
      </c>
      <c r="R46" s="1560" t="s">
        <v>10</v>
      </c>
      <c r="S46" s="1561">
        <f t="shared" si="12"/>
        <v>100</v>
      </c>
      <c r="T46" s="1560" t="s">
        <v>10</v>
      </c>
      <c r="U46" s="1561">
        <f t="shared" si="13"/>
        <v>100</v>
      </c>
      <c r="V46" s="1560" t="s">
        <v>10</v>
      </c>
      <c r="W46" s="1561">
        <f t="shared" si="14"/>
        <v>100</v>
      </c>
      <c r="X46" s="1554"/>
      <c r="Y46" s="3493"/>
      <c r="Z46" s="1562">
        <f t="shared" si="15"/>
        <v>111</v>
      </c>
      <c r="AA46" s="1563">
        <f t="shared" si="3"/>
        <v>1</v>
      </c>
      <c r="AB46" s="1563">
        <f t="shared" si="4"/>
        <v>1</v>
      </c>
      <c r="AC46" s="1563">
        <f t="shared" si="5"/>
        <v>1</v>
      </c>
    </row>
    <row r="47" spans="1:29" ht="15">
      <c r="A47" s="607" t="s">
        <v>736</v>
      </c>
      <c r="B47" s="887"/>
      <c r="C47" s="2592" t="s">
        <v>9</v>
      </c>
      <c r="D47" s="2593"/>
      <c r="E47" s="2594">
        <v>4200</v>
      </c>
      <c r="F47" s="2595"/>
      <c r="G47" s="2596">
        <v>4300</v>
      </c>
      <c r="H47" s="2597"/>
      <c r="I47" s="2594">
        <v>5500</v>
      </c>
      <c r="J47" s="2597"/>
      <c r="K47" s="1592"/>
      <c r="L47" s="2130"/>
      <c r="M47" s="2131"/>
      <c r="N47" s="2120"/>
      <c r="O47" s="2131"/>
      <c r="P47" s="3375" t="str">
        <f>A47</f>
        <v>成交单价（元/平方米）</v>
      </c>
      <c r="Q47" s="3375"/>
      <c r="R47" s="3492">
        <f>E47</f>
        <v>4200</v>
      </c>
      <c r="S47" s="3492"/>
      <c r="T47" s="3492">
        <f>G47</f>
        <v>4300</v>
      </c>
      <c r="U47" s="3492"/>
      <c r="V47" s="3492">
        <f>I47</f>
        <v>5500</v>
      </c>
      <c r="W47" s="3492"/>
      <c r="X47" s="1546"/>
      <c r="Y47" s="1568"/>
      <c r="Z47" s="1546"/>
      <c r="AA47" s="1546"/>
      <c r="AB47" s="1546"/>
      <c r="AC47" s="1546"/>
    </row>
    <row r="48" spans="1:29" ht="15.75" thickBot="1">
      <c r="A48" s="615" t="s">
        <v>2760</v>
      </c>
      <c r="B48" s="888"/>
      <c r="C48" s="2598">
        <f>R49</f>
        <v>4375</v>
      </c>
      <c r="D48" s="2599"/>
      <c r="E48" s="2600">
        <f>R48</f>
        <v>4243</v>
      </c>
      <c r="F48" s="2600"/>
      <c r="G48" s="2598">
        <f>T48</f>
        <v>4300</v>
      </c>
      <c r="H48" s="2599"/>
      <c r="I48" s="2600">
        <f>V48</f>
        <v>4583</v>
      </c>
      <c r="J48" s="2599"/>
      <c r="K48" s="1593"/>
      <c r="L48" s="2130"/>
      <c r="M48" s="2131"/>
      <c r="N48" s="2131"/>
      <c r="O48" s="2131"/>
      <c r="P48" s="3375" t="str">
        <f>A48</f>
        <v>比较价格（元/平方米）</v>
      </c>
      <c r="Q48" s="3375"/>
      <c r="R48" s="3492">
        <f>IF(F1="售价",ROUND(PRODUCT(R47,AA7:AA46),0),ROUND(PRODUCT(R47,AA7:AA46),1))</f>
        <v>4243</v>
      </c>
      <c r="S48" s="3492"/>
      <c r="T48" s="3492">
        <f>IF(F1="售价",ROUND(PRODUCT(T47,AB7:AB46),0),ROUND(PRODUCT(T47,AB7:AB46),1))</f>
        <v>4300</v>
      </c>
      <c r="U48" s="3492"/>
      <c r="V48" s="3492">
        <f>IF(F1="售价",ROUND(PRODUCT(V47,AC7:AC46),0),ROUND(PRODUCT(V47,AC7:AC46),1))</f>
        <v>4583</v>
      </c>
      <c r="W48" s="3492"/>
      <c r="X48" s="1546"/>
      <c r="Y48" s="1546"/>
      <c r="Z48" s="1546"/>
      <c r="AA48" s="1546"/>
      <c r="AB48" s="1546"/>
      <c r="AC48" s="1546"/>
    </row>
    <row r="49" spans="1:29" ht="15.75" thickBot="1">
      <c r="A49" s="621" t="s">
        <v>2937</v>
      </c>
      <c r="B49" s="622"/>
      <c r="C49" s="2601">
        <f>R49</f>
        <v>4375</v>
      </c>
      <c r="D49" s="2601"/>
      <c r="E49" s="2601"/>
      <c r="F49" s="2601"/>
      <c r="G49" s="2601"/>
      <c r="H49" s="2601"/>
      <c r="I49" s="2601"/>
      <c r="J49" s="2601"/>
      <c r="K49" s="1594"/>
      <c r="L49" s="2130"/>
      <c r="M49" s="2131"/>
      <c r="N49" s="2131"/>
      <c r="O49" s="2131"/>
      <c r="P49" s="3372" t="str">
        <f>A49</f>
        <v>估价对象XX用房的比较价格（楼面单价，元/平方米）</v>
      </c>
      <c r="Q49" s="3373"/>
      <c r="R49" s="3491">
        <f>IF(F1="售价",ROUND(AVERAGE(R48:V48),0),ROUND(AVERAGE(R48:V48),1))</f>
        <v>4375</v>
      </c>
      <c r="S49" s="3491"/>
      <c r="T49" s="3491"/>
      <c r="U49" s="3491"/>
      <c r="V49" s="3491"/>
      <c r="W49" s="349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1.0238095238095157E-2</v>
      </c>
      <c r="F52" s="627" t="str">
        <f>IF(OR(E52&gt;=0.3,E52&lt;=-0.3),"超过30%","")</f>
        <v/>
      </c>
      <c r="G52" s="626">
        <f>IF(G47&lt;G48,G48/G47-1,G47/G48-1)</f>
        <v>0</v>
      </c>
      <c r="H52" s="627" t="str">
        <f>IF(OR(G52&gt;=0.3,G52&lt;=-0.3),"超过30%","")</f>
        <v/>
      </c>
      <c r="I52" s="626">
        <f>IF(I47&lt;I48,I48/I47-1,I47/I48-1)</f>
        <v>0.20008727907484181</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1.343389111477733E-2</v>
      </c>
      <c r="F53" s="627" t="str">
        <f>IF(OR(E53&gt;=0.2,E53&lt;=-0.2),"超过20%","")</f>
        <v/>
      </c>
      <c r="G53" s="626">
        <f>IF(G48&lt;I48,I48/G48-1,G48/I48-1)</f>
        <v>6.5813953488372157E-2</v>
      </c>
      <c r="H53" s="627" t="str">
        <f>IF(OR(G53&gt;=0.2,G53&lt;=-0.2),"超过20%","")</f>
        <v/>
      </c>
      <c r="I53" s="626">
        <f>IF(I48&lt;E48,E48/I48-1,I48/E48-1)</f>
        <v>8.0131982088145204E-2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2.3809523809523725E-2</v>
      </c>
      <c r="F54" s="627" t="str">
        <f>IF(OR(E54&gt;=0.3,E54&lt;=-0.3),"超过30%","")</f>
        <v/>
      </c>
      <c r="G54" s="626">
        <f>IF(G47&lt;I47,I47/G47-1,G47/I47-1)</f>
        <v>0.27906976744186052</v>
      </c>
      <c r="H54" s="627" t="str">
        <f>IF(OR(G54&gt;=0.3,G54&lt;=-0.3),"超过30%","")</f>
        <v/>
      </c>
      <c r="I54" s="626">
        <f>IF(I47&lt;E47,E47/I47-1,I47/E47-1)</f>
        <v>0.30952380952380953</v>
      </c>
      <c r="J54" s="627" t="str">
        <f>IF(OR(I54&gt;=0.3,I54&lt;=-0.3),"超过30%","")</f>
        <v>超过30%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1（含）-2</v>
      </c>
      <c r="D67" s="682" t="str">
        <f t="shared" ref="D67:L67" si="19">D68&amp;"（含）"&amp;"-"&amp;E68</f>
        <v>2（含）-3</v>
      </c>
      <c r="E67" s="682" t="str">
        <f t="shared" si="19"/>
        <v>3（含）-4</v>
      </c>
      <c r="F67" s="682" t="str">
        <f t="shared" si="19"/>
        <v>4（含）-5</v>
      </c>
      <c r="G67" s="682" t="str">
        <f t="shared" si="19"/>
        <v>5（含）-</v>
      </c>
      <c r="H67" s="682" t="str">
        <f t="shared" si="19"/>
        <v>（含）-</v>
      </c>
      <c r="I67" s="682" t="str">
        <f t="shared" si="19"/>
        <v>（含）-</v>
      </c>
      <c r="J67" s="682" t="str">
        <f t="shared" si="19"/>
        <v>（含）-</v>
      </c>
      <c r="K67" s="682" t="str">
        <f t="shared" si="19"/>
        <v>（含）-</v>
      </c>
      <c r="L67" s="682" t="str">
        <f t="shared" si="19"/>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97</v>
      </c>
      <c r="E83" s="679">
        <f>D83-$K21</f>
        <v>94</v>
      </c>
      <c r="F83" s="679">
        <f>E83-$K21</f>
        <v>91</v>
      </c>
      <c r="G83" s="679">
        <f>F83-$K21</f>
        <v>88</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8" t="s">
        <v>3101</v>
      </c>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3">C101-$K32</f>
        <v>97</v>
      </c>
      <c r="E101" s="679">
        <f t="shared" si="23"/>
        <v>94</v>
      </c>
      <c r="F101" s="679">
        <f t="shared" si="23"/>
        <v>91</v>
      </c>
      <c r="G101" s="679">
        <f t="shared" si="23"/>
        <v>88</v>
      </c>
      <c r="H101" s="679">
        <f t="shared" si="23"/>
        <v>85</v>
      </c>
      <c r="I101" s="679">
        <f t="shared" si="23"/>
        <v>82</v>
      </c>
      <c r="J101" s="679">
        <f t="shared" si="23"/>
        <v>79</v>
      </c>
      <c r="K101" s="679">
        <f t="shared" si="23"/>
        <v>76</v>
      </c>
      <c r="L101" s="679">
        <f t="shared" si="23"/>
        <v>73</v>
      </c>
      <c r="M101" s="679">
        <f t="shared" si="23"/>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0(含)-200000</v>
      </c>
      <c r="D102" s="708" t="str">
        <f t="shared" ref="D102:L102" si="24">D103&amp;"(含)"&amp;"-"&amp;E103</f>
        <v>200000(含)-400000</v>
      </c>
      <c r="E102" s="708" t="str">
        <f t="shared" si="24"/>
        <v>400000(含)-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3197">
        <v>0</v>
      </c>
      <c r="D103" s="3197">
        <v>200000</v>
      </c>
      <c r="E103" s="3197">
        <v>400000</v>
      </c>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3198">
        <v>100</v>
      </c>
      <c r="D104" s="3199">
        <v>101</v>
      </c>
      <c r="E104" s="3199">
        <v>102</v>
      </c>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6" t="s">
        <v>3090</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87" t="s">
        <v>3091</v>
      </c>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6" t="s">
        <v>3093</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6" t="s">
        <v>3095</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6" t="s">
        <v>3096</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6" t="s">
        <v>3093</v>
      </c>
      <c r="D122" s="3186" t="s">
        <v>3097</v>
      </c>
      <c r="E122" s="3186" t="s">
        <v>3099</v>
      </c>
      <c r="F122" s="3200"/>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30">C123-$K42</f>
        <v>90</v>
      </c>
      <c r="E123" s="679">
        <f t="shared" si="30"/>
        <v>80</v>
      </c>
      <c r="F123" s="679">
        <f t="shared" si="30"/>
        <v>70</v>
      </c>
      <c r="G123" s="679">
        <f t="shared" si="30"/>
        <v>60</v>
      </c>
      <c r="H123" s="679">
        <f t="shared" si="30"/>
        <v>50</v>
      </c>
      <c r="I123" s="679">
        <f t="shared" si="30"/>
        <v>40</v>
      </c>
      <c r="J123" s="679">
        <f t="shared" si="30"/>
        <v>30</v>
      </c>
      <c r="K123" s="679">
        <f t="shared" si="30"/>
        <v>20</v>
      </c>
      <c r="L123" s="679">
        <f t="shared" si="30"/>
        <v>10</v>
      </c>
      <c r="M123" s="679">
        <f t="shared" si="30"/>
        <v>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0</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1" t="s">
        <v>522</v>
      </c>
      <c r="D4" s="3382"/>
      <c r="E4" s="3415" t="s">
        <v>523</v>
      </c>
      <c r="F4" s="3416"/>
      <c r="G4" s="3381" t="s">
        <v>524</v>
      </c>
      <c r="H4" s="3382"/>
      <c r="I4" s="3381" t="s">
        <v>525</v>
      </c>
      <c r="J4" s="3382"/>
      <c r="K4" s="514" t="s">
        <v>526</v>
      </c>
      <c r="L4" s="2119"/>
      <c r="M4" s="2120"/>
      <c r="N4" s="2120"/>
      <c r="O4" s="2120"/>
      <c r="P4" s="3383" t="s">
        <v>527</v>
      </c>
      <c r="Q4" s="3384"/>
      <c r="R4" s="3389" t="s">
        <v>523</v>
      </c>
      <c r="S4" s="3390"/>
      <c r="T4" s="3389" t="s">
        <v>524</v>
      </c>
      <c r="U4" s="3390"/>
      <c r="V4" s="3376" t="s">
        <v>525</v>
      </c>
      <c r="W4" s="3376"/>
      <c r="X4" s="1554"/>
      <c r="Y4" s="3389" t="s">
        <v>527</v>
      </c>
      <c r="Z4" s="3390"/>
      <c r="AA4" s="3378" t="s">
        <v>523</v>
      </c>
      <c r="AB4" s="3376" t="s">
        <v>524</v>
      </c>
      <c r="AC4" s="3378" t="s">
        <v>525</v>
      </c>
    </row>
    <row r="5" spans="1:29" ht="15">
      <c r="A5" s="515"/>
      <c r="B5" s="516"/>
      <c r="C5" s="3397" t="s">
        <v>2931</v>
      </c>
      <c r="D5" s="3398"/>
      <c r="E5" s="3417" t="s">
        <v>2932</v>
      </c>
      <c r="F5" s="3418"/>
      <c r="G5" s="3397" t="s">
        <v>2933</v>
      </c>
      <c r="H5" s="3398"/>
      <c r="I5" s="3397" t="s">
        <v>2934</v>
      </c>
      <c r="J5" s="3398"/>
      <c r="K5" s="514"/>
      <c r="L5" s="2119"/>
      <c r="M5" s="2120"/>
      <c r="N5" s="2120"/>
      <c r="O5" s="2120"/>
      <c r="P5" s="3385"/>
      <c r="Q5" s="3386"/>
      <c r="R5" s="3391"/>
      <c r="S5" s="3392"/>
      <c r="T5" s="3391"/>
      <c r="U5" s="3392"/>
      <c r="V5" s="3376"/>
      <c r="W5" s="3376"/>
      <c r="X5" s="1554"/>
      <c r="Y5" s="3391"/>
      <c r="Z5" s="3392"/>
      <c r="AA5" s="3379"/>
      <c r="AB5" s="3376"/>
      <c r="AC5" s="3379"/>
    </row>
    <row r="6" spans="1:29" ht="15.75" thickBot="1">
      <c r="A6" s="517"/>
      <c r="B6" s="518"/>
      <c r="C6" s="3395" t="s">
        <v>2935</v>
      </c>
      <c r="D6" s="3396"/>
      <c r="E6" s="3413" t="s">
        <v>2935</v>
      </c>
      <c r="F6" s="3414"/>
      <c r="G6" s="3395" t="s">
        <v>2935</v>
      </c>
      <c r="H6" s="3396"/>
      <c r="I6" s="3395" t="s">
        <v>2935</v>
      </c>
      <c r="J6" s="3396"/>
      <c r="K6" s="514" t="s">
        <v>528</v>
      </c>
      <c r="L6" s="2119"/>
      <c r="M6" s="2120"/>
      <c r="N6" s="2120"/>
      <c r="O6" s="2120"/>
      <c r="P6" s="3387"/>
      <c r="Q6" s="3388"/>
      <c r="R6" s="3391"/>
      <c r="S6" s="3392"/>
      <c r="T6" s="3393"/>
      <c r="U6" s="3394"/>
      <c r="V6" s="3376"/>
      <c r="W6" s="3376"/>
      <c r="X6" s="1554"/>
      <c r="Y6" s="3393"/>
      <c r="Z6" s="3394"/>
      <c r="AA6" s="3380"/>
      <c r="AB6" s="3376"/>
      <c r="AC6" s="3380"/>
    </row>
    <row r="7" spans="1:29" s="1216" customFormat="1" ht="15.75" thickBot="1">
      <c r="A7" s="2868"/>
      <c r="B7" s="2875" t="s">
        <v>529</v>
      </c>
      <c r="C7" s="519">
        <f>'数据-取费表'!B2</f>
        <v>43712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6" t="s">
        <v>530</v>
      </c>
      <c r="Q7" s="3408"/>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5"/>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9" t="s">
        <v>540</v>
      </c>
      <c r="Q15" s="1559" t="str">
        <f t="shared" si="6"/>
        <v>商业繁华度</v>
      </c>
      <c r="R15" s="1560" t="s">
        <v>8</v>
      </c>
      <c r="S15" s="1561">
        <f t="shared" si="0"/>
        <v>100</v>
      </c>
      <c r="T15" s="1560" t="s">
        <v>8</v>
      </c>
      <c r="U15" s="1561">
        <f t="shared" si="1"/>
        <v>100</v>
      </c>
      <c r="V15" s="1560" t="s">
        <v>8</v>
      </c>
      <c r="W15" s="1561">
        <f t="shared" si="2"/>
        <v>100</v>
      </c>
      <c r="X15" s="1554"/>
      <c r="Y15" s="340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0"/>
      <c r="Q16" s="1559"/>
      <c r="R16" s="1560"/>
      <c r="S16" s="1561"/>
      <c r="T16" s="1560"/>
      <c r="U16" s="1561"/>
      <c r="V16" s="1560"/>
      <c r="W16" s="1561"/>
      <c r="X16" s="1554"/>
      <c r="Y16" s="341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0"/>
      <c r="Q18" s="1559"/>
      <c r="R18" s="1560"/>
      <c r="S18" s="1561"/>
      <c r="T18" s="1560"/>
      <c r="U18" s="1561"/>
      <c r="V18" s="1560"/>
      <c r="W18" s="1561"/>
      <c r="X18" s="1554"/>
      <c r="Y18" s="3410"/>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0"/>
      <c r="Q20" s="1559"/>
      <c r="R20" s="1560"/>
      <c r="S20" s="1561"/>
      <c r="T20" s="1560"/>
      <c r="U20" s="1561"/>
      <c r="V20" s="1560"/>
      <c r="W20" s="1561"/>
      <c r="X20" s="1554"/>
      <c r="Y20" s="3410"/>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0"/>
      <c r="Q21" s="2544" t="str">
        <f>B21</f>
        <v>基础设施水平</v>
      </c>
      <c r="R21" s="1560" t="s">
        <v>8</v>
      </c>
      <c r="S21" s="1561">
        <f>F21</f>
        <v>100</v>
      </c>
      <c r="T21" s="1560" t="s">
        <v>8</v>
      </c>
      <c r="U21" s="1561">
        <f>H21</f>
        <v>100</v>
      </c>
      <c r="V21" s="1560" t="s">
        <v>8</v>
      </c>
      <c r="W21" s="1561">
        <f>J21</f>
        <v>100</v>
      </c>
      <c r="X21" s="2546"/>
      <c r="Y21" s="341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0"/>
      <c r="Q22" s="2544"/>
      <c r="R22" s="1560"/>
      <c r="S22" s="1561"/>
      <c r="T22" s="1560"/>
      <c r="U22" s="1561"/>
      <c r="V22" s="1560"/>
      <c r="W22" s="1561"/>
      <c r="X22" s="2546"/>
      <c r="Y22" s="3410"/>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0"/>
      <c r="Q23" s="1559" t="str">
        <f>B23</f>
        <v>自然及人文环境</v>
      </c>
      <c r="R23" s="1560" t="s">
        <v>8</v>
      </c>
      <c r="S23" s="1561">
        <f>F23</f>
        <v>100</v>
      </c>
      <c r="T23" s="1560" t="s">
        <v>8</v>
      </c>
      <c r="U23" s="1561">
        <f>H23</f>
        <v>100</v>
      </c>
      <c r="V23" s="1560" t="s">
        <v>8</v>
      </c>
      <c r="W23" s="1561">
        <f>J23</f>
        <v>100</v>
      </c>
      <c r="X23" s="1554"/>
      <c r="Y23" s="341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0"/>
      <c r="Q24" s="1559"/>
      <c r="R24" s="1560"/>
      <c r="S24" s="1561"/>
      <c r="T24" s="1560"/>
      <c r="U24" s="1561"/>
      <c r="V24" s="1560"/>
      <c r="W24" s="1561"/>
      <c r="X24" s="1554"/>
      <c r="Y24" s="341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0"/>
      <c r="Q25" s="1559" t="str">
        <f t="shared" ref="Q25:Q46" si="11">B25</f>
        <v>临街状况</v>
      </c>
      <c r="R25" s="1560" t="s">
        <v>8</v>
      </c>
      <c r="S25" s="1561">
        <f>F25</f>
        <v>100</v>
      </c>
      <c r="T25" s="1560" t="s">
        <v>8</v>
      </c>
      <c r="U25" s="1561">
        <f>H25</f>
        <v>100</v>
      </c>
      <c r="V25" s="1560" t="s">
        <v>8</v>
      </c>
      <c r="W25" s="1561">
        <f>J25</f>
        <v>100</v>
      </c>
      <c r="X25" s="1554"/>
      <c r="Y25" s="341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0"/>
      <c r="Q26" s="1559" t="str">
        <f t="shared" si="11"/>
        <v>平面位置/可视性</v>
      </c>
      <c r="R26" s="1560" t="s">
        <v>8</v>
      </c>
      <c r="S26" s="1561">
        <f>F26</f>
        <v>100</v>
      </c>
      <c r="T26" s="1560" t="s">
        <v>8</v>
      </c>
      <c r="U26" s="1561">
        <f>H26</f>
        <v>100</v>
      </c>
      <c r="V26" s="1560" t="s">
        <v>8</v>
      </c>
      <c r="W26" s="1561">
        <f>J26</f>
        <v>100</v>
      </c>
      <c r="X26" s="1554"/>
      <c r="Y26" s="341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0"/>
      <c r="Q27" s="1147" t="str">
        <f t="shared" si="11"/>
        <v>人流量</v>
      </c>
      <c r="R27" s="1555" t="s">
        <v>8</v>
      </c>
      <c r="S27" s="1556">
        <f>F27</f>
        <v>100</v>
      </c>
      <c r="T27" s="1555" t="s">
        <v>8</v>
      </c>
      <c r="U27" s="1556">
        <f>H27</f>
        <v>100</v>
      </c>
      <c r="V27" s="1555" t="s">
        <v>8</v>
      </c>
      <c r="W27" s="1556">
        <f>J27</f>
        <v>100</v>
      </c>
      <c r="X27" s="1557"/>
      <c r="Y27" s="341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0"/>
      <c r="Q29" s="1559">
        <f t="shared" si="11"/>
        <v>111</v>
      </c>
      <c r="R29" s="1560" t="s">
        <v>8</v>
      </c>
      <c r="S29" s="1561">
        <f t="shared" si="12"/>
        <v>100</v>
      </c>
      <c r="T29" s="1560" t="s">
        <v>8</v>
      </c>
      <c r="U29" s="1561">
        <f t="shared" si="13"/>
        <v>100</v>
      </c>
      <c r="V29" s="1560" t="s">
        <v>8</v>
      </c>
      <c r="W29" s="1561">
        <f t="shared" si="14"/>
        <v>100</v>
      </c>
      <c r="X29" s="1554"/>
      <c r="Y29" s="341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0"/>
      <c r="Q30" s="1559">
        <f t="shared" si="11"/>
        <v>111</v>
      </c>
      <c r="R30" s="1560" t="s">
        <v>8</v>
      </c>
      <c r="S30" s="1561">
        <f t="shared" si="12"/>
        <v>100</v>
      </c>
      <c r="T30" s="1560" t="s">
        <v>8</v>
      </c>
      <c r="U30" s="1561">
        <f t="shared" si="13"/>
        <v>100</v>
      </c>
      <c r="V30" s="1560" t="s">
        <v>8</v>
      </c>
      <c r="W30" s="1561">
        <f t="shared" si="14"/>
        <v>100</v>
      </c>
      <c r="X30" s="1554"/>
      <c r="Y30" s="341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0"/>
      <c r="Q31" s="1559">
        <f t="shared" si="11"/>
        <v>111</v>
      </c>
      <c r="R31" s="1560" t="s">
        <v>8</v>
      </c>
      <c r="S31" s="1561">
        <f t="shared" si="12"/>
        <v>100</v>
      </c>
      <c r="T31" s="1560" t="s">
        <v>8</v>
      </c>
      <c r="U31" s="1561">
        <f t="shared" si="13"/>
        <v>100</v>
      </c>
      <c r="V31" s="1560" t="s">
        <v>8</v>
      </c>
      <c r="W31" s="1561">
        <f t="shared" si="14"/>
        <v>100</v>
      </c>
      <c r="X31" s="1554"/>
      <c r="Y31" s="3410"/>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1" t="s">
        <v>550</v>
      </c>
      <c r="Q32" s="1559" t="str">
        <f t="shared" si="11"/>
        <v>商业类型</v>
      </c>
      <c r="R32" s="1560" t="s">
        <v>8</v>
      </c>
      <c r="S32" s="1561">
        <f t="shared" si="12"/>
        <v>100</v>
      </c>
      <c r="T32" s="1560" t="s">
        <v>8</v>
      </c>
      <c r="U32" s="1561">
        <f t="shared" si="13"/>
        <v>100</v>
      </c>
      <c r="V32" s="1560" t="s">
        <v>8</v>
      </c>
      <c r="W32" s="1561">
        <f t="shared" si="14"/>
        <v>100</v>
      </c>
      <c r="X32" s="1554"/>
      <c r="Y32" s="341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2"/>
      <c r="Q33" s="1591" t="str">
        <f t="shared" si="11"/>
        <v>项目建筑规模</v>
      </c>
      <c r="R33" s="1564" t="s">
        <v>8</v>
      </c>
      <c r="S33" s="1565" t="e">
        <f t="shared" si="12"/>
        <v>#N/A</v>
      </c>
      <c r="T33" s="1564" t="s">
        <v>8</v>
      </c>
      <c r="U33" s="1565" t="e">
        <f t="shared" si="13"/>
        <v>#N/A</v>
      </c>
      <c r="V33" s="1564" t="s">
        <v>8</v>
      </c>
      <c r="W33" s="1565" t="e">
        <f t="shared" si="14"/>
        <v>#N/A</v>
      </c>
      <c r="X33" s="1566"/>
      <c r="Y33" s="341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2"/>
      <c r="Q34" s="1559" t="str">
        <f t="shared" si="11"/>
        <v>建筑结构</v>
      </c>
      <c r="R34" s="1560" t="s">
        <v>8</v>
      </c>
      <c r="S34" s="1561">
        <f t="shared" si="12"/>
        <v>100</v>
      </c>
      <c r="T34" s="1560" t="s">
        <v>8</v>
      </c>
      <c r="U34" s="1561">
        <f t="shared" si="13"/>
        <v>100</v>
      </c>
      <c r="V34" s="1560" t="s">
        <v>8</v>
      </c>
      <c r="W34" s="1561">
        <f t="shared" si="14"/>
        <v>100</v>
      </c>
      <c r="X34" s="1554"/>
      <c r="Y34" s="341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2"/>
      <c r="Q35" s="1559" t="str">
        <f t="shared" si="11"/>
        <v>公共部分装修</v>
      </c>
      <c r="R35" s="1560" t="s">
        <v>8</v>
      </c>
      <c r="S35" s="1561">
        <f t="shared" si="12"/>
        <v>100</v>
      </c>
      <c r="T35" s="1560" t="s">
        <v>8</v>
      </c>
      <c r="U35" s="1561">
        <f t="shared" si="13"/>
        <v>100</v>
      </c>
      <c r="V35" s="1560" t="s">
        <v>8</v>
      </c>
      <c r="W35" s="1561">
        <f t="shared" si="14"/>
        <v>100</v>
      </c>
      <c r="X35" s="1554"/>
      <c r="Y35" s="341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2"/>
      <c r="Q36" s="1559" t="str">
        <f t="shared" si="11"/>
        <v>成新度</v>
      </c>
      <c r="R36" s="1560" t="s">
        <v>8</v>
      </c>
      <c r="S36" s="1561" t="e">
        <f t="shared" si="12"/>
        <v>#N/A</v>
      </c>
      <c r="T36" s="1560" t="s">
        <v>8</v>
      </c>
      <c r="U36" s="1561" t="e">
        <f t="shared" si="13"/>
        <v>#N/A</v>
      </c>
      <c r="V36" s="1560" t="s">
        <v>8</v>
      </c>
      <c r="W36" s="1561" t="e">
        <f t="shared" si="14"/>
        <v>#N/A</v>
      </c>
      <c r="X36" s="1554"/>
      <c r="Y36" s="3412"/>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2"/>
      <c r="Q37" s="1147" t="str">
        <f t="shared" si="11"/>
        <v>市政基础设施</v>
      </c>
      <c r="R37" s="1555" t="s">
        <v>8</v>
      </c>
      <c r="S37" s="1556">
        <f t="shared" si="12"/>
        <v>100</v>
      </c>
      <c r="T37" s="1555" t="s">
        <v>8</v>
      </c>
      <c r="U37" s="1556">
        <f t="shared" si="13"/>
        <v>100</v>
      </c>
      <c r="V37" s="1555" t="s">
        <v>8</v>
      </c>
      <c r="W37" s="1556">
        <f t="shared" si="14"/>
        <v>100</v>
      </c>
      <c r="X37" s="1557"/>
      <c r="Y37" s="341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2" t="s">
        <v>766</v>
      </c>
      <c r="Q38" s="1559" t="str">
        <f t="shared" si="11"/>
        <v>业态</v>
      </c>
      <c r="R38" s="1560" t="s">
        <v>8</v>
      </c>
      <c r="S38" s="1561">
        <f t="shared" si="12"/>
        <v>100</v>
      </c>
      <c r="T38" s="1560" t="s">
        <v>8</v>
      </c>
      <c r="U38" s="1561">
        <f t="shared" si="13"/>
        <v>100</v>
      </c>
      <c r="V38" s="1560" t="s">
        <v>8</v>
      </c>
      <c r="W38" s="1561">
        <f t="shared" si="14"/>
        <v>100</v>
      </c>
      <c r="X38" s="1554"/>
      <c r="Y38" s="341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2"/>
      <c r="Q39" s="1559" t="str">
        <f t="shared" si="11"/>
        <v>层高</v>
      </c>
      <c r="R39" s="1560" t="s">
        <v>8</v>
      </c>
      <c r="S39" s="1561">
        <f t="shared" si="12"/>
        <v>100</v>
      </c>
      <c r="T39" s="1560" t="s">
        <v>8</v>
      </c>
      <c r="U39" s="1561">
        <f t="shared" si="13"/>
        <v>100</v>
      </c>
      <c r="V39" s="1560" t="s">
        <v>8</v>
      </c>
      <c r="W39" s="1561">
        <f t="shared" si="14"/>
        <v>100</v>
      </c>
      <c r="X39" s="1554"/>
      <c r="Y39" s="341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2"/>
      <c r="Q40" s="1559" t="str">
        <f t="shared" si="11"/>
        <v>单套建筑面积</v>
      </c>
      <c r="R40" s="1560" t="s">
        <v>8</v>
      </c>
      <c r="S40" s="1561">
        <f t="shared" si="12"/>
        <v>100</v>
      </c>
      <c r="T40" s="1560" t="s">
        <v>8</v>
      </c>
      <c r="U40" s="1561">
        <f t="shared" si="13"/>
        <v>100</v>
      </c>
      <c r="V40" s="1560" t="s">
        <v>8</v>
      </c>
      <c r="W40" s="1561">
        <f t="shared" si="14"/>
        <v>100</v>
      </c>
      <c r="X40" s="1554"/>
      <c r="Y40" s="341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2"/>
      <c r="Q41" s="1591" t="str">
        <f t="shared" si="11"/>
        <v>进深比</v>
      </c>
      <c r="R41" s="1564" t="s">
        <v>8</v>
      </c>
      <c r="S41" s="1565">
        <f t="shared" si="12"/>
        <v>100</v>
      </c>
      <c r="T41" s="1564" t="s">
        <v>8</v>
      </c>
      <c r="U41" s="1565">
        <f t="shared" si="13"/>
        <v>100</v>
      </c>
      <c r="V41" s="1564" t="s">
        <v>8</v>
      </c>
      <c r="W41" s="1565">
        <f t="shared" si="14"/>
        <v>100</v>
      </c>
      <c r="X41" s="1566"/>
      <c r="Y41" s="341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2"/>
      <c r="Q42" s="1559" t="str">
        <f t="shared" si="11"/>
        <v>内部装修</v>
      </c>
      <c r="R42" s="1560" t="s">
        <v>8</v>
      </c>
      <c r="S42" s="1561">
        <f t="shared" si="12"/>
        <v>100</v>
      </c>
      <c r="T42" s="1560" t="s">
        <v>8</v>
      </c>
      <c r="U42" s="1561">
        <f t="shared" si="13"/>
        <v>100</v>
      </c>
      <c r="V42" s="1560" t="s">
        <v>8</v>
      </c>
      <c r="W42" s="1561">
        <f t="shared" si="14"/>
        <v>100</v>
      </c>
      <c r="X42" s="1554"/>
      <c r="Y42" s="341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2"/>
      <c r="Q43" s="1559" t="str">
        <f t="shared" si="11"/>
        <v>内部装修维护情况</v>
      </c>
      <c r="R43" s="1560" t="s">
        <v>8</v>
      </c>
      <c r="S43" s="1561">
        <f t="shared" si="12"/>
        <v>100</v>
      </c>
      <c r="T43" s="1560" t="s">
        <v>8</v>
      </c>
      <c r="U43" s="1561">
        <f t="shared" si="13"/>
        <v>100</v>
      </c>
      <c r="V43" s="1560" t="s">
        <v>8</v>
      </c>
      <c r="W43" s="1561">
        <f t="shared" si="14"/>
        <v>100</v>
      </c>
      <c r="X43" s="1554"/>
      <c r="Y43" s="341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2"/>
      <c r="Q44" s="1147">
        <f t="shared" si="11"/>
        <v>111</v>
      </c>
      <c r="R44" s="1555" t="s">
        <v>8</v>
      </c>
      <c r="S44" s="1556">
        <f t="shared" si="12"/>
        <v>100</v>
      </c>
      <c r="T44" s="1555" t="s">
        <v>8</v>
      </c>
      <c r="U44" s="1556">
        <f t="shared" si="13"/>
        <v>100</v>
      </c>
      <c r="V44" s="1555" t="s">
        <v>8</v>
      </c>
      <c r="W44" s="1556">
        <f t="shared" si="14"/>
        <v>100</v>
      </c>
      <c r="X44" s="1557"/>
      <c r="Y44" s="341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2"/>
      <c r="Q45" s="1559">
        <f t="shared" si="11"/>
        <v>111</v>
      </c>
      <c r="R45" s="1560" t="s">
        <v>8</v>
      </c>
      <c r="S45" s="1561">
        <f t="shared" si="12"/>
        <v>100</v>
      </c>
      <c r="T45" s="1560" t="s">
        <v>8</v>
      </c>
      <c r="U45" s="1561">
        <f t="shared" si="13"/>
        <v>100</v>
      </c>
      <c r="V45" s="1560" t="s">
        <v>8</v>
      </c>
      <c r="W45" s="1561">
        <f t="shared" si="14"/>
        <v>100</v>
      </c>
      <c r="X45" s="1554"/>
      <c r="Y45" s="341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3"/>
      <c r="Q46" s="1559">
        <f t="shared" si="11"/>
        <v>111</v>
      </c>
      <c r="R46" s="1560" t="s">
        <v>8</v>
      </c>
      <c r="S46" s="1561">
        <f t="shared" si="12"/>
        <v>100</v>
      </c>
      <c r="T46" s="1560" t="s">
        <v>8</v>
      </c>
      <c r="U46" s="1561">
        <f t="shared" si="13"/>
        <v>100</v>
      </c>
      <c r="V46" s="1560" t="s">
        <v>8</v>
      </c>
      <c r="W46" s="1561">
        <f t="shared" si="14"/>
        <v>100</v>
      </c>
      <c r="X46" s="1554"/>
      <c r="Y46" s="3493"/>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5" t="str">
        <f>A47</f>
        <v>成交单价（元/平方米）</v>
      </c>
      <c r="Q47" s="3375"/>
      <c r="R47" s="3492">
        <f>E47</f>
        <v>0</v>
      </c>
      <c r="S47" s="3492"/>
      <c r="T47" s="3492">
        <f>G47</f>
        <v>0</v>
      </c>
      <c r="U47" s="3492"/>
      <c r="V47" s="3492">
        <f>I47</f>
        <v>0</v>
      </c>
      <c r="W47" s="3492"/>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5" t="str">
        <f>A48</f>
        <v>比较价格（元/平方米）</v>
      </c>
      <c r="Q48" s="3375"/>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72" t="str">
        <f>A49</f>
        <v>估价对象XX用房的比较价格（楼面单价，元/平方米）</v>
      </c>
      <c r="Q49" s="3373"/>
      <c r="R49" s="3491" t="e">
        <f>IF(F1="售价",ROUND(AVERAGE(R48:V48),0),ROUND(AVERAGE(R48:V48),1))</f>
        <v>#DIV/0!</v>
      </c>
      <c r="S49" s="3491"/>
      <c r="T49" s="3491"/>
      <c r="U49" s="3491"/>
      <c r="V49" s="3491"/>
      <c r="W49" s="349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2207"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1" t="s">
        <v>522</v>
      </c>
      <c r="D4" s="3382"/>
      <c r="E4" s="3415" t="s">
        <v>523</v>
      </c>
      <c r="F4" s="3416"/>
      <c r="G4" s="3381" t="s">
        <v>524</v>
      </c>
      <c r="H4" s="3382"/>
      <c r="I4" s="3381" t="s">
        <v>525</v>
      </c>
      <c r="J4" s="3382"/>
      <c r="K4" s="514" t="s">
        <v>526</v>
      </c>
      <c r="L4" s="2119"/>
      <c r="M4" s="2120"/>
      <c r="N4" s="2120"/>
      <c r="O4" s="2120"/>
      <c r="P4" s="3497" t="s">
        <v>527</v>
      </c>
      <c r="Q4" s="3384"/>
      <c r="R4" s="3389" t="s">
        <v>523</v>
      </c>
      <c r="S4" s="3390"/>
      <c r="T4" s="3389" t="s">
        <v>524</v>
      </c>
      <c r="U4" s="3390"/>
      <c r="V4" s="3376" t="s">
        <v>525</v>
      </c>
      <c r="W4" s="3376"/>
      <c r="X4" s="1554"/>
      <c r="Y4" s="3389" t="s">
        <v>527</v>
      </c>
      <c r="Z4" s="3390"/>
      <c r="AA4" s="3378" t="s">
        <v>523</v>
      </c>
      <c r="AB4" s="3378" t="s">
        <v>524</v>
      </c>
      <c r="AC4" s="3378" t="s">
        <v>525</v>
      </c>
    </row>
    <row r="5" spans="1:29" ht="15">
      <c r="A5" s="515"/>
      <c r="B5" s="516"/>
      <c r="C5" s="3397" t="s">
        <v>2931</v>
      </c>
      <c r="D5" s="3398"/>
      <c r="E5" s="3417" t="s">
        <v>2932</v>
      </c>
      <c r="F5" s="3418"/>
      <c r="G5" s="3397" t="s">
        <v>2933</v>
      </c>
      <c r="H5" s="3398"/>
      <c r="I5" s="3397" t="s">
        <v>2934</v>
      </c>
      <c r="J5" s="3398"/>
      <c r="K5" s="514"/>
      <c r="L5" s="2119"/>
      <c r="M5" s="2120"/>
      <c r="N5" s="2120"/>
      <c r="O5" s="2120"/>
      <c r="P5" s="3498"/>
      <c r="Q5" s="3386"/>
      <c r="R5" s="3391"/>
      <c r="S5" s="3392"/>
      <c r="T5" s="3391"/>
      <c r="U5" s="3392"/>
      <c r="V5" s="3376"/>
      <c r="W5" s="3376"/>
      <c r="X5" s="1554"/>
      <c r="Y5" s="3391"/>
      <c r="Z5" s="3392"/>
      <c r="AA5" s="3379"/>
      <c r="AB5" s="3379"/>
      <c r="AC5" s="3379"/>
    </row>
    <row r="6" spans="1:29" ht="15.75" thickBot="1">
      <c r="A6" s="517"/>
      <c r="B6" s="518"/>
      <c r="C6" s="3395" t="s">
        <v>2935</v>
      </c>
      <c r="D6" s="3396"/>
      <c r="E6" s="3413" t="s">
        <v>2935</v>
      </c>
      <c r="F6" s="3414"/>
      <c r="G6" s="3395" t="s">
        <v>2935</v>
      </c>
      <c r="H6" s="3396"/>
      <c r="I6" s="3395" t="s">
        <v>2935</v>
      </c>
      <c r="J6" s="3396"/>
      <c r="K6" s="514" t="s">
        <v>528</v>
      </c>
      <c r="L6" s="2119"/>
      <c r="M6" s="2120"/>
      <c r="N6" s="2120"/>
      <c r="O6" s="2120"/>
      <c r="P6" s="3499"/>
      <c r="Q6" s="3388"/>
      <c r="R6" s="3391"/>
      <c r="S6" s="3392"/>
      <c r="T6" s="3393"/>
      <c r="U6" s="3394"/>
      <c r="V6" s="3376"/>
      <c r="W6" s="3376"/>
      <c r="X6" s="1554"/>
      <c r="Y6" s="3393"/>
      <c r="Z6" s="3394"/>
      <c r="AA6" s="3380"/>
      <c r="AB6" s="3380"/>
      <c r="AC6" s="3380"/>
    </row>
    <row r="7" spans="1:29" s="1216" customFormat="1" ht="15.75" thickBot="1">
      <c r="A7" s="2868"/>
      <c r="B7" s="2875" t="s">
        <v>529</v>
      </c>
      <c r="C7" s="519">
        <f>'数据-取费表'!B2</f>
        <v>43712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8" t="s">
        <v>530</v>
      </c>
      <c r="Q7" s="3408"/>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8" t="s">
        <v>533</v>
      </c>
      <c r="Q8" s="3407"/>
      <c r="R8" s="1555" t="s">
        <v>8</v>
      </c>
      <c r="S8" s="1556">
        <f t="shared" si="0"/>
        <v>0</v>
      </c>
      <c r="T8" s="1555" t="s">
        <v>8</v>
      </c>
      <c r="U8" s="1556">
        <f t="shared" si="1"/>
        <v>0</v>
      </c>
      <c r="V8" s="1555" t="s">
        <v>8</v>
      </c>
      <c r="W8" s="1556">
        <f t="shared" si="2"/>
        <v>0</v>
      </c>
      <c r="X8" s="1557"/>
      <c r="Y8" s="3406" t="s">
        <v>533</v>
      </c>
      <c r="Z8" s="3407"/>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5"/>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9" t="s">
        <v>540</v>
      </c>
      <c r="Q15" s="1559" t="str">
        <f t="shared" si="6"/>
        <v>办公集聚程度</v>
      </c>
      <c r="R15" s="1560" t="s">
        <v>8</v>
      </c>
      <c r="S15" s="1561">
        <f t="shared" si="0"/>
        <v>100</v>
      </c>
      <c r="T15" s="1560" t="s">
        <v>8</v>
      </c>
      <c r="U15" s="1561">
        <f t="shared" si="1"/>
        <v>100</v>
      </c>
      <c r="V15" s="1560" t="s">
        <v>8</v>
      </c>
      <c r="W15" s="1561">
        <f t="shared" si="2"/>
        <v>100</v>
      </c>
      <c r="X15" s="1554"/>
      <c r="Y15" s="340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0"/>
      <c r="Q16" s="1559"/>
      <c r="R16" s="1560"/>
      <c r="S16" s="1561"/>
      <c r="T16" s="1560"/>
      <c r="U16" s="1561"/>
      <c r="V16" s="1560"/>
      <c r="W16" s="1561"/>
      <c r="X16" s="1554"/>
      <c r="Y16" s="3410"/>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0"/>
      <c r="Q18" s="1559"/>
      <c r="R18" s="1560"/>
      <c r="S18" s="1561"/>
      <c r="T18" s="1560"/>
      <c r="U18" s="1561"/>
      <c r="V18" s="1560"/>
      <c r="W18" s="1561"/>
      <c r="X18" s="1554"/>
      <c r="Y18" s="3410"/>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0"/>
      <c r="Q20" s="1559"/>
      <c r="R20" s="1560"/>
      <c r="S20" s="1561"/>
      <c r="T20" s="1560"/>
      <c r="U20" s="1561"/>
      <c r="V20" s="1560"/>
      <c r="W20" s="1561"/>
      <c r="X20" s="1554"/>
      <c r="Y20" s="3410"/>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0"/>
      <c r="Q21" s="2544" t="str">
        <f>B21</f>
        <v>基础设施水平</v>
      </c>
      <c r="R21" s="1560" t="s">
        <v>8</v>
      </c>
      <c r="S21" s="1561">
        <f>F21</f>
        <v>100</v>
      </c>
      <c r="T21" s="1560" t="s">
        <v>8</v>
      </c>
      <c r="U21" s="1561">
        <f>H21</f>
        <v>100</v>
      </c>
      <c r="V21" s="1560" t="s">
        <v>8</v>
      </c>
      <c r="W21" s="1561">
        <f>J21</f>
        <v>100</v>
      </c>
      <c r="X21" s="2546"/>
      <c r="Y21" s="3410"/>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0"/>
      <c r="Q22" s="2544"/>
      <c r="R22" s="1560"/>
      <c r="S22" s="1561"/>
      <c r="T22" s="1560"/>
      <c r="U22" s="1561"/>
      <c r="V22" s="1560"/>
      <c r="W22" s="1561"/>
      <c r="X22" s="2546"/>
      <c r="Y22" s="3410"/>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0"/>
      <c r="Q23" s="1559" t="str">
        <f>B23</f>
        <v>环境质量</v>
      </c>
      <c r="R23" s="1560" t="s">
        <v>8</v>
      </c>
      <c r="S23" s="1561">
        <f>F23</f>
        <v>100</v>
      </c>
      <c r="T23" s="1560" t="s">
        <v>8</v>
      </c>
      <c r="U23" s="1561">
        <f>H23</f>
        <v>100</v>
      </c>
      <c r="V23" s="1560" t="s">
        <v>8</v>
      </c>
      <c r="W23" s="1561">
        <f>J23</f>
        <v>100</v>
      </c>
      <c r="X23" s="1554"/>
      <c r="Y23" s="341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0"/>
      <c r="Q24" s="1559"/>
      <c r="R24" s="1560"/>
      <c r="S24" s="1561"/>
      <c r="T24" s="1560"/>
      <c r="U24" s="1561"/>
      <c r="V24" s="1560"/>
      <c r="W24" s="1561"/>
      <c r="X24" s="1554"/>
      <c r="Y24" s="341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0"/>
      <c r="Q25" s="1559" t="str">
        <f>B25</f>
        <v>毗邻道路的类型与等级</v>
      </c>
      <c r="R25" s="1560" t="s">
        <v>8</v>
      </c>
      <c r="S25" s="1561">
        <f>F25</f>
        <v>100</v>
      </c>
      <c r="T25" s="1560" t="s">
        <v>8</v>
      </c>
      <c r="U25" s="1561">
        <f>H25</f>
        <v>100</v>
      </c>
      <c r="V25" s="1560" t="s">
        <v>8</v>
      </c>
      <c r="W25" s="1561">
        <f>J25</f>
        <v>100</v>
      </c>
      <c r="X25" s="1554"/>
      <c r="Y25" s="341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0"/>
      <c r="Q26" s="1559"/>
      <c r="R26" s="1560"/>
      <c r="S26" s="1561"/>
      <c r="T26" s="1560"/>
      <c r="U26" s="1561"/>
      <c r="V26" s="1560"/>
      <c r="W26" s="1561"/>
      <c r="X26" s="1554"/>
      <c r="Y26" s="341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0"/>
      <c r="Q27" s="1559" t="str">
        <f t="shared" ref="Q27:Q47" si="11">B27</f>
        <v>楼层</v>
      </c>
      <c r="R27" s="1560" t="s">
        <v>8</v>
      </c>
      <c r="S27" s="1561">
        <f>F27</f>
        <v>100</v>
      </c>
      <c r="T27" s="1560" t="s">
        <v>8</v>
      </c>
      <c r="U27" s="1561">
        <f>H27</f>
        <v>100</v>
      </c>
      <c r="V27" s="1560" t="s">
        <v>8</v>
      </c>
      <c r="W27" s="1561">
        <f>J27</f>
        <v>100</v>
      </c>
      <c r="X27" s="1554"/>
      <c r="Y27" s="341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0"/>
      <c r="Q28" s="1147" t="str">
        <f t="shared" si="11"/>
        <v>朝向</v>
      </c>
      <c r="R28" s="1555" t="s">
        <v>8</v>
      </c>
      <c r="S28" s="1556">
        <f>F28</f>
        <v>100</v>
      </c>
      <c r="T28" s="1555" t="s">
        <v>8</v>
      </c>
      <c r="U28" s="1556">
        <f>H28</f>
        <v>100</v>
      </c>
      <c r="V28" s="1555" t="s">
        <v>8</v>
      </c>
      <c r="W28" s="1556">
        <f>J28</f>
        <v>100</v>
      </c>
      <c r="X28" s="1557"/>
      <c r="Y28" s="341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0"/>
      <c r="Q29" s="1559">
        <f t="shared" si="11"/>
        <v>111</v>
      </c>
      <c r="R29" s="1560" t="s">
        <v>8</v>
      </c>
      <c r="S29" s="1561">
        <f t="shared" ref="S29:S47" si="12">F29</f>
        <v>100</v>
      </c>
      <c r="T29" s="1560" t="s">
        <v>8</v>
      </c>
      <c r="U29" s="1561">
        <f t="shared" ref="U29:U47" si="13">H29</f>
        <v>100</v>
      </c>
      <c r="V29" s="1560" t="s">
        <v>8</v>
      </c>
      <c r="W29" s="1561">
        <f t="shared" ref="W29:W47" si="14">J29</f>
        <v>100</v>
      </c>
      <c r="X29" s="1554"/>
      <c r="Y29" s="341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0"/>
      <c r="Q30" s="1559">
        <f t="shared" si="11"/>
        <v>111</v>
      </c>
      <c r="R30" s="1560" t="s">
        <v>8</v>
      </c>
      <c r="S30" s="1561">
        <f t="shared" si="12"/>
        <v>100</v>
      </c>
      <c r="T30" s="1560" t="s">
        <v>8</v>
      </c>
      <c r="U30" s="1561">
        <f t="shared" si="13"/>
        <v>100</v>
      </c>
      <c r="V30" s="1560" t="s">
        <v>8</v>
      </c>
      <c r="W30" s="1561">
        <f t="shared" si="14"/>
        <v>100</v>
      </c>
      <c r="X30" s="1554"/>
      <c r="Y30" s="341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0"/>
      <c r="Q31" s="1559">
        <f t="shared" si="11"/>
        <v>111</v>
      </c>
      <c r="R31" s="1560" t="s">
        <v>8</v>
      </c>
      <c r="S31" s="1561">
        <f t="shared" si="12"/>
        <v>100</v>
      </c>
      <c r="T31" s="1560" t="s">
        <v>8</v>
      </c>
      <c r="U31" s="1561">
        <f t="shared" si="13"/>
        <v>100</v>
      </c>
      <c r="V31" s="1560" t="s">
        <v>8</v>
      </c>
      <c r="W31" s="1561">
        <f t="shared" si="14"/>
        <v>100</v>
      </c>
      <c r="X31" s="1554"/>
      <c r="Y31" s="341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0"/>
      <c r="Q32" s="1559">
        <f t="shared" si="11"/>
        <v>111</v>
      </c>
      <c r="R32" s="1560" t="s">
        <v>8</v>
      </c>
      <c r="S32" s="1561">
        <f t="shared" si="12"/>
        <v>100</v>
      </c>
      <c r="T32" s="1560" t="s">
        <v>8</v>
      </c>
      <c r="U32" s="1561">
        <f t="shared" si="13"/>
        <v>100</v>
      </c>
      <c r="V32" s="1560" t="s">
        <v>8</v>
      </c>
      <c r="W32" s="1561">
        <f t="shared" si="14"/>
        <v>100</v>
      </c>
      <c r="X32" s="1554"/>
      <c r="Y32" s="3410"/>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1" t="s">
        <v>550</v>
      </c>
      <c r="Q33" s="1559" t="str">
        <f t="shared" si="11"/>
        <v>建筑类型</v>
      </c>
      <c r="R33" s="1560" t="s">
        <v>8</v>
      </c>
      <c r="S33" s="1561">
        <f t="shared" si="12"/>
        <v>100</v>
      </c>
      <c r="T33" s="1560" t="s">
        <v>8</v>
      </c>
      <c r="U33" s="1561">
        <f t="shared" si="13"/>
        <v>100</v>
      </c>
      <c r="V33" s="1560" t="s">
        <v>8</v>
      </c>
      <c r="W33" s="1561">
        <f t="shared" si="14"/>
        <v>100</v>
      </c>
      <c r="X33" s="1554"/>
      <c r="Y33" s="341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2"/>
      <c r="Q34" s="1591" t="str">
        <f t="shared" si="11"/>
        <v>项目建筑规模</v>
      </c>
      <c r="R34" s="1564" t="s">
        <v>8</v>
      </c>
      <c r="S34" s="1565" t="e">
        <f t="shared" si="12"/>
        <v>#N/A</v>
      </c>
      <c r="T34" s="1564" t="s">
        <v>8</v>
      </c>
      <c r="U34" s="1565" t="e">
        <f t="shared" si="13"/>
        <v>#N/A</v>
      </c>
      <c r="V34" s="1564" t="s">
        <v>8</v>
      </c>
      <c r="W34" s="1565" t="e">
        <f t="shared" si="14"/>
        <v>#N/A</v>
      </c>
      <c r="X34" s="1566"/>
      <c r="Y34" s="341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2"/>
      <c r="Q35" s="1559" t="str">
        <f t="shared" si="11"/>
        <v>建筑结构</v>
      </c>
      <c r="R35" s="1560" t="s">
        <v>8</v>
      </c>
      <c r="S35" s="1561">
        <f t="shared" si="12"/>
        <v>100</v>
      </c>
      <c r="T35" s="1560" t="s">
        <v>8</v>
      </c>
      <c r="U35" s="1561">
        <f t="shared" si="13"/>
        <v>100</v>
      </c>
      <c r="V35" s="1560" t="s">
        <v>8</v>
      </c>
      <c r="W35" s="1561">
        <f t="shared" si="14"/>
        <v>100</v>
      </c>
      <c r="X35" s="1554"/>
      <c r="Y35" s="341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2"/>
      <c r="Q36" s="1559" t="str">
        <f t="shared" si="11"/>
        <v>公共部分装修</v>
      </c>
      <c r="R36" s="1560" t="s">
        <v>8</v>
      </c>
      <c r="S36" s="1561">
        <f t="shared" si="12"/>
        <v>100</v>
      </c>
      <c r="T36" s="1560" t="s">
        <v>8</v>
      </c>
      <c r="U36" s="1561">
        <f t="shared" si="13"/>
        <v>100</v>
      </c>
      <c r="V36" s="1560" t="s">
        <v>8</v>
      </c>
      <c r="W36" s="1561">
        <f t="shared" si="14"/>
        <v>100</v>
      </c>
      <c r="X36" s="1554"/>
      <c r="Y36" s="341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2"/>
      <c r="Q37" s="1559" t="str">
        <f t="shared" si="11"/>
        <v>成新度</v>
      </c>
      <c r="R37" s="1560" t="s">
        <v>8</v>
      </c>
      <c r="S37" s="1561" t="e">
        <f t="shared" si="12"/>
        <v>#N/A</v>
      </c>
      <c r="T37" s="1560" t="s">
        <v>8</v>
      </c>
      <c r="U37" s="1561" t="e">
        <f t="shared" si="13"/>
        <v>#N/A</v>
      </c>
      <c r="V37" s="1560" t="s">
        <v>8</v>
      </c>
      <c r="W37" s="1561" t="e">
        <f t="shared" si="14"/>
        <v>#N/A</v>
      </c>
      <c r="X37" s="1554"/>
      <c r="Y37" s="341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2"/>
      <c r="Q38" s="1147" t="str">
        <f t="shared" si="11"/>
        <v>写字楼等级</v>
      </c>
      <c r="R38" s="1555" t="s">
        <v>8</v>
      </c>
      <c r="S38" s="1556">
        <f t="shared" si="12"/>
        <v>100</v>
      </c>
      <c r="T38" s="1555" t="s">
        <v>8</v>
      </c>
      <c r="U38" s="1556">
        <f t="shared" si="13"/>
        <v>100</v>
      </c>
      <c r="V38" s="1555" t="s">
        <v>8</v>
      </c>
      <c r="W38" s="1556">
        <f t="shared" si="14"/>
        <v>100</v>
      </c>
      <c r="X38" s="1557"/>
      <c r="Y38" s="341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2" t="s">
        <v>550</v>
      </c>
      <c r="Q39" s="1559" t="str">
        <f t="shared" si="11"/>
        <v>物业管理</v>
      </c>
      <c r="R39" s="1560" t="s">
        <v>8</v>
      </c>
      <c r="S39" s="1561">
        <f t="shared" si="12"/>
        <v>100</v>
      </c>
      <c r="T39" s="1560" t="s">
        <v>8</v>
      </c>
      <c r="U39" s="1561">
        <f t="shared" si="13"/>
        <v>100</v>
      </c>
      <c r="V39" s="1560" t="s">
        <v>8</v>
      </c>
      <c r="W39" s="1561">
        <f t="shared" si="14"/>
        <v>100</v>
      </c>
      <c r="X39" s="1554"/>
      <c r="Y39" s="3412"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2"/>
      <c r="Q40" s="1559" t="str">
        <f t="shared" si="11"/>
        <v>市政基础设施</v>
      </c>
      <c r="R40" s="1560" t="s">
        <v>8</v>
      </c>
      <c r="S40" s="1561">
        <f t="shared" si="12"/>
        <v>100</v>
      </c>
      <c r="T40" s="1560" t="s">
        <v>8</v>
      </c>
      <c r="U40" s="1561">
        <f t="shared" si="13"/>
        <v>100</v>
      </c>
      <c r="V40" s="1560" t="s">
        <v>8</v>
      </c>
      <c r="W40" s="1561">
        <f t="shared" si="14"/>
        <v>100</v>
      </c>
      <c r="X40" s="1554"/>
      <c r="Y40" s="341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2"/>
      <c r="Q41" s="1559" t="str">
        <f t="shared" si="11"/>
        <v>层高</v>
      </c>
      <c r="R41" s="1560" t="s">
        <v>8</v>
      </c>
      <c r="S41" s="1561">
        <f t="shared" si="12"/>
        <v>100</v>
      </c>
      <c r="T41" s="1560" t="s">
        <v>8</v>
      </c>
      <c r="U41" s="1561">
        <f t="shared" si="13"/>
        <v>100</v>
      </c>
      <c r="V41" s="1560" t="s">
        <v>8</v>
      </c>
      <c r="W41" s="1561">
        <f t="shared" si="14"/>
        <v>100</v>
      </c>
      <c r="X41" s="1554"/>
      <c r="Y41" s="341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2"/>
      <c r="Q42" s="1591" t="str">
        <f t="shared" si="11"/>
        <v>单套建筑面积</v>
      </c>
      <c r="R42" s="1564" t="s">
        <v>8</v>
      </c>
      <c r="S42" s="1565">
        <f t="shared" si="12"/>
        <v>100</v>
      </c>
      <c r="T42" s="1564" t="s">
        <v>8</v>
      </c>
      <c r="U42" s="1565">
        <f t="shared" si="13"/>
        <v>100</v>
      </c>
      <c r="V42" s="1564" t="s">
        <v>8</v>
      </c>
      <c r="W42" s="1565">
        <f t="shared" si="14"/>
        <v>100</v>
      </c>
      <c r="X42" s="1566"/>
      <c r="Y42" s="341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2"/>
      <c r="Q43" s="1559" t="str">
        <f t="shared" si="11"/>
        <v>内部装修</v>
      </c>
      <c r="R43" s="1560" t="s">
        <v>8</v>
      </c>
      <c r="S43" s="1561">
        <f t="shared" si="12"/>
        <v>100</v>
      </c>
      <c r="T43" s="1560" t="s">
        <v>8</v>
      </c>
      <c r="U43" s="1561">
        <f t="shared" si="13"/>
        <v>100</v>
      </c>
      <c r="V43" s="1560" t="s">
        <v>8</v>
      </c>
      <c r="W43" s="1561">
        <f t="shared" si="14"/>
        <v>100</v>
      </c>
      <c r="X43" s="1554"/>
      <c r="Y43" s="341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2"/>
      <c r="Q44" s="1559" t="str">
        <f t="shared" si="11"/>
        <v>内部装修维护情况</v>
      </c>
      <c r="R44" s="1560" t="s">
        <v>8</v>
      </c>
      <c r="S44" s="1561">
        <f t="shared" si="12"/>
        <v>100</v>
      </c>
      <c r="T44" s="1560" t="s">
        <v>8</v>
      </c>
      <c r="U44" s="1561">
        <f t="shared" si="13"/>
        <v>100</v>
      </c>
      <c r="V44" s="1560" t="s">
        <v>8</v>
      </c>
      <c r="W44" s="1561">
        <f t="shared" si="14"/>
        <v>100</v>
      </c>
      <c r="X44" s="1554"/>
      <c r="Y44" s="341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2"/>
      <c r="Q45" s="1147">
        <f t="shared" si="11"/>
        <v>111</v>
      </c>
      <c r="R45" s="1555" t="s">
        <v>8</v>
      </c>
      <c r="S45" s="1556">
        <f t="shared" si="12"/>
        <v>100</v>
      </c>
      <c r="T45" s="1555" t="s">
        <v>8</v>
      </c>
      <c r="U45" s="1556">
        <f t="shared" si="13"/>
        <v>100</v>
      </c>
      <c r="V45" s="1555" t="s">
        <v>8</v>
      </c>
      <c r="W45" s="1556">
        <f t="shared" si="14"/>
        <v>100</v>
      </c>
      <c r="X45" s="1557"/>
      <c r="Y45" s="341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2"/>
      <c r="Q46" s="1559">
        <f t="shared" si="11"/>
        <v>111</v>
      </c>
      <c r="R46" s="1560" t="s">
        <v>8</v>
      </c>
      <c r="S46" s="1561">
        <f t="shared" si="12"/>
        <v>100</v>
      </c>
      <c r="T46" s="1560" t="s">
        <v>8</v>
      </c>
      <c r="U46" s="1561">
        <f t="shared" si="13"/>
        <v>100</v>
      </c>
      <c r="V46" s="1560" t="s">
        <v>8</v>
      </c>
      <c r="W46" s="1561">
        <f t="shared" si="14"/>
        <v>100</v>
      </c>
      <c r="X46" s="1554"/>
      <c r="Y46" s="341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3"/>
      <c r="Q47" s="1559">
        <f t="shared" si="11"/>
        <v>111</v>
      </c>
      <c r="R47" s="1560" t="s">
        <v>8</v>
      </c>
      <c r="S47" s="1561">
        <f t="shared" si="12"/>
        <v>100</v>
      </c>
      <c r="T47" s="1560" t="s">
        <v>8</v>
      </c>
      <c r="U47" s="1561">
        <f t="shared" si="13"/>
        <v>100</v>
      </c>
      <c r="V47" s="1560" t="s">
        <v>8</v>
      </c>
      <c r="W47" s="1561">
        <f t="shared" si="14"/>
        <v>100</v>
      </c>
      <c r="X47" s="1554"/>
      <c r="Y47" s="3493"/>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73" t="str">
        <f>A48</f>
        <v>成交单价（元/平方米）</v>
      </c>
      <c r="Q48" s="3375"/>
      <c r="R48" s="3492">
        <f>E48</f>
        <v>0</v>
      </c>
      <c r="S48" s="3492"/>
      <c r="T48" s="3492">
        <f>G48</f>
        <v>0</v>
      </c>
      <c r="U48" s="3492"/>
      <c r="V48" s="3492">
        <f>I48</f>
        <v>0</v>
      </c>
      <c r="W48" s="3492"/>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73" t="str">
        <f>A49</f>
        <v>比较价格（元/平方米）</v>
      </c>
      <c r="Q49" s="3375"/>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96" t="str">
        <f>A50</f>
        <v>估价对象XX用房的比较价格（楼面单价，元/平方米）</v>
      </c>
      <c r="Q50" s="3373"/>
      <c r="R50" s="3491" t="e">
        <f>IF(F1="售价",ROUND(AVERAGE(R49:V49),0),ROUND(AVERAGE(R49:V49),1))</f>
        <v>#DIV/0!</v>
      </c>
      <c r="S50" s="3491"/>
      <c r="T50" s="3491"/>
      <c r="U50" s="3491"/>
      <c r="V50" s="3491"/>
      <c r="W50" s="349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1" t="s">
        <v>522</v>
      </c>
      <c r="D4" s="3382"/>
      <c r="E4" s="3415" t="s">
        <v>523</v>
      </c>
      <c r="F4" s="3416"/>
      <c r="G4" s="3381" t="s">
        <v>524</v>
      </c>
      <c r="H4" s="3382"/>
      <c r="I4" s="3381" t="s">
        <v>525</v>
      </c>
      <c r="J4" s="3382"/>
      <c r="K4" s="514" t="s">
        <v>526</v>
      </c>
      <c r="L4" s="2119"/>
      <c r="M4" s="2120"/>
      <c r="N4" s="2120"/>
      <c r="O4" s="2120"/>
      <c r="P4" s="3383" t="s">
        <v>527</v>
      </c>
      <c r="Q4" s="3384"/>
      <c r="R4" s="3389" t="s">
        <v>523</v>
      </c>
      <c r="S4" s="3390"/>
      <c r="T4" s="3389" t="s">
        <v>524</v>
      </c>
      <c r="U4" s="3390"/>
      <c r="V4" s="3376" t="s">
        <v>525</v>
      </c>
      <c r="W4" s="3376"/>
      <c r="X4" s="1554"/>
      <c r="Y4" s="3389" t="s">
        <v>527</v>
      </c>
      <c r="Z4" s="3390"/>
      <c r="AA4" s="3378" t="s">
        <v>523</v>
      </c>
      <c r="AB4" s="3379" t="s">
        <v>524</v>
      </c>
      <c r="AC4" s="3378" t="s">
        <v>525</v>
      </c>
    </row>
    <row r="5" spans="1:29" ht="15">
      <c r="A5" s="515"/>
      <c r="B5" s="516"/>
      <c r="C5" s="3397" t="s">
        <v>2931</v>
      </c>
      <c r="D5" s="3398"/>
      <c r="E5" s="3417" t="s">
        <v>2932</v>
      </c>
      <c r="F5" s="3418"/>
      <c r="G5" s="3397" t="s">
        <v>2933</v>
      </c>
      <c r="H5" s="3398"/>
      <c r="I5" s="3397" t="s">
        <v>2934</v>
      </c>
      <c r="J5" s="3398"/>
      <c r="K5" s="514"/>
      <c r="L5" s="2119"/>
      <c r="M5" s="2120"/>
      <c r="N5" s="2120"/>
      <c r="O5" s="2120"/>
      <c r="P5" s="3385"/>
      <c r="Q5" s="3386"/>
      <c r="R5" s="3391"/>
      <c r="S5" s="3392"/>
      <c r="T5" s="3391"/>
      <c r="U5" s="3392"/>
      <c r="V5" s="3376"/>
      <c r="W5" s="3376"/>
      <c r="X5" s="1554"/>
      <c r="Y5" s="3391"/>
      <c r="Z5" s="3392"/>
      <c r="AA5" s="3379"/>
      <c r="AB5" s="3379"/>
      <c r="AC5" s="3379"/>
    </row>
    <row r="6" spans="1:29" ht="15.75" thickBot="1">
      <c r="A6" s="517"/>
      <c r="B6" s="518"/>
      <c r="C6" s="3395" t="s">
        <v>2935</v>
      </c>
      <c r="D6" s="3396"/>
      <c r="E6" s="3413" t="s">
        <v>2935</v>
      </c>
      <c r="F6" s="3414"/>
      <c r="G6" s="3395" t="s">
        <v>2935</v>
      </c>
      <c r="H6" s="3396"/>
      <c r="I6" s="3395" t="s">
        <v>2935</v>
      </c>
      <c r="J6" s="3396"/>
      <c r="K6" s="514" t="s">
        <v>528</v>
      </c>
      <c r="L6" s="2119"/>
      <c r="M6" s="2120"/>
      <c r="N6" s="2120"/>
      <c r="O6" s="2120"/>
      <c r="P6" s="3387"/>
      <c r="Q6" s="3388"/>
      <c r="R6" s="3391"/>
      <c r="S6" s="3392"/>
      <c r="T6" s="3393"/>
      <c r="U6" s="3394"/>
      <c r="V6" s="3376"/>
      <c r="W6" s="3376"/>
      <c r="X6" s="1554"/>
      <c r="Y6" s="3393"/>
      <c r="Z6" s="3394"/>
      <c r="AA6" s="3380"/>
      <c r="AB6" s="3380"/>
      <c r="AC6" s="3380"/>
    </row>
    <row r="7" spans="1:29" s="1216" customFormat="1" ht="15.75" thickBot="1">
      <c r="A7" s="2868"/>
      <c r="B7" s="2875" t="s">
        <v>529</v>
      </c>
      <c r="C7" s="519">
        <f>'数据-取费表'!B2</f>
        <v>43712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6" t="s">
        <v>530</v>
      </c>
      <c r="Q7" s="3408"/>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5"/>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9" t="s">
        <v>540</v>
      </c>
      <c r="Q15" s="1559" t="str">
        <f t="shared" si="6"/>
        <v>产业集聚程度</v>
      </c>
      <c r="R15" s="1560" t="s">
        <v>8</v>
      </c>
      <c r="S15" s="1561">
        <f t="shared" si="0"/>
        <v>100</v>
      </c>
      <c r="T15" s="1560" t="s">
        <v>8</v>
      </c>
      <c r="U15" s="1561">
        <f t="shared" si="1"/>
        <v>100</v>
      </c>
      <c r="V15" s="1560" t="s">
        <v>8</v>
      </c>
      <c r="W15" s="1561">
        <f t="shared" si="2"/>
        <v>100</v>
      </c>
      <c r="X15" s="1554"/>
      <c r="Y15" s="340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0"/>
      <c r="Q16" s="1559"/>
      <c r="R16" s="1560"/>
      <c r="S16" s="1561"/>
      <c r="T16" s="1560"/>
      <c r="U16" s="1561"/>
      <c r="V16" s="1560"/>
      <c r="W16" s="1561"/>
      <c r="X16" s="1554"/>
      <c r="Y16" s="341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0"/>
      <c r="Q18" s="1559"/>
      <c r="R18" s="1560"/>
      <c r="S18" s="1561"/>
      <c r="T18" s="1560"/>
      <c r="U18" s="1561"/>
      <c r="V18" s="1560"/>
      <c r="W18" s="1561"/>
      <c r="X18" s="1554"/>
      <c r="Y18" s="3410"/>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0"/>
      <c r="Q20" s="1559"/>
      <c r="R20" s="1560"/>
      <c r="S20" s="1561"/>
      <c r="T20" s="1560"/>
      <c r="U20" s="1561"/>
      <c r="V20" s="1560"/>
      <c r="W20" s="1561"/>
      <c r="X20" s="1554"/>
      <c r="Y20" s="3410"/>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0"/>
      <c r="Q21" s="2544" t="str">
        <f>B21</f>
        <v>基础设施水平</v>
      </c>
      <c r="R21" s="1560" t="s">
        <v>8</v>
      </c>
      <c r="S21" s="1561">
        <f>F21</f>
        <v>100</v>
      </c>
      <c r="T21" s="1560" t="s">
        <v>8</v>
      </c>
      <c r="U21" s="1561">
        <f>H21</f>
        <v>100</v>
      </c>
      <c r="V21" s="1560" t="s">
        <v>8</v>
      </c>
      <c r="W21" s="1561">
        <f>J21</f>
        <v>100</v>
      </c>
      <c r="X21" s="2546"/>
      <c r="Y21" s="3410"/>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0"/>
      <c r="Q22" s="2544"/>
      <c r="R22" s="1560"/>
      <c r="S22" s="1561"/>
      <c r="T22" s="1560"/>
      <c r="U22" s="1561"/>
      <c r="V22" s="1560"/>
      <c r="W22" s="1561"/>
      <c r="X22" s="2546"/>
      <c r="Y22" s="3410"/>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0"/>
      <c r="Q23" s="1559" t="str">
        <f>B23</f>
        <v>环境质量</v>
      </c>
      <c r="R23" s="1560" t="s">
        <v>8</v>
      </c>
      <c r="S23" s="1561">
        <f>F23</f>
        <v>100</v>
      </c>
      <c r="T23" s="1560" t="s">
        <v>8</v>
      </c>
      <c r="U23" s="1561">
        <f>H23</f>
        <v>100</v>
      </c>
      <c r="V23" s="1560" t="s">
        <v>8</v>
      </c>
      <c r="W23" s="1561">
        <f>J23</f>
        <v>100</v>
      </c>
      <c r="X23" s="1554"/>
      <c r="Y23" s="341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0"/>
      <c r="Q24" s="1559"/>
      <c r="R24" s="1560"/>
      <c r="S24" s="1561"/>
      <c r="T24" s="1560"/>
      <c r="U24" s="1561"/>
      <c r="V24" s="1560"/>
      <c r="W24" s="1561"/>
      <c r="X24" s="1554"/>
      <c r="Y24" s="341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0"/>
      <c r="Q25" s="1559">
        <f>B25</f>
        <v>111</v>
      </c>
      <c r="R25" s="1560" t="s">
        <v>8</v>
      </c>
      <c r="S25" s="1561">
        <f>F25</f>
        <v>100</v>
      </c>
      <c r="T25" s="1560" t="s">
        <v>8</v>
      </c>
      <c r="U25" s="1561">
        <f>H25</f>
        <v>100</v>
      </c>
      <c r="V25" s="1560" t="s">
        <v>8</v>
      </c>
      <c r="W25" s="1561">
        <f>J25</f>
        <v>100</v>
      </c>
      <c r="X25" s="1554"/>
      <c r="Y25" s="341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0"/>
      <c r="Q26" s="1559">
        <f t="shared" ref="Q26:Q40" si="11">B26</f>
        <v>111</v>
      </c>
      <c r="R26" s="1560" t="s">
        <v>8</v>
      </c>
      <c r="S26" s="1561">
        <f>F26</f>
        <v>100</v>
      </c>
      <c r="T26" s="1560" t="s">
        <v>8</v>
      </c>
      <c r="U26" s="1561">
        <f>H26</f>
        <v>100</v>
      </c>
      <c r="V26" s="1560" t="s">
        <v>8</v>
      </c>
      <c r="W26" s="1561">
        <f>J26</f>
        <v>100</v>
      </c>
      <c r="X26" s="1554"/>
      <c r="Y26" s="341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0"/>
      <c r="Q27" s="1147">
        <f t="shared" si="11"/>
        <v>111</v>
      </c>
      <c r="R27" s="1555" t="s">
        <v>8</v>
      </c>
      <c r="S27" s="1556">
        <f>F27</f>
        <v>100</v>
      </c>
      <c r="T27" s="1555" t="s">
        <v>8</v>
      </c>
      <c r="U27" s="1556">
        <f>H27</f>
        <v>100</v>
      </c>
      <c r="V27" s="1555" t="s">
        <v>8</v>
      </c>
      <c r="W27" s="1556">
        <f>J27</f>
        <v>100</v>
      </c>
      <c r="X27" s="1557"/>
      <c r="Y27" s="341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0"/>
      <c r="Q28" s="1559">
        <f t="shared" si="11"/>
        <v>111</v>
      </c>
      <c r="R28" s="1560" t="s">
        <v>8</v>
      </c>
      <c r="S28" s="1561">
        <f t="shared" ref="S28:S40" si="12">F28</f>
        <v>100</v>
      </c>
      <c r="T28" s="1560" t="s">
        <v>8</v>
      </c>
      <c r="U28" s="1561">
        <f t="shared" ref="U28:U40" si="13">H28</f>
        <v>100</v>
      </c>
      <c r="V28" s="1560" t="s">
        <v>8</v>
      </c>
      <c r="W28" s="1561">
        <f t="shared" ref="W28:W40" si="14">J28</f>
        <v>100</v>
      </c>
      <c r="X28" s="1554"/>
      <c r="Y28" s="3410"/>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1" t="s">
        <v>550</v>
      </c>
      <c r="Q29" s="1559" t="str">
        <f t="shared" si="11"/>
        <v>建筑类型</v>
      </c>
      <c r="R29" s="1560" t="s">
        <v>8</v>
      </c>
      <c r="S29" s="1561">
        <f t="shared" si="12"/>
        <v>100</v>
      </c>
      <c r="T29" s="1560" t="s">
        <v>8</v>
      </c>
      <c r="U29" s="1561">
        <f t="shared" si="13"/>
        <v>100</v>
      </c>
      <c r="V29" s="1560" t="s">
        <v>8</v>
      </c>
      <c r="W29" s="1561">
        <f t="shared" si="14"/>
        <v>100</v>
      </c>
      <c r="X29" s="1554"/>
      <c r="Y29" s="341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2"/>
      <c r="Q30" s="1591" t="str">
        <f t="shared" si="11"/>
        <v>项目建筑规模</v>
      </c>
      <c r="R30" s="1564" t="s">
        <v>8</v>
      </c>
      <c r="S30" s="1565" t="e">
        <f t="shared" si="12"/>
        <v>#N/A</v>
      </c>
      <c r="T30" s="1564" t="s">
        <v>8</v>
      </c>
      <c r="U30" s="1565" t="e">
        <f t="shared" si="13"/>
        <v>#N/A</v>
      </c>
      <c r="V30" s="1564" t="s">
        <v>8</v>
      </c>
      <c r="W30" s="1565" t="e">
        <f t="shared" si="14"/>
        <v>#N/A</v>
      </c>
      <c r="X30" s="1566"/>
      <c r="Y30" s="341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2"/>
      <c r="Q31" s="1559" t="str">
        <f t="shared" si="11"/>
        <v>建筑结构</v>
      </c>
      <c r="R31" s="1560" t="s">
        <v>8</v>
      </c>
      <c r="S31" s="1561">
        <f t="shared" si="12"/>
        <v>100</v>
      </c>
      <c r="T31" s="1560" t="s">
        <v>8</v>
      </c>
      <c r="U31" s="1561">
        <f t="shared" si="13"/>
        <v>100</v>
      </c>
      <c r="V31" s="1560" t="s">
        <v>8</v>
      </c>
      <c r="W31" s="1561">
        <f t="shared" si="14"/>
        <v>100</v>
      </c>
      <c r="X31" s="1554"/>
      <c r="Y31" s="341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2"/>
      <c r="Q32" s="1559" t="str">
        <f t="shared" si="11"/>
        <v>公共部分装修</v>
      </c>
      <c r="R32" s="1560" t="s">
        <v>8</v>
      </c>
      <c r="S32" s="1561">
        <f t="shared" si="12"/>
        <v>100</v>
      </c>
      <c r="T32" s="1560" t="s">
        <v>8</v>
      </c>
      <c r="U32" s="1561">
        <f t="shared" si="13"/>
        <v>100</v>
      </c>
      <c r="V32" s="1560" t="s">
        <v>8</v>
      </c>
      <c r="W32" s="1561">
        <f t="shared" si="14"/>
        <v>100</v>
      </c>
      <c r="X32" s="1554"/>
      <c r="Y32" s="341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2"/>
      <c r="Q33" s="1559" t="str">
        <f t="shared" si="11"/>
        <v>成新度</v>
      </c>
      <c r="R33" s="1560" t="s">
        <v>8</v>
      </c>
      <c r="S33" s="1561" t="e">
        <f t="shared" si="12"/>
        <v>#N/A</v>
      </c>
      <c r="T33" s="1560" t="s">
        <v>8</v>
      </c>
      <c r="U33" s="1561" t="e">
        <f t="shared" si="13"/>
        <v>#N/A</v>
      </c>
      <c r="V33" s="1560" t="s">
        <v>8</v>
      </c>
      <c r="W33" s="1561" t="e">
        <f t="shared" si="14"/>
        <v>#N/A</v>
      </c>
      <c r="X33" s="1554"/>
      <c r="Y33" s="341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2"/>
      <c r="Q34" s="1147" t="str">
        <f t="shared" si="11"/>
        <v>物业管理</v>
      </c>
      <c r="R34" s="1555" t="s">
        <v>8</v>
      </c>
      <c r="S34" s="1556">
        <f t="shared" si="12"/>
        <v>100</v>
      </c>
      <c r="T34" s="1555" t="s">
        <v>8</v>
      </c>
      <c r="U34" s="1556">
        <f t="shared" si="13"/>
        <v>100</v>
      </c>
      <c r="V34" s="1555" t="s">
        <v>8</v>
      </c>
      <c r="W34" s="1556">
        <f t="shared" si="14"/>
        <v>100</v>
      </c>
      <c r="X34" s="1557"/>
      <c r="Y34" s="3412"/>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2" t="s">
        <v>550</v>
      </c>
      <c r="Q35" s="1559" t="str">
        <f t="shared" si="11"/>
        <v>市政基础设施</v>
      </c>
      <c r="R35" s="1560" t="s">
        <v>8</v>
      </c>
      <c r="S35" s="1561">
        <f t="shared" si="12"/>
        <v>100</v>
      </c>
      <c r="T35" s="1560" t="s">
        <v>8</v>
      </c>
      <c r="U35" s="1561">
        <f t="shared" si="13"/>
        <v>100</v>
      </c>
      <c r="V35" s="1560" t="s">
        <v>8</v>
      </c>
      <c r="W35" s="1561">
        <f t="shared" si="14"/>
        <v>100</v>
      </c>
      <c r="X35" s="1554"/>
      <c r="Y35" s="341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2"/>
      <c r="Q36" s="1559" t="str">
        <f t="shared" si="11"/>
        <v>内部装修</v>
      </c>
      <c r="R36" s="1560" t="s">
        <v>8</v>
      </c>
      <c r="S36" s="1561">
        <f t="shared" si="12"/>
        <v>100</v>
      </c>
      <c r="T36" s="1560" t="s">
        <v>8</v>
      </c>
      <c r="U36" s="1561">
        <f t="shared" si="13"/>
        <v>100</v>
      </c>
      <c r="V36" s="1560" t="s">
        <v>8</v>
      </c>
      <c r="W36" s="1561">
        <f t="shared" si="14"/>
        <v>100</v>
      </c>
      <c r="X36" s="1554"/>
      <c r="Y36" s="341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2"/>
      <c r="Q37" s="1559" t="str">
        <f t="shared" si="11"/>
        <v>内部装修状况</v>
      </c>
      <c r="R37" s="1560" t="s">
        <v>8</v>
      </c>
      <c r="S37" s="1561">
        <f t="shared" si="12"/>
        <v>100</v>
      </c>
      <c r="T37" s="1560" t="s">
        <v>8</v>
      </c>
      <c r="U37" s="1561">
        <f t="shared" si="13"/>
        <v>100</v>
      </c>
      <c r="V37" s="1560" t="s">
        <v>8</v>
      </c>
      <c r="W37" s="1561">
        <f t="shared" si="14"/>
        <v>100</v>
      </c>
      <c r="X37" s="1554"/>
      <c r="Y37" s="341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2"/>
      <c r="Q38" s="1591">
        <f t="shared" si="11"/>
        <v>111</v>
      </c>
      <c r="R38" s="1564" t="s">
        <v>8</v>
      </c>
      <c r="S38" s="1565">
        <f t="shared" si="12"/>
        <v>100</v>
      </c>
      <c r="T38" s="1564" t="s">
        <v>8</v>
      </c>
      <c r="U38" s="1565">
        <f t="shared" si="13"/>
        <v>100</v>
      </c>
      <c r="V38" s="1564" t="s">
        <v>8</v>
      </c>
      <c r="W38" s="1565">
        <f t="shared" si="14"/>
        <v>100</v>
      </c>
      <c r="X38" s="1566"/>
      <c r="Y38" s="341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2"/>
      <c r="Q39" s="1559">
        <f t="shared" si="11"/>
        <v>111</v>
      </c>
      <c r="R39" s="1560" t="s">
        <v>8</v>
      </c>
      <c r="S39" s="1561">
        <f t="shared" si="12"/>
        <v>100</v>
      </c>
      <c r="T39" s="1560" t="s">
        <v>8</v>
      </c>
      <c r="U39" s="1561">
        <f t="shared" si="13"/>
        <v>100</v>
      </c>
      <c r="V39" s="1560" t="s">
        <v>8</v>
      </c>
      <c r="W39" s="1561">
        <f t="shared" si="14"/>
        <v>100</v>
      </c>
      <c r="X39" s="1554"/>
      <c r="Y39" s="341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3"/>
      <c r="Q40" s="1559">
        <f t="shared" si="11"/>
        <v>111</v>
      </c>
      <c r="R40" s="1560" t="s">
        <v>8</v>
      </c>
      <c r="S40" s="1561">
        <f t="shared" si="12"/>
        <v>100</v>
      </c>
      <c r="T40" s="1560" t="s">
        <v>8</v>
      </c>
      <c r="U40" s="1561">
        <f t="shared" si="13"/>
        <v>100</v>
      </c>
      <c r="V40" s="1560" t="s">
        <v>8</v>
      </c>
      <c r="W40" s="1561">
        <f t="shared" si="14"/>
        <v>100</v>
      </c>
      <c r="X40" s="1554"/>
      <c r="Y40" s="3493"/>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5" t="str">
        <f>A41</f>
        <v>成交单价（元/平方米）</v>
      </c>
      <c r="Q41" s="3375"/>
      <c r="R41" s="3492">
        <f>E41</f>
        <v>0</v>
      </c>
      <c r="S41" s="3492"/>
      <c r="T41" s="3492">
        <f>G41</f>
        <v>0</v>
      </c>
      <c r="U41" s="3492"/>
      <c r="V41" s="3492">
        <f>I41</f>
        <v>0</v>
      </c>
      <c r="W41" s="3492"/>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5" t="str">
        <f>A42</f>
        <v>比较价格（元/平方米）</v>
      </c>
      <c r="Q42" s="3375"/>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72" t="str">
        <f>A43</f>
        <v>估价对象XX用房的比较价格（楼面单价，元/平方米）</v>
      </c>
      <c r="Q43" s="3373"/>
      <c r="R43" s="3491" t="e">
        <f>IF(F1="售价",ROUND(AVERAGE(R42:V42),0),ROUND(AVERAGE(R42:V42),1))</f>
        <v>#DIV/0!</v>
      </c>
      <c r="S43" s="3491"/>
      <c r="T43" s="3491"/>
      <c r="U43" s="3491"/>
      <c r="V43" s="3491"/>
      <c r="W43" s="349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1" t="s">
        <v>798</v>
      </c>
      <c r="D4" s="3382"/>
      <c r="E4" s="3381" t="s">
        <v>799</v>
      </c>
      <c r="F4" s="3382"/>
      <c r="G4" s="3381" t="s">
        <v>800</v>
      </c>
      <c r="H4" s="3382"/>
      <c r="I4" s="3381" t="s">
        <v>801</v>
      </c>
      <c r="J4" s="3382"/>
      <c r="K4" s="514" t="s">
        <v>802</v>
      </c>
      <c r="L4" s="2119"/>
      <c r="M4" s="2120"/>
      <c r="N4" s="2120"/>
      <c r="O4" s="2120"/>
      <c r="P4" s="3383" t="s">
        <v>803</v>
      </c>
      <c r="Q4" s="3384"/>
      <c r="R4" s="3389" t="s">
        <v>799</v>
      </c>
      <c r="S4" s="3390"/>
      <c r="T4" s="3389" t="s">
        <v>800</v>
      </c>
      <c r="U4" s="3390"/>
      <c r="V4" s="3376" t="s">
        <v>801</v>
      </c>
      <c r="W4" s="3376"/>
      <c r="X4" s="1554"/>
      <c r="Y4" s="3389" t="s">
        <v>803</v>
      </c>
      <c r="Z4" s="3390"/>
      <c r="AA4" s="3378" t="s">
        <v>799</v>
      </c>
      <c r="AB4" s="3379" t="s">
        <v>800</v>
      </c>
      <c r="AC4" s="3378" t="s">
        <v>801</v>
      </c>
    </row>
    <row r="5" spans="1:29" ht="15">
      <c r="A5" s="515"/>
      <c r="B5" s="516"/>
      <c r="C5" s="3397" t="s">
        <v>2931</v>
      </c>
      <c r="D5" s="3398"/>
      <c r="E5" s="3397" t="s">
        <v>2932</v>
      </c>
      <c r="F5" s="3398"/>
      <c r="G5" s="3397" t="s">
        <v>2933</v>
      </c>
      <c r="H5" s="3398"/>
      <c r="I5" s="3397" t="s">
        <v>2934</v>
      </c>
      <c r="J5" s="3398"/>
      <c r="K5" s="514"/>
      <c r="L5" s="2119"/>
      <c r="M5" s="2120"/>
      <c r="N5" s="2120"/>
      <c r="O5" s="2120"/>
      <c r="P5" s="3385"/>
      <c r="Q5" s="3386"/>
      <c r="R5" s="3391"/>
      <c r="S5" s="3392"/>
      <c r="T5" s="3391"/>
      <c r="U5" s="3392"/>
      <c r="V5" s="3376"/>
      <c r="W5" s="3376"/>
      <c r="X5" s="1554"/>
      <c r="Y5" s="3391"/>
      <c r="Z5" s="3392"/>
      <c r="AA5" s="3379"/>
      <c r="AB5" s="3379"/>
      <c r="AC5" s="3379"/>
    </row>
    <row r="6" spans="1:29" ht="15.75" thickBot="1">
      <c r="A6" s="517"/>
      <c r="B6" s="518"/>
      <c r="C6" s="3395" t="s">
        <v>2935</v>
      </c>
      <c r="D6" s="3396"/>
      <c r="E6" s="3399" t="s">
        <v>2935</v>
      </c>
      <c r="F6" s="3400"/>
      <c r="G6" s="3395" t="s">
        <v>2935</v>
      </c>
      <c r="H6" s="3396"/>
      <c r="I6" s="3395" t="s">
        <v>2935</v>
      </c>
      <c r="J6" s="3396"/>
      <c r="K6" s="514" t="s">
        <v>528</v>
      </c>
      <c r="L6" s="2119"/>
      <c r="M6" s="2120"/>
      <c r="N6" s="2120"/>
      <c r="O6" s="2120"/>
      <c r="P6" s="3387"/>
      <c r="Q6" s="3388"/>
      <c r="R6" s="3391"/>
      <c r="S6" s="3392"/>
      <c r="T6" s="3393"/>
      <c r="U6" s="3394"/>
      <c r="V6" s="3376"/>
      <c r="W6" s="3376"/>
      <c r="X6" s="1554"/>
      <c r="Y6" s="3393"/>
      <c r="Z6" s="3394"/>
      <c r="AA6" s="3380"/>
      <c r="AB6" s="3380"/>
      <c r="AC6" s="3380"/>
    </row>
    <row r="7" spans="1:29" s="1216" customFormat="1" ht="15.75" thickBot="1">
      <c r="A7" s="2868"/>
      <c r="B7" s="2875" t="s">
        <v>529</v>
      </c>
      <c r="C7" s="519">
        <f>'数据-取费表'!B2</f>
        <v>43712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6" t="s">
        <v>530</v>
      </c>
      <c r="Q7" s="3408"/>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5" t="s">
        <v>535</v>
      </c>
      <c r="Q9" s="1147" t="str">
        <f t="shared" ref="Q9:Q14" si="6">B9</f>
        <v>用途</v>
      </c>
      <c r="R9" s="1555" t="s">
        <v>8</v>
      </c>
      <c r="S9" s="1556">
        <f t="shared" si="0"/>
        <v>100</v>
      </c>
      <c r="T9" s="1555" t="s">
        <v>8</v>
      </c>
      <c r="U9" s="1556">
        <f t="shared" si="1"/>
        <v>100</v>
      </c>
      <c r="V9" s="1555" t="s">
        <v>8</v>
      </c>
      <c r="W9" s="1556">
        <f t="shared" si="2"/>
        <v>100</v>
      </c>
      <c r="X9" s="1557"/>
      <c r="Y9" s="332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5"/>
      <c r="Q11" s="1147">
        <f t="shared" si="6"/>
        <v>111</v>
      </c>
      <c r="R11" s="1555" t="s">
        <v>8</v>
      </c>
      <c r="S11" s="1556">
        <f t="shared" si="0"/>
        <v>100</v>
      </c>
      <c r="T11" s="1555" t="s">
        <v>8</v>
      </c>
      <c r="U11" s="1556">
        <f t="shared" si="1"/>
        <v>100</v>
      </c>
      <c r="V11" s="1555" t="s">
        <v>8</v>
      </c>
      <c r="W11" s="1556">
        <f t="shared" si="2"/>
        <v>100</v>
      </c>
      <c r="X11" s="1557"/>
      <c r="Y11" s="332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9" t="s">
        <v>540</v>
      </c>
      <c r="Q14" s="1559" t="str">
        <f t="shared" si="6"/>
        <v>交通便捷度</v>
      </c>
      <c r="R14" s="1560" t="s">
        <v>8</v>
      </c>
      <c r="S14" s="1561">
        <f t="shared" si="0"/>
        <v>100</v>
      </c>
      <c r="T14" s="1560" t="s">
        <v>8</v>
      </c>
      <c r="U14" s="1561">
        <f t="shared" si="1"/>
        <v>100</v>
      </c>
      <c r="V14" s="1560" t="s">
        <v>8</v>
      </c>
      <c r="W14" s="1561">
        <f t="shared" si="2"/>
        <v>100</v>
      </c>
      <c r="X14" s="1554"/>
      <c r="Y14" s="340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0"/>
      <c r="Q15" s="1559"/>
      <c r="R15" s="1560"/>
      <c r="S15" s="1561"/>
      <c r="T15" s="1560"/>
      <c r="U15" s="1561"/>
      <c r="V15" s="1560"/>
      <c r="W15" s="1561"/>
      <c r="X15" s="1554"/>
      <c r="Y15" s="3410"/>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0"/>
      <c r="Q16" s="1559" t="str">
        <f>B16</f>
        <v>公共配套设施</v>
      </c>
      <c r="R16" s="1560" t="s">
        <v>8</v>
      </c>
      <c r="S16" s="1561">
        <f>F16</f>
        <v>100</v>
      </c>
      <c r="T16" s="1560" t="s">
        <v>8</v>
      </c>
      <c r="U16" s="1561">
        <f>H16</f>
        <v>100</v>
      </c>
      <c r="V16" s="1560" t="s">
        <v>8</v>
      </c>
      <c r="W16" s="1561">
        <f>J16</f>
        <v>100</v>
      </c>
      <c r="X16" s="1554"/>
      <c r="Y16" s="341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0"/>
      <c r="Q17" s="1559"/>
      <c r="R17" s="1560"/>
      <c r="S17" s="1561"/>
      <c r="T17" s="1560"/>
      <c r="U17" s="1561"/>
      <c r="V17" s="1560"/>
      <c r="W17" s="1561"/>
      <c r="X17" s="1554"/>
      <c r="Y17" s="3410"/>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0"/>
      <c r="Q18" s="2544" t="str">
        <f>B18</f>
        <v>基础设施水平</v>
      </c>
      <c r="R18" s="1560" t="s">
        <v>8</v>
      </c>
      <c r="S18" s="1561">
        <f>F18</f>
        <v>100</v>
      </c>
      <c r="T18" s="1560" t="s">
        <v>8</v>
      </c>
      <c r="U18" s="1561">
        <f>H18</f>
        <v>100</v>
      </c>
      <c r="V18" s="1560" t="s">
        <v>8</v>
      </c>
      <c r="W18" s="1561">
        <f>J18</f>
        <v>100</v>
      </c>
      <c r="X18" s="2546"/>
      <c r="Y18" s="3410"/>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0"/>
      <c r="Q19" s="2544"/>
      <c r="R19" s="1560"/>
      <c r="S19" s="1561"/>
      <c r="T19" s="1560"/>
      <c r="U19" s="1561"/>
      <c r="V19" s="1560"/>
      <c r="W19" s="1561"/>
      <c r="X19" s="2546"/>
      <c r="Y19" s="3410"/>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0"/>
      <c r="Q20" s="1559" t="str">
        <f>B20</f>
        <v>自然及人文环境</v>
      </c>
      <c r="R20" s="1560" t="s">
        <v>8</v>
      </c>
      <c r="S20" s="1561">
        <f>F20</f>
        <v>100</v>
      </c>
      <c r="T20" s="1560" t="s">
        <v>8</v>
      </c>
      <c r="U20" s="1561">
        <f>H20</f>
        <v>100</v>
      </c>
      <c r="V20" s="1560" t="s">
        <v>8</v>
      </c>
      <c r="W20" s="1561">
        <f>J20</f>
        <v>100</v>
      </c>
      <c r="X20" s="1554"/>
      <c r="Y20" s="341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0"/>
      <c r="Q21" s="1559"/>
      <c r="R21" s="1560"/>
      <c r="S21" s="1561"/>
      <c r="T21" s="1560"/>
      <c r="U21" s="1561"/>
      <c r="V21" s="1560"/>
      <c r="W21" s="1561"/>
      <c r="X21" s="1554"/>
      <c r="Y21" s="341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0"/>
      <c r="Q22" s="1559" t="str">
        <f>B22</f>
        <v>楼层</v>
      </c>
      <c r="R22" s="1560" t="s">
        <v>8</v>
      </c>
      <c r="S22" s="1561">
        <f>F22</f>
        <v>100</v>
      </c>
      <c r="T22" s="1560" t="s">
        <v>8</v>
      </c>
      <c r="U22" s="1561">
        <f>H22</f>
        <v>100</v>
      </c>
      <c r="V22" s="1560" t="s">
        <v>8</v>
      </c>
      <c r="W22" s="1561">
        <f>J22</f>
        <v>100</v>
      </c>
      <c r="X22" s="1554"/>
      <c r="Y22" s="341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0"/>
      <c r="Q23" s="1559">
        <f>B23</f>
        <v>111</v>
      </c>
      <c r="R23" s="1560" t="s">
        <v>8</v>
      </c>
      <c r="S23" s="1561">
        <f>F23</f>
        <v>100</v>
      </c>
      <c r="T23" s="1560" t="s">
        <v>8</v>
      </c>
      <c r="U23" s="1561">
        <f>H23</f>
        <v>100</v>
      </c>
      <c r="V23" s="1560" t="s">
        <v>8</v>
      </c>
      <c r="W23" s="1561">
        <f>J23</f>
        <v>100</v>
      </c>
      <c r="X23" s="1554"/>
      <c r="Y23" s="341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0"/>
      <c r="Q24" s="1559">
        <f t="shared" ref="Q24:Q36" si="11">B24</f>
        <v>111</v>
      </c>
      <c r="R24" s="1560" t="s">
        <v>8</v>
      </c>
      <c r="S24" s="1561">
        <f>F24</f>
        <v>100</v>
      </c>
      <c r="T24" s="1560" t="s">
        <v>8</v>
      </c>
      <c r="U24" s="1561">
        <f>H24</f>
        <v>100</v>
      </c>
      <c r="V24" s="1560" t="s">
        <v>8</v>
      </c>
      <c r="W24" s="1561">
        <f>J24</f>
        <v>100</v>
      </c>
      <c r="X24" s="1554"/>
      <c r="Y24" s="341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0"/>
      <c r="Q25" s="1147">
        <f t="shared" si="11"/>
        <v>111</v>
      </c>
      <c r="R25" s="1555" t="s">
        <v>8</v>
      </c>
      <c r="S25" s="1556">
        <f>F25</f>
        <v>100</v>
      </c>
      <c r="T25" s="1555" t="s">
        <v>8</v>
      </c>
      <c r="U25" s="1556">
        <f>H25</f>
        <v>100</v>
      </c>
      <c r="V25" s="1555" t="s">
        <v>8</v>
      </c>
      <c r="W25" s="1556">
        <f>J25</f>
        <v>100</v>
      </c>
      <c r="X25" s="1557"/>
      <c r="Y25" s="3410"/>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2"/>
      <c r="Q27" s="1591" t="str">
        <f t="shared" si="11"/>
        <v>项目停车位配比</v>
      </c>
      <c r="R27" s="1564" t="s">
        <v>8</v>
      </c>
      <c r="S27" s="1565">
        <f t="shared" si="12"/>
        <v>100</v>
      </c>
      <c r="T27" s="1564" t="s">
        <v>8</v>
      </c>
      <c r="U27" s="1565">
        <f t="shared" si="13"/>
        <v>100</v>
      </c>
      <c r="V27" s="1564" t="s">
        <v>8</v>
      </c>
      <c r="W27" s="1565">
        <f t="shared" si="14"/>
        <v>100</v>
      </c>
      <c r="X27" s="1566"/>
      <c r="Y27" s="341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2"/>
      <c r="Q28" s="1559" t="str">
        <f t="shared" si="11"/>
        <v>公共部分装修</v>
      </c>
      <c r="R28" s="1560" t="s">
        <v>8</v>
      </c>
      <c r="S28" s="1561">
        <f t="shared" si="12"/>
        <v>100</v>
      </c>
      <c r="T28" s="1560" t="s">
        <v>8</v>
      </c>
      <c r="U28" s="1561">
        <f t="shared" si="13"/>
        <v>100</v>
      </c>
      <c r="V28" s="1560" t="s">
        <v>8</v>
      </c>
      <c r="W28" s="1561">
        <f t="shared" si="14"/>
        <v>100</v>
      </c>
      <c r="X28" s="1554"/>
      <c r="Y28" s="341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2"/>
      <c r="Q29" s="1559" t="str">
        <f t="shared" si="11"/>
        <v>成新率</v>
      </c>
      <c r="R29" s="1560" t="s">
        <v>8</v>
      </c>
      <c r="S29" s="1561" t="e">
        <f t="shared" si="12"/>
        <v>#N/A</v>
      </c>
      <c r="T29" s="1560" t="s">
        <v>8</v>
      </c>
      <c r="U29" s="1561" t="e">
        <f t="shared" si="13"/>
        <v>#N/A</v>
      </c>
      <c r="V29" s="1560" t="s">
        <v>8</v>
      </c>
      <c r="W29" s="1561" t="e">
        <f t="shared" si="14"/>
        <v>#N/A</v>
      </c>
      <c r="X29" s="1554"/>
      <c r="Y29" s="341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2"/>
      <c r="Q30" s="1559" t="str">
        <f t="shared" si="11"/>
        <v>物业等级</v>
      </c>
      <c r="R30" s="1560" t="s">
        <v>8</v>
      </c>
      <c r="S30" s="1561">
        <f t="shared" si="12"/>
        <v>100</v>
      </c>
      <c r="T30" s="1560" t="s">
        <v>8</v>
      </c>
      <c r="U30" s="1561">
        <f t="shared" si="13"/>
        <v>100</v>
      </c>
      <c r="V30" s="1560" t="s">
        <v>8</v>
      </c>
      <c r="W30" s="1561">
        <f t="shared" si="14"/>
        <v>100</v>
      </c>
      <c r="X30" s="1554"/>
      <c r="Y30" s="341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2"/>
      <c r="Q31" s="1147" t="str">
        <f t="shared" si="11"/>
        <v>停车位面积</v>
      </c>
      <c r="R31" s="1555" t="s">
        <v>8</v>
      </c>
      <c r="S31" s="1556" t="e">
        <f t="shared" si="12"/>
        <v>#N/A</v>
      </c>
      <c r="T31" s="1555" t="s">
        <v>8</v>
      </c>
      <c r="U31" s="1556" t="e">
        <f t="shared" si="13"/>
        <v>#N/A</v>
      </c>
      <c r="V31" s="1555" t="s">
        <v>8</v>
      </c>
      <c r="W31" s="1556" t="e">
        <f t="shared" si="14"/>
        <v>#N/A</v>
      </c>
      <c r="X31" s="1557"/>
      <c r="Y31" s="341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2" t="s">
        <v>550</v>
      </c>
      <c r="Q32" s="1559" t="str">
        <f t="shared" si="11"/>
        <v>车位类型</v>
      </c>
      <c r="R32" s="1560" t="s">
        <v>8</v>
      </c>
      <c r="S32" s="1561">
        <f t="shared" si="12"/>
        <v>100</v>
      </c>
      <c r="T32" s="1560" t="s">
        <v>8</v>
      </c>
      <c r="U32" s="1561">
        <f t="shared" si="13"/>
        <v>100</v>
      </c>
      <c r="V32" s="1560" t="s">
        <v>8</v>
      </c>
      <c r="W32" s="1561">
        <f t="shared" si="14"/>
        <v>100</v>
      </c>
      <c r="X32" s="1554"/>
      <c r="Y32" s="341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2"/>
      <c r="Q33" s="1559" t="str">
        <f t="shared" si="11"/>
        <v>是否直接入户</v>
      </c>
      <c r="R33" s="1560" t="s">
        <v>8</v>
      </c>
      <c r="S33" s="1561">
        <f t="shared" si="12"/>
        <v>100</v>
      </c>
      <c r="T33" s="1560" t="s">
        <v>8</v>
      </c>
      <c r="U33" s="1561">
        <f t="shared" si="13"/>
        <v>100</v>
      </c>
      <c r="V33" s="1560" t="s">
        <v>8</v>
      </c>
      <c r="W33" s="1561">
        <f t="shared" si="14"/>
        <v>100</v>
      </c>
      <c r="X33" s="1554"/>
      <c r="Y33" s="341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2"/>
      <c r="Q34" s="1559">
        <f t="shared" si="11"/>
        <v>111</v>
      </c>
      <c r="R34" s="1560" t="s">
        <v>8</v>
      </c>
      <c r="S34" s="1561">
        <f t="shared" si="12"/>
        <v>100</v>
      </c>
      <c r="T34" s="1560" t="s">
        <v>8</v>
      </c>
      <c r="U34" s="1561">
        <f t="shared" si="13"/>
        <v>100</v>
      </c>
      <c r="V34" s="1560" t="s">
        <v>8</v>
      </c>
      <c r="W34" s="1561">
        <f t="shared" si="14"/>
        <v>100</v>
      </c>
      <c r="X34" s="1554"/>
      <c r="Y34" s="341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2"/>
      <c r="Q35" s="1591">
        <f t="shared" si="11"/>
        <v>111</v>
      </c>
      <c r="R35" s="1564" t="s">
        <v>8</v>
      </c>
      <c r="S35" s="1565">
        <f t="shared" si="12"/>
        <v>100</v>
      </c>
      <c r="T35" s="1564" t="s">
        <v>8</v>
      </c>
      <c r="U35" s="1565">
        <f t="shared" si="13"/>
        <v>100</v>
      </c>
      <c r="V35" s="1564" t="s">
        <v>8</v>
      </c>
      <c r="W35" s="1565">
        <f t="shared" si="14"/>
        <v>100</v>
      </c>
      <c r="X35" s="1566"/>
      <c r="Y35" s="341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2"/>
      <c r="Q36" s="1559">
        <f t="shared" si="11"/>
        <v>111</v>
      </c>
      <c r="R36" s="1560" t="s">
        <v>8</v>
      </c>
      <c r="S36" s="1561">
        <f t="shared" si="12"/>
        <v>100</v>
      </c>
      <c r="T36" s="1560" t="s">
        <v>8</v>
      </c>
      <c r="U36" s="1561">
        <f t="shared" si="13"/>
        <v>100</v>
      </c>
      <c r="V36" s="1560" t="s">
        <v>8</v>
      </c>
      <c r="W36" s="1561">
        <f t="shared" si="14"/>
        <v>100</v>
      </c>
      <c r="X36" s="1554"/>
      <c r="Y36" s="3412"/>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5" t="str">
        <f>A37</f>
        <v>成交单价</v>
      </c>
      <c r="Q37" s="3375"/>
      <c r="R37" s="3492">
        <f>E37</f>
        <v>0</v>
      </c>
      <c r="S37" s="3492"/>
      <c r="T37" s="3492">
        <f>G37</f>
        <v>0</v>
      </c>
      <c r="U37" s="3492"/>
      <c r="V37" s="3492">
        <f>I37</f>
        <v>0</v>
      </c>
      <c r="W37" s="3492"/>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5" t="str">
        <f>A38</f>
        <v>比较价格（元/平方米）</v>
      </c>
      <c r="Q38" s="3375"/>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72" t="str">
        <f>A39</f>
        <v>估价对象XX用房的比较价格（楼面单价，元/平方米）</v>
      </c>
      <c r="Q39" s="3373"/>
      <c r="R39" s="3491" t="e">
        <f>IF(F1="售价",ROUND(AVERAGE(R38:V38),0),ROUND(AVERAGE(R38:V38),1))</f>
        <v>#DIV/0!</v>
      </c>
      <c r="S39" s="3491"/>
      <c r="T39" s="3491"/>
      <c r="U39" s="3491"/>
      <c r="V39" s="3491"/>
      <c r="W39" s="349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1" t="s">
        <v>798</v>
      </c>
      <c r="D4" s="3382"/>
      <c r="E4" s="3415" t="s">
        <v>799</v>
      </c>
      <c r="F4" s="3416"/>
      <c r="G4" s="3381" t="s">
        <v>800</v>
      </c>
      <c r="H4" s="3382"/>
      <c r="I4" s="3381" t="s">
        <v>801</v>
      </c>
      <c r="J4" s="3382"/>
      <c r="K4" s="514" t="s">
        <v>802</v>
      </c>
      <c r="L4" s="2119"/>
      <c r="M4" s="2120"/>
      <c r="N4" s="2120"/>
      <c r="O4" s="2120"/>
      <c r="P4" s="3383" t="s">
        <v>803</v>
      </c>
      <c r="Q4" s="3384"/>
      <c r="R4" s="3389" t="s">
        <v>799</v>
      </c>
      <c r="S4" s="3390"/>
      <c r="T4" s="3389" t="s">
        <v>800</v>
      </c>
      <c r="U4" s="3390"/>
      <c r="V4" s="3376" t="s">
        <v>801</v>
      </c>
      <c r="W4" s="3376"/>
      <c r="X4" s="1554"/>
      <c r="Y4" s="3389" t="s">
        <v>803</v>
      </c>
      <c r="Z4" s="3390"/>
      <c r="AA4" s="3378" t="s">
        <v>799</v>
      </c>
      <c r="AB4" s="3379" t="s">
        <v>800</v>
      </c>
      <c r="AC4" s="3378" t="s">
        <v>801</v>
      </c>
    </row>
    <row r="5" spans="1:29" ht="15">
      <c r="A5" s="515"/>
      <c r="B5" s="516"/>
      <c r="C5" s="3397" t="s">
        <v>2931</v>
      </c>
      <c r="D5" s="3398"/>
      <c r="E5" s="3417" t="s">
        <v>2932</v>
      </c>
      <c r="F5" s="3418"/>
      <c r="G5" s="3397" t="s">
        <v>2933</v>
      </c>
      <c r="H5" s="3398"/>
      <c r="I5" s="3397" t="s">
        <v>2934</v>
      </c>
      <c r="J5" s="3398"/>
      <c r="K5" s="514"/>
      <c r="L5" s="2119"/>
      <c r="M5" s="2120"/>
      <c r="N5" s="2120"/>
      <c r="O5" s="2120"/>
      <c r="P5" s="3385"/>
      <c r="Q5" s="3386"/>
      <c r="R5" s="3391"/>
      <c r="S5" s="3392"/>
      <c r="T5" s="3391"/>
      <c r="U5" s="3392"/>
      <c r="V5" s="3376"/>
      <c r="W5" s="3376"/>
      <c r="X5" s="1554"/>
      <c r="Y5" s="3391"/>
      <c r="Z5" s="3392"/>
      <c r="AA5" s="3379"/>
      <c r="AB5" s="3379"/>
      <c r="AC5" s="3379"/>
    </row>
    <row r="6" spans="1:29" ht="15.75" thickBot="1">
      <c r="A6" s="517"/>
      <c r="B6" s="518"/>
      <c r="C6" s="3395" t="s">
        <v>2935</v>
      </c>
      <c r="D6" s="3396"/>
      <c r="E6" s="3413" t="s">
        <v>2935</v>
      </c>
      <c r="F6" s="3414"/>
      <c r="G6" s="3395" t="s">
        <v>2935</v>
      </c>
      <c r="H6" s="3396"/>
      <c r="I6" s="3395" t="s">
        <v>2935</v>
      </c>
      <c r="J6" s="3396"/>
      <c r="K6" s="514" t="s">
        <v>528</v>
      </c>
      <c r="L6" s="2119"/>
      <c r="M6" s="2120"/>
      <c r="N6" s="2120"/>
      <c r="O6" s="2120"/>
      <c r="P6" s="3387"/>
      <c r="Q6" s="3388"/>
      <c r="R6" s="3391"/>
      <c r="S6" s="3392"/>
      <c r="T6" s="3393"/>
      <c r="U6" s="3394"/>
      <c r="V6" s="3376"/>
      <c r="W6" s="3376"/>
      <c r="X6" s="1554"/>
      <c r="Y6" s="3393"/>
      <c r="Z6" s="3394"/>
      <c r="AA6" s="3380"/>
      <c r="AB6" s="3380"/>
      <c r="AC6" s="3380"/>
    </row>
    <row r="7" spans="1:29" s="1216" customFormat="1" ht="15.75" thickBot="1">
      <c r="A7" s="2868"/>
      <c r="B7" s="2875" t="s">
        <v>529</v>
      </c>
      <c r="C7" s="519">
        <f>'数据-取费表'!B2</f>
        <v>43712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6" t="s">
        <v>530</v>
      </c>
      <c r="Q7" s="3408"/>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6" t="s">
        <v>533</v>
      </c>
      <c r="Q8" s="3407"/>
      <c r="R8" s="1555" t="s">
        <v>8</v>
      </c>
      <c r="S8" s="1556">
        <f t="shared" si="0"/>
        <v>0</v>
      </c>
      <c r="T8" s="1555" t="s">
        <v>8</v>
      </c>
      <c r="U8" s="1556">
        <f t="shared" si="1"/>
        <v>0</v>
      </c>
      <c r="V8" s="1555" t="s">
        <v>8</v>
      </c>
      <c r="W8" s="1556">
        <f t="shared" si="2"/>
        <v>0</v>
      </c>
      <c r="X8" s="1557"/>
      <c r="Y8" s="3406" t="s">
        <v>533</v>
      </c>
      <c r="Z8" s="3407"/>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5" t="s">
        <v>535</v>
      </c>
      <c r="Q9" s="1147" t="str">
        <f t="shared" ref="Q9:Q14" si="6">B9</f>
        <v>用途</v>
      </c>
      <c r="R9" s="1555" t="s">
        <v>8</v>
      </c>
      <c r="S9" s="1556">
        <f t="shared" si="0"/>
        <v>100</v>
      </c>
      <c r="T9" s="1555" t="s">
        <v>8</v>
      </c>
      <c r="U9" s="1556">
        <f t="shared" si="1"/>
        <v>100</v>
      </c>
      <c r="V9" s="1555" t="s">
        <v>8</v>
      </c>
      <c r="W9" s="1556">
        <f t="shared" si="2"/>
        <v>100</v>
      </c>
      <c r="X9" s="1557"/>
      <c r="Y9" s="332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5"/>
      <c r="Q11" s="1147">
        <f t="shared" si="6"/>
        <v>111</v>
      </c>
      <c r="R11" s="1555" t="s">
        <v>8</v>
      </c>
      <c r="S11" s="1556">
        <f t="shared" si="0"/>
        <v>100</v>
      </c>
      <c r="T11" s="1555" t="s">
        <v>8</v>
      </c>
      <c r="U11" s="1556">
        <f t="shared" si="1"/>
        <v>100</v>
      </c>
      <c r="V11" s="1555" t="s">
        <v>8</v>
      </c>
      <c r="W11" s="1556">
        <f t="shared" si="2"/>
        <v>100</v>
      </c>
      <c r="X11" s="1557"/>
      <c r="Y11" s="332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9" t="s">
        <v>540</v>
      </c>
      <c r="Q14" s="1559" t="str">
        <f t="shared" si="6"/>
        <v>交通便捷度</v>
      </c>
      <c r="R14" s="1560" t="s">
        <v>8</v>
      </c>
      <c r="S14" s="1561">
        <f t="shared" si="0"/>
        <v>100</v>
      </c>
      <c r="T14" s="1560" t="s">
        <v>8</v>
      </c>
      <c r="U14" s="1561">
        <f t="shared" si="1"/>
        <v>100</v>
      </c>
      <c r="V14" s="1560" t="s">
        <v>8</v>
      </c>
      <c r="W14" s="1561">
        <f t="shared" si="2"/>
        <v>100</v>
      </c>
      <c r="X14" s="1554"/>
      <c r="Y14" s="340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0"/>
      <c r="Q15" s="1559"/>
      <c r="R15" s="1560"/>
      <c r="S15" s="1561"/>
      <c r="T15" s="1560"/>
      <c r="U15" s="1561"/>
      <c r="V15" s="1560"/>
      <c r="W15" s="1561"/>
      <c r="X15" s="1554"/>
      <c r="Y15" s="3410"/>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0"/>
      <c r="Q16" s="1559" t="str">
        <f>B16</f>
        <v>公共配套设施</v>
      </c>
      <c r="R16" s="1560" t="s">
        <v>8</v>
      </c>
      <c r="S16" s="1561">
        <f>F16</f>
        <v>100</v>
      </c>
      <c r="T16" s="1560" t="s">
        <v>8</v>
      </c>
      <c r="U16" s="1561">
        <f>H16</f>
        <v>100</v>
      </c>
      <c r="V16" s="1560" t="s">
        <v>8</v>
      </c>
      <c r="W16" s="1561">
        <f>J16</f>
        <v>100</v>
      </c>
      <c r="X16" s="1554"/>
      <c r="Y16" s="341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0"/>
      <c r="Q17" s="1559"/>
      <c r="R17" s="1560"/>
      <c r="S17" s="1561"/>
      <c r="T17" s="1560"/>
      <c r="U17" s="1561"/>
      <c r="V17" s="1560"/>
      <c r="W17" s="1561"/>
      <c r="X17" s="1554"/>
      <c r="Y17" s="3410"/>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0"/>
      <c r="Q18" s="2544" t="str">
        <f>B18</f>
        <v>基础设施水平</v>
      </c>
      <c r="R18" s="1560" t="s">
        <v>8</v>
      </c>
      <c r="S18" s="1561">
        <f>F18</f>
        <v>100</v>
      </c>
      <c r="T18" s="1560" t="s">
        <v>8</v>
      </c>
      <c r="U18" s="1561">
        <f>H18</f>
        <v>100</v>
      </c>
      <c r="V18" s="1560" t="s">
        <v>8</v>
      </c>
      <c r="W18" s="1561">
        <f>J18</f>
        <v>100</v>
      </c>
      <c r="X18" s="2546"/>
      <c r="Y18" s="3410"/>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0"/>
      <c r="Q19" s="2544"/>
      <c r="R19" s="1560"/>
      <c r="S19" s="1561"/>
      <c r="T19" s="1560"/>
      <c r="U19" s="1561"/>
      <c r="V19" s="1560"/>
      <c r="W19" s="1561"/>
      <c r="X19" s="2546"/>
      <c r="Y19" s="3410"/>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0"/>
      <c r="Q20" s="1559" t="str">
        <f>B20</f>
        <v>自然及人文环境</v>
      </c>
      <c r="R20" s="1560" t="s">
        <v>8</v>
      </c>
      <c r="S20" s="1561">
        <f>F20</f>
        <v>100</v>
      </c>
      <c r="T20" s="1560" t="s">
        <v>8</v>
      </c>
      <c r="U20" s="1561">
        <f>H20</f>
        <v>100</v>
      </c>
      <c r="V20" s="1560" t="s">
        <v>8</v>
      </c>
      <c r="W20" s="1561">
        <f>J20</f>
        <v>100</v>
      </c>
      <c r="X20" s="1554"/>
      <c r="Y20" s="341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0"/>
      <c r="Q21" s="1559"/>
      <c r="R21" s="1560"/>
      <c r="S21" s="1561"/>
      <c r="T21" s="1560"/>
      <c r="U21" s="1561"/>
      <c r="V21" s="1560"/>
      <c r="W21" s="1561"/>
      <c r="X21" s="1554"/>
      <c r="Y21" s="341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0"/>
      <c r="Q22" s="1559" t="str">
        <f>B22</f>
        <v>楼层</v>
      </c>
      <c r="R22" s="1560" t="s">
        <v>8</v>
      </c>
      <c r="S22" s="1561">
        <f>F22</f>
        <v>100</v>
      </c>
      <c r="T22" s="1560" t="s">
        <v>8</v>
      </c>
      <c r="U22" s="1561">
        <f>H22</f>
        <v>100</v>
      </c>
      <c r="V22" s="1560" t="s">
        <v>8</v>
      </c>
      <c r="W22" s="1561">
        <f>J22</f>
        <v>100</v>
      </c>
      <c r="X22" s="1554"/>
      <c r="Y22" s="341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0"/>
      <c r="Q23" s="1559">
        <f>B23</f>
        <v>111</v>
      </c>
      <c r="R23" s="1560" t="s">
        <v>8</v>
      </c>
      <c r="S23" s="1561">
        <f>F23</f>
        <v>100</v>
      </c>
      <c r="T23" s="1560" t="s">
        <v>8</v>
      </c>
      <c r="U23" s="1561">
        <f>H23</f>
        <v>100</v>
      </c>
      <c r="V23" s="1560" t="s">
        <v>8</v>
      </c>
      <c r="W23" s="1561">
        <f>J23</f>
        <v>100</v>
      </c>
      <c r="X23" s="1554"/>
      <c r="Y23" s="341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0"/>
      <c r="Q24" s="1559">
        <f t="shared" ref="Q24:Q34" si="11">B24</f>
        <v>111</v>
      </c>
      <c r="R24" s="1560" t="s">
        <v>8</v>
      </c>
      <c r="S24" s="1561">
        <f>F24</f>
        <v>100</v>
      </c>
      <c r="T24" s="1560" t="s">
        <v>8</v>
      </c>
      <c r="U24" s="1561">
        <f>H24</f>
        <v>100</v>
      </c>
      <c r="V24" s="1560" t="s">
        <v>8</v>
      </c>
      <c r="W24" s="1561">
        <f>J24</f>
        <v>100</v>
      </c>
      <c r="X24" s="1554"/>
      <c r="Y24" s="341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0"/>
      <c r="Q25" s="1147">
        <f t="shared" si="11"/>
        <v>111</v>
      </c>
      <c r="R25" s="1555" t="s">
        <v>8</v>
      </c>
      <c r="S25" s="1556">
        <f>F25</f>
        <v>100</v>
      </c>
      <c r="T25" s="1555" t="s">
        <v>8</v>
      </c>
      <c r="U25" s="1556">
        <f>H25</f>
        <v>100</v>
      </c>
      <c r="V25" s="1555" t="s">
        <v>8</v>
      </c>
      <c r="W25" s="1556">
        <f>J25</f>
        <v>100</v>
      </c>
      <c r="X25" s="1557"/>
      <c r="Y25" s="3410"/>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2"/>
      <c r="Q27" s="1591" t="str">
        <f t="shared" si="11"/>
        <v>成新率</v>
      </c>
      <c r="R27" s="1564" t="s">
        <v>8</v>
      </c>
      <c r="S27" s="1565" t="e">
        <f t="shared" si="12"/>
        <v>#N/A</v>
      </c>
      <c r="T27" s="1564" t="s">
        <v>8</v>
      </c>
      <c r="U27" s="1565" t="e">
        <f t="shared" si="13"/>
        <v>#N/A</v>
      </c>
      <c r="V27" s="1564" t="s">
        <v>8</v>
      </c>
      <c r="W27" s="1565" t="e">
        <f t="shared" si="14"/>
        <v>#N/A</v>
      </c>
      <c r="X27" s="1566"/>
      <c r="Y27" s="341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2"/>
      <c r="Q28" s="1559" t="str">
        <f t="shared" si="11"/>
        <v>物业等级</v>
      </c>
      <c r="R28" s="1560" t="s">
        <v>8</v>
      </c>
      <c r="S28" s="1561">
        <f t="shared" si="12"/>
        <v>100</v>
      </c>
      <c r="T28" s="1560" t="s">
        <v>8</v>
      </c>
      <c r="U28" s="1561">
        <f t="shared" si="13"/>
        <v>100</v>
      </c>
      <c r="V28" s="1560" t="s">
        <v>8</v>
      </c>
      <c r="W28" s="1561">
        <f t="shared" si="14"/>
        <v>100</v>
      </c>
      <c r="X28" s="1554"/>
      <c r="Y28" s="341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2"/>
      <c r="Q29" s="1559" t="str">
        <f t="shared" si="11"/>
        <v>有无电梯</v>
      </c>
      <c r="R29" s="1560" t="s">
        <v>8</v>
      </c>
      <c r="S29" s="1561">
        <f t="shared" si="12"/>
        <v>100</v>
      </c>
      <c r="T29" s="1560" t="s">
        <v>8</v>
      </c>
      <c r="U29" s="1561">
        <f t="shared" si="13"/>
        <v>100</v>
      </c>
      <c r="V29" s="1560" t="s">
        <v>8</v>
      </c>
      <c r="W29" s="1561">
        <f t="shared" si="14"/>
        <v>100</v>
      </c>
      <c r="X29" s="1554"/>
      <c r="Y29" s="341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2"/>
      <c r="Q30" s="1559" t="str">
        <f t="shared" si="11"/>
        <v>建筑面积</v>
      </c>
      <c r="R30" s="1560" t="s">
        <v>8</v>
      </c>
      <c r="S30" s="1561" t="e">
        <f t="shared" si="12"/>
        <v>#N/A</v>
      </c>
      <c r="T30" s="1560" t="s">
        <v>8</v>
      </c>
      <c r="U30" s="1561" t="e">
        <f t="shared" si="13"/>
        <v>#N/A</v>
      </c>
      <c r="V30" s="1560" t="s">
        <v>8</v>
      </c>
      <c r="W30" s="1561" t="e">
        <f t="shared" si="14"/>
        <v>#N/A</v>
      </c>
      <c r="X30" s="1554"/>
      <c r="Y30" s="341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2"/>
      <c r="Q31" s="1147" t="str">
        <f t="shared" si="11"/>
        <v>是否封闭</v>
      </c>
      <c r="R31" s="1555" t="s">
        <v>8</v>
      </c>
      <c r="S31" s="1556">
        <f t="shared" si="12"/>
        <v>100</v>
      </c>
      <c r="T31" s="1555" t="s">
        <v>8</v>
      </c>
      <c r="U31" s="1556">
        <f t="shared" si="13"/>
        <v>100</v>
      </c>
      <c r="V31" s="1555" t="s">
        <v>8</v>
      </c>
      <c r="W31" s="1556">
        <f t="shared" si="14"/>
        <v>100</v>
      </c>
      <c r="X31" s="1557"/>
      <c r="Y31" s="341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2" t="s">
        <v>550</v>
      </c>
      <c r="Q32" s="1559">
        <f t="shared" si="11"/>
        <v>111</v>
      </c>
      <c r="R32" s="1560" t="s">
        <v>8</v>
      </c>
      <c r="S32" s="1561">
        <f t="shared" si="12"/>
        <v>100</v>
      </c>
      <c r="T32" s="1560" t="s">
        <v>8</v>
      </c>
      <c r="U32" s="1561">
        <f t="shared" si="13"/>
        <v>100</v>
      </c>
      <c r="V32" s="1560" t="s">
        <v>8</v>
      </c>
      <c r="W32" s="1561">
        <f t="shared" si="14"/>
        <v>100</v>
      </c>
      <c r="X32" s="1554"/>
      <c r="Y32" s="341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2"/>
      <c r="Q33" s="1559">
        <f t="shared" si="11"/>
        <v>111</v>
      </c>
      <c r="R33" s="1560" t="s">
        <v>8</v>
      </c>
      <c r="S33" s="1561">
        <f t="shared" si="12"/>
        <v>100</v>
      </c>
      <c r="T33" s="1560" t="s">
        <v>8</v>
      </c>
      <c r="U33" s="1561">
        <f t="shared" si="13"/>
        <v>100</v>
      </c>
      <c r="V33" s="1560" t="s">
        <v>8</v>
      </c>
      <c r="W33" s="1561">
        <f t="shared" si="14"/>
        <v>100</v>
      </c>
      <c r="X33" s="1554"/>
      <c r="Y33" s="341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2"/>
      <c r="Q34" s="1559">
        <f t="shared" si="11"/>
        <v>111</v>
      </c>
      <c r="R34" s="1560" t="s">
        <v>8</v>
      </c>
      <c r="S34" s="1561">
        <f t="shared" si="12"/>
        <v>100</v>
      </c>
      <c r="T34" s="1560" t="s">
        <v>8</v>
      </c>
      <c r="U34" s="1561">
        <f t="shared" si="13"/>
        <v>100</v>
      </c>
      <c r="V34" s="1560" t="s">
        <v>8</v>
      </c>
      <c r="W34" s="1561">
        <f t="shared" si="14"/>
        <v>100</v>
      </c>
      <c r="X34" s="1554"/>
      <c r="Y34" s="3412"/>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5" t="str">
        <f>A35</f>
        <v>成交单价（元/平方米）</v>
      </c>
      <c r="Q35" s="3375"/>
      <c r="R35" s="3492">
        <f>E35</f>
        <v>0</v>
      </c>
      <c r="S35" s="3492"/>
      <c r="T35" s="3492">
        <f>G35</f>
        <v>0</v>
      </c>
      <c r="U35" s="3492"/>
      <c r="V35" s="3492">
        <f>I35</f>
        <v>0</v>
      </c>
      <c r="W35" s="3492"/>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5" t="str">
        <f>A36</f>
        <v>比较价格（元/平方米）</v>
      </c>
      <c r="Q36" s="3375"/>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72" t="str">
        <f>A37</f>
        <v>估价对象XX用房的比较价格（楼面单价，元/平方米）</v>
      </c>
      <c r="Q37" s="3373"/>
      <c r="R37" s="3491" t="e">
        <f>IF(F1="售价",ROUND(AVERAGE(R36:V36),0),ROUND(AVERAGE(R36:V36),1))</f>
        <v>#DIV/0!</v>
      </c>
      <c r="S37" s="3491"/>
      <c r="T37" s="3491"/>
      <c r="U37" s="3491"/>
      <c r="V37" s="3491"/>
      <c r="W37" s="349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23878.02平方米。根据《建设工程规划许可证》[]、《出让合同》[]，估价对象规划建筑面积为59695.06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根据《国有土地使用证》[]，估价对象（分摊）出让国有建设用地使用权面积为23878.02平方米。根据《建设工程规划许可证》[]、《出让合同》[]，估价对象规划建筑面积为59695.06平方米。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03" t="s">
        <v>2304</v>
      </c>
      <c r="D1" s="3504"/>
      <c r="E1" s="3504"/>
      <c r="F1" s="3504"/>
      <c r="G1" s="3504"/>
      <c r="H1" s="3504"/>
      <c r="I1" s="3504"/>
      <c r="J1" s="3504"/>
      <c r="K1" s="3504"/>
      <c r="L1" s="3504"/>
      <c r="M1" s="3504"/>
      <c r="N1" s="3504"/>
      <c r="O1" s="3504"/>
      <c r="P1" s="3504"/>
      <c r="Q1" s="3504"/>
      <c r="R1" s="3504"/>
      <c r="S1" s="3505"/>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7" customWidth="1"/>
    <col min="2" max="2" width="13.1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625" style="2903" customWidth="1"/>
    <col min="14" max="256" width="9" style="2903"/>
    <col min="257" max="257" width="4.875" style="2895" customWidth="1"/>
    <col min="258" max="258" width="13.1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625" style="2895" customWidth="1"/>
    <col min="270" max="512" width="9" style="2895"/>
    <col min="513" max="513" width="4.875" style="2895" customWidth="1"/>
    <col min="514" max="514" width="13.1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625" style="2895" customWidth="1"/>
    <col min="526" max="768" width="9" style="2895"/>
    <col min="769" max="769" width="4.875" style="2895" customWidth="1"/>
    <col min="770" max="770" width="13.1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625" style="2895" customWidth="1"/>
    <col min="782" max="1024" width="9" style="2895"/>
    <col min="1025" max="1025" width="4.875" style="2895" customWidth="1"/>
    <col min="1026" max="1026" width="13.1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625" style="2895" customWidth="1"/>
    <col min="1038" max="1280" width="9" style="2895"/>
    <col min="1281" max="1281" width="4.875" style="2895" customWidth="1"/>
    <col min="1282" max="1282" width="13.1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625" style="2895" customWidth="1"/>
    <col min="1294" max="1536" width="9" style="2895"/>
    <col min="1537" max="1537" width="4.875" style="2895" customWidth="1"/>
    <col min="1538" max="1538" width="13.1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625" style="2895" customWidth="1"/>
    <col min="1550" max="1792" width="9" style="2895"/>
    <col min="1793" max="1793" width="4.875" style="2895" customWidth="1"/>
    <col min="1794" max="1794" width="13.1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625" style="2895" customWidth="1"/>
    <col min="1806" max="2048" width="9" style="2895"/>
    <col min="2049" max="2049" width="4.875" style="2895" customWidth="1"/>
    <col min="2050" max="2050" width="13.1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625" style="2895" customWidth="1"/>
    <col min="2062" max="2304" width="9" style="2895"/>
    <col min="2305" max="2305" width="4.875" style="2895" customWidth="1"/>
    <col min="2306" max="2306" width="13.1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625" style="2895" customWidth="1"/>
    <col min="2318" max="2560" width="9" style="2895"/>
    <col min="2561" max="2561" width="4.875" style="2895" customWidth="1"/>
    <col min="2562" max="2562" width="13.1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625" style="2895" customWidth="1"/>
    <col min="2574" max="2816" width="9" style="2895"/>
    <col min="2817" max="2817" width="4.875" style="2895" customWidth="1"/>
    <col min="2818" max="2818" width="13.1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625" style="2895" customWidth="1"/>
    <col min="2830" max="3072" width="9" style="2895"/>
    <col min="3073" max="3073" width="4.875" style="2895" customWidth="1"/>
    <col min="3074" max="3074" width="13.1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625" style="2895" customWidth="1"/>
    <col min="3086" max="3328" width="9" style="2895"/>
    <col min="3329" max="3329" width="4.875" style="2895" customWidth="1"/>
    <col min="3330" max="3330" width="13.1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625" style="2895" customWidth="1"/>
    <col min="3342" max="3584" width="9" style="2895"/>
    <col min="3585" max="3585" width="4.875" style="2895" customWidth="1"/>
    <col min="3586" max="3586" width="13.1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625" style="2895" customWidth="1"/>
    <col min="3598" max="3840" width="9" style="2895"/>
    <col min="3841" max="3841" width="4.875" style="2895" customWidth="1"/>
    <col min="3842" max="3842" width="13.1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625" style="2895" customWidth="1"/>
    <col min="3854" max="4096" width="9" style="2895"/>
    <col min="4097" max="4097" width="4.875" style="2895" customWidth="1"/>
    <col min="4098" max="4098" width="13.1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625" style="2895" customWidth="1"/>
    <col min="4110" max="4352" width="9" style="2895"/>
    <col min="4353" max="4353" width="4.875" style="2895" customWidth="1"/>
    <col min="4354" max="4354" width="13.1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625" style="2895" customWidth="1"/>
    <col min="4366" max="4608" width="9" style="2895"/>
    <col min="4609" max="4609" width="4.875" style="2895" customWidth="1"/>
    <col min="4610" max="4610" width="13.1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625" style="2895" customWidth="1"/>
    <col min="4622" max="4864" width="9" style="2895"/>
    <col min="4865" max="4865" width="4.875" style="2895" customWidth="1"/>
    <col min="4866" max="4866" width="13.1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625" style="2895" customWidth="1"/>
    <col min="4878" max="5120" width="9" style="2895"/>
    <col min="5121" max="5121" width="4.875" style="2895" customWidth="1"/>
    <col min="5122" max="5122" width="13.1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625" style="2895" customWidth="1"/>
    <col min="5134" max="5376" width="9" style="2895"/>
    <col min="5377" max="5377" width="4.875" style="2895" customWidth="1"/>
    <col min="5378" max="5378" width="13.1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625" style="2895" customWidth="1"/>
    <col min="5390" max="5632" width="9" style="2895"/>
    <col min="5633" max="5633" width="4.875" style="2895" customWidth="1"/>
    <col min="5634" max="5634" width="13.1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625" style="2895" customWidth="1"/>
    <col min="5646" max="5888" width="9" style="2895"/>
    <col min="5889" max="5889" width="4.875" style="2895" customWidth="1"/>
    <col min="5890" max="5890" width="13.1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625" style="2895" customWidth="1"/>
    <col min="5902" max="6144" width="9" style="2895"/>
    <col min="6145" max="6145" width="4.875" style="2895" customWidth="1"/>
    <col min="6146" max="6146" width="13.1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625" style="2895" customWidth="1"/>
    <col min="6158" max="6400" width="9" style="2895"/>
    <col min="6401" max="6401" width="4.875" style="2895" customWidth="1"/>
    <col min="6402" max="6402" width="13.1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625" style="2895" customWidth="1"/>
    <col min="6414" max="6656" width="9" style="2895"/>
    <col min="6657" max="6657" width="4.875" style="2895" customWidth="1"/>
    <col min="6658" max="6658" width="13.1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625" style="2895" customWidth="1"/>
    <col min="6670" max="6912" width="9" style="2895"/>
    <col min="6913" max="6913" width="4.875" style="2895" customWidth="1"/>
    <col min="6914" max="6914" width="13.1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625" style="2895" customWidth="1"/>
    <col min="6926" max="7168" width="9" style="2895"/>
    <col min="7169" max="7169" width="4.875" style="2895" customWidth="1"/>
    <col min="7170" max="7170" width="13.1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625" style="2895" customWidth="1"/>
    <col min="7182" max="7424" width="9" style="2895"/>
    <col min="7425" max="7425" width="4.875" style="2895" customWidth="1"/>
    <col min="7426" max="7426" width="13.1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625" style="2895" customWidth="1"/>
    <col min="7438" max="7680" width="9" style="2895"/>
    <col min="7681" max="7681" width="4.875" style="2895" customWidth="1"/>
    <col min="7682" max="7682" width="13.1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625" style="2895" customWidth="1"/>
    <col min="7694" max="7936" width="9" style="2895"/>
    <col min="7937" max="7937" width="4.875" style="2895" customWidth="1"/>
    <col min="7938" max="7938" width="13.1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625" style="2895" customWidth="1"/>
    <col min="7950" max="8192" width="9" style="2895"/>
    <col min="8193" max="8193" width="4.875" style="2895" customWidth="1"/>
    <col min="8194" max="8194" width="13.1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625" style="2895" customWidth="1"/>
    <col min="8206" max="8448" width="9" style="2895"/>
    <col min="8449" max="8449" width="4.875" style="2895" customWidth="1"/>
    <col min="8450" max="8450" width="13.1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625" style="2895" customWidth="1"/>
    <col min="8462" max="8704" width="9" style="2895"/>
    <col min="8705" max="8705" width="4.875" style="2895" customWidth="1"/>
    <col min="8706" max="8706" width="13.1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625" style="2895" customWidth="1"/>
    <col min="8718" max="8960" width="9" style="2895"/>
    <col min="8961" max="8961" width="4.875" style="2895" customWidth="1"/>
    <col min="8962" max="8962" width="13.1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625" style="2895" customWidth="1"/>
    <col min="8974" max="9216" width="9" style="2895"/>
    <col min="9217" max="9217" width="4.875" style="2895" customWidth="1"/>
    <col min="9218" max="9218" width="13.1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625" style="2895" customWidth="1"/>
    <col min="9230" max="9472" width="9" style="2895"/>
    <col min="9473" max="9473" width="4.875" style="2895" customWidth="1"/>
    <col min="9474" max="9474" width="13.1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625" style="2895" customWidth="1"/>
    <col min="9486" max="9728" width="9" style="2895"/>
    <col min="9729" max="9729" width="4.875" style="2895" customWidth="1"/>
    <col min="9730" max="9730" width="13.1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625" style="2895" customWidth="1"/>
    <col min="9742" max="9984" width="9" style="2895"/>
    <col min="9985" max="9985" width="4.875" style="2895" customWidth="1"/>
    <col min="9986" max="9986" width="13.1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625" style="2895" customWidth="1"/>
    <col min="9998" max="10240" width="9" style="2895"/>
    <col min="10241" max="10241" width="4.875" style="2895" customWidth="1"/>
    <col min="10242" max="10242" width="13.1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625" style="2895" customWidth="1"/>
    <col min="10254" max="10496" width="9" style="2895"/>
    <col min="10497" max="10497" width="4.875" style="2895" customWidth="1"/>
    <col min="10498" max="10498" width="13.1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625" style="2895" customWidth="1"/>
    <col min="10510" max="10752" width="9" style="2895"/>
    <col min="10753" max="10753" width="4.875" style="2895" customWidth="1"/>
    <col min="10754" max="10754" width="13.1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625" style="2895" customWidth="1"/>
    <col min="10766" max="11008" width="9" style="2895"/>
    <col min="11009" max="11009" width="4.875" style="2895" customWidth="1"/>
    <col min="11010" max="11010" width="13.1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625" style="2895" customWidth="1"/>
    <col min="11022" max="11264" width="9" style="2895"/>
    <col min="11265" max="11265" width="4.875" style="2895" customWidth="1"/>
    <col min="11266" max="11266" width="13.1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625" style="2895" customWidth="1"/>
    <col min="11278" max="11520" width="9" style="2895"/>
    <col min="11521" max="11521" width="4.875" style="2895" customWidth="1"/>
    <col min="11522" max="11522" width="13.1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625" style="2895" customWidth="1"/>
    <col min="11534" max="11776" width="9" style="2895"/>
    <col min="11777" max="11777" width="4.875" style="2895" customWidth="1"/>
    <col min="11778" max="11778" width="13.1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625" style="2895" customWidth="1"/>
    <col min="11790" max="12032" width="9" style="2895"/>
    <col min="12033" max="12033" width="4.875" style="2895" customWidth="1"/>
    <col min="12034" max="12034" width="13.1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625" style="2895" customWidth="1"/>
    <col min="12046" max="12288" width="9" style="2895"/>
    <col min="12289" max="12289" width="4.875" style="2895" customWidth="1"/>
    <col min="12290" max="12290" width="13.1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625" style="2895" customWidth="1"/>
    <col min="12302" max="12544" width="9" style="2895"/>
    <col min="12545" max="12545" width="4.875" style="2895" customWidth="1"/>
    <col min="12546" max="12546" width="13.1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625" style="2895" customWidth="1"/>
    <col min="12558" max="12800" width="9" style="2895"/>
    <col min="12801" max="12801" width="4.875" style="2895" customWidth="1"/>
    <col min="12802" max="12802" width="13.1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625" style="2895" customWidth="1"/>
    <col min="12814" max="13056" width="9" style="2895"/>
    <col min="13057" max="13057" width="4.875" style="2895" customWidth="1"/>
    <col min="13058" max="13058" width="13.1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625" style="2895" customWidth="1"/>
    <col min="13070" max="13312" width="9" style="2895"/>
    <col min="13313" max="13313" width="4.875" style="2895" customWidth="1"/>
    <col min="13314" max="13314" width="13.1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625" style="2895" customWidth="1"/>
    <col min="13326" max="13568" width="9" style="2895"/>
    <col min="13569" max="13569" width="4.875" style="2895" customWidth="1"/>
    <col min="13570" max="13570" width="13.1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625" style="2895" customWidth="1"/>
    <col min="13582" max="13824" width="9" style="2895"/>
    <col min="13825" max="13825" width="4.875" style="2895" customWidth="1"/>
    <col min="13826" max="13826" width="13.1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625" style="2895" customWidth="1"/>
    <col min="13838" max="14080" width="9" style="2895"/>
    <col min="14081" max="14081" width="4.875" style="2895" customWidth="1"/>
    <col min="14082" max="14082" width="13.1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625" style="2895" customWidth="1"/>
    <col min="14094" max="14336" width="9" style="2895"/>
    <col min="14337" max="14337" width="4.875" style="2895" customWidth="1"/>
    <col min="14338" max="14338" width="13.1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625" style="2895" customWidth="1"/>
    <col min="14350" max="14592" width="9" style="2895"/>
    <col min="14593" max="14593" width="4.875" style="2895" customWidth="1"/>
    <col min="14594" max="14594" width="13.1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625" style="2895" customWidth="1"/>
    <col min="14606" max="14848" width="9" style="2895"/>
    <col min="14849" max="14849" width="4.875" style="2895" customWidth="1"/>
    <col min="14850" max="14850" width="13.1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625" style="2895" customWidth="1"/>
    <col min="14862" max="15104" width="9" style="2895"/>
    <col min="15105" max="15105" width="4.875" style="2895" customWidth="1"/>
    <col min="15106" max="15106" width="13.1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625" style="2895" customWidth="1"/>
    <col min="15118" max="15360" width="9" style="2895"/>
    <col min="15361" max="15361" width="4.875" style="2895" customWidth="1"/>
    <col min="15362" max="15362" width="13.1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625" style="2895" customWidth="1"/>
    <col min="15374" max="15616" width="9" style="2895"/>
    <col min="15617" max="15617" width="4.875" style="2895" customWidth="1"/>
    <col min="15618" max="15618" width="13.1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625" style="2895" customWidth="1"/>
    <col min="15630" max="15872" width="9" style="2895"/>
    <col min="15873" max="15873" width="4.875" style="2895" customWidth="1"/>
    <col min="15874" max="15874" width="13.1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625" style="2895" customWidth="1"/>
    <col min="15886" max="16128" width="9" style="2895"/>
    <col min="16129" max="16129" width="4.875" style="2895" customWidth="1"/>
    <col min="16130" max="16130" width="13.1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625" style="2895" customWidth="1"/>
    <col min="16142" max="16384" width="9" style="2895"/>
  </cols>
  <sheetData>
    <row r="1" spans="1:257" s="2955" customFormat="1" ht="14.25" thickBot="1">
      <c r="A1" s="2954"/>
      <c r="B1" s="2956" t="s">
        <v>2788</v>
      </c>
      <c r="C1" s="2960">
        <f>项目基本情况!D3</f>
        <v>43712</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24" zoomScale="87" workbookViewId="0">
      <selection activeCell="Q25" sqref="Q25"/>
    </sheetView>
  </sheetViews>
  <sheetFormatPr defaultColWidth="8.875" defaultRowHeight="13.5"/>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5" workbookViewId="0">
      <selection activeCell="N12" sqref="N12"/>
    </sheetView>
  </sheetViews>
  <sheetFormatPr defaultColWidth="8.875"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3:J20"/>
  <sheetViews>
    <sheetView workbookViewId="0">
      <selection activeCell="I21" sqref="I21"/>
    </sheetView>
  </sheetViews>
  <sheetFormatPr defaultColWidth="11" defaultRowHeight="13.5"/>
  <sheetData>
    <row r="13" spans="7:8">
      <c r="G13" s="3189" t="s">
        <v>3103</v>
      </c>
      <c r="H13">
        <v>28334.82</v>
      </c>
    </row>
    <row r="14" spans="7:8">
      <c r="G14" s="3189" t="s">
        <v>3104</v>
      </c>
      <c r="H14">
        <v>32232.14</v>
      </c>
    </row>
    <row r="15" spans="7:8">
      <c r="G15" s="3189" t="s">
        <v>3105</v>
      </c>
      <c r="H15">
        <v>26450.79</v>
      </c>
    </row>
    <row r="16" spans="7:8">
      <c r="G16" s="3189" t="s">
        <v>3106</v>
      </c>
      <c r="H16">
        <v>20463.46</v>
      </c>
    </row>
    <row r="17" spans="8:10">
      <c r="H17">
        <f>SUM(H13:H16)</f>
        <v>107481.20999999999</v>
      </c>
      <c r="I17">
        <v>193466400</v>
      </c>
      <c r="J17">
        <f>I17/H17</f>
        <v>1800.0020654773055</v>
      </c>
    </row>
    <row r="20" spans="8:10">
      <c r="H20">
        <f>H17*3</f>
        <v>322443.63</v>
      </c>
      <c r="I20">
        <f>I17/10000</f>
        <v>19346.64</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08" t="s">
        <v>2038</v>
      </c>
      <c r="B1" s="3208"/>
      <c r="C1" s="3208"/>
      <c r="D1" s="3208"/>
      <c r="E1" s="3208"/>
      <c r="F1" s="3208"/>
      <c r="G1" s="3208"/>
      <c r="H1" s="3208"/>
      <c r="I1" s="3208"/>
      <c r="J1" s="3208"/>
      <c r="K1" s="3208"/>
      <c r="L1" s="3208"/>
      <c r="M1" s="3208"/>
      <c r="N1" s="3208"/>
      <c r="O1" s="3208"/>
      <c r="P1" s="3208"/>
      <c r="Q1" s="3208"/>
      <c r="R1" s="3208"/>
    </row>
    <row r="2" spans="1:18">
      <c r="A2" s="1793" t="s">
        <v>2040</v>
      </c>
      <c r="B2" s="1793"/>
      <c r="C2" s="1793"/>
      <c r="D2" s="1793"/>
      <c r="E2" s="1793"/>
      <c r="F2" s="1793"/>
      <c r="G2" s="1793"/>
      <c r="H2" s="1793"/>
      <c r="I2" s="1794"/>
      <c r="J2" s="1794"/>
      <c r="K2" s="1795" t="str">
        <f>"估价期日："&amp;TEXT(项目基本情况!D3,"yyyy年m月d日;;")</f>
        <v>估价期日：2019年9月4日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9" t="s">
        <v>2029</v>
      </c>
      <c r="B3" s="3209" t="s">
        <v>2731</v>
      </c>
      <c r="C3" s="3210" t="s">
        <v>2030</v>
      </c>
      <c r="D3" s="3209" t="s">
        <v>2735</v>
      </c>
      <c r="E3" s="3212" t="s">
        <v>2031</v>
      </c>
      <c r="F3" s="3212"/>
      <c r="G3" s="3212"/>
      <c r="H3" s="3212" t="s">
        <v>2032</v>
      </c>
      <c r="I3" s="3212"/>
      <c r="J3" s="3212"/>
      <c r="K3" s="3210" t="s">
        <v>2033</v>
      </c>
      <c r="L3" s="3210" t="s">
        <v>2034</v>
      </c>
      <c r="M3" s="3209" t="s">
        <v>2732</v>
      </c>
      <c r="N3" s="3211" t="str">
        <f>"（分摊）"&amp;项目基本情况!B16&amp;"国有建设用地使用权面积/㎡"</f>
        <v>（分摊）出让国有建设用地使用权面积/㎡</v>
      </c>
      <c r="O3" s="3209" t="s">
        <v>2063</v>
      </c>
      <c r="P3" s="3210" t="s">
        <v>2043</v>
      </c>
      <c r="Q3" s="3210" t="s">
        <v>2064</v>
      </c>
      <c r="R3" s="3210" t="s">
        <v>2035</v>
      </c>
    </row>
    <row r="4" spans="1:18" ht="36.75" customHeight="1">
      <c r="A4" s="3209"/>
      <c r="B4" s="3209"/>
      <c r="C4" s="3210"/>
      <c r="D4" s="3209"/>
      <c r="E4" s="2614" t="s">
        <v>2042</v>
      </c>
      <c r="F4" s="2614" t="s">
        <v>2744</v>
      </c>
      <c r="G4" s="2614" t="s">
        <v>2036</v>
      </c>
      <c r="H4" s="2614" t="s">
        <v>2037</v>
      </c>
      <c r="I4" s="2614" t="s">
        <v>2745</v>
      </c>
      <c r="J4" s="2614" t="s">
        <v>2036</v>
      </c>
      <c r="K4" s="3210"/>
      <c r="L4" s="3210"/>
      <c r="M4" s="3209"/>
      <c r="N4" s="3211"/>
      <c r="O4" s="3209"/>
      <c r="P4" s="3210"/>
      <c r="Q4" s="3210"/>
      <c r="R4" s="3210"/>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23878.02</v>
      </c>
      <c r="O5" s="1796">
        <f>项目基本情况!C21</f>
        <v>59695.06</v>
      </c>
      <c r="P5" s="1796">
        <f ca="1">结果表!E42</f>
        <v>2561</v>
      </c>
      <c r="Q5" s="1796">
        <f ca="1">结果表!D42</f>
        <v>1024</v>
      </c>
      <c r="R5" s="1797">
        <f ca="1">结果表!C42</f>
        <v>6115</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8">
        <f ca="1">结果表!O39</f>
        <v>6115</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8" t="str">
        <f>结果表!O40</f>
        <v>——</v>
      </c>
    </row>
    <row r="8" spans="1:18">
      <c r="A8" s="3213" t="str">
        <f>IF(项目基本情况!B9="市场价格","——",项目基本情况!E9)</f>
        <v>抵押净值</v>
      </c>
      <c r="B8" s="3214"/>
      <c r="C8" s="3214"/>
      <c r="D8" s="3214"/>
      <c r="E8" s="3214"/>
      <c r="F8" s="3214"/>
      <c r="G8" s="3214"/>
      <c r="H8" s="3214"/>
      <c r="I8" s="3214"/>
      <c r="J8" s="3214"/>
      <c r="K8" s="3214"/>
      <c r="L8" s="3214"/>
      <c r="M8" s="3214"/>
      <c r="N8" s="3214"/>
      <c r="O8" s="3214"/>
      <c r="P8" s="3214"/>
      <c r="Q8" s="3215"/>
      <c r="R8" s="1798">
        <f ca="1">结果表!O41</f>
        <v>4461</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88" customWidth="1"/>
    <col min="2" max="3" width="21.375" style="1788" customWidth="1"/>
    <col min="4" max="4" width="19.875" style="1788" customWidth="1"/>
    <col min="5" max="16384" width="9" style="1788"/>
  </cols>
  <sheetData>
    <row r="1" spans="1:4">
      <c r="A1" s="3217" t="s">
        <v>2065</v>
      </c>
      <c r="B1" s="3217"/>
      <c r="C1" s="3217"/>
      <c r="D1" s="3217"/>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16" t="s">
        <v>2066</v>
      </c>
      <c r="B5" s="3216"/>
      <c r="C5" s="3216"/>
      <c r="D5" s="3216"/>
    </row>
    <row r="6" spans="1:4">
      <c r="A6" s="3217" t="s">
        <v>2044</v>
      </c>
      <c r="B6" s="3217"/>
      <c r="C6" s="3217"/>
      <c r="D6" s="3217"/>
    </row>
    <row r="7" spans="1:4" ht="33" customHeight="1">
      <c r="A7" s="3217" t="s">
        <v>2575</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16" t="s">
        <v>2068</v>
      </c>
      <c r="B12" s="3216"/>
      <c r="C12" s="3216"/>
      <c r="D12" s="3216"/>
    </row>
    <row r="13" spans="1:4">
      <c r="A13" s="3220" t="s">
        <v>2746</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2702</v>
      </c>
      <c r="B17" s="3217"/>
      <c r="C17" s="3217"/>
      <c r="D17" s="3217"/>
    </row>
    <row r="18" spans="1:4">
      <c r="A18" s="3217" t="s">
        <v>2694</v>
      </c>
      <c r="B18" s="3217"/>
      <c r="C18" s="3217"/>
      <c r="D18" s="3217"/>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17" t="s">
        <v>2699</v>
      </c>
      <c r="B23" s="3217"/>
      <c r="C23" s="3217"/>
      <c r="D23" s="3217"/>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8" t="s">
        <v>53</v>
      </c>
      <c r="B15" s="3229" t="s">
        <v>846</v>
      </c>
      <c r="C15" s="3225"/>
    </row>
    <row r="16" spans="1:7" ht="14.25">
      <c r="A16" s="3228"/>
      <c r="B16" s="3226" t="s">
        <v>54</v>
      </c>
      <c r="C16" s="1168" t="s">
        <v>53</v>
      </c>
    </row>
    <row r="17" spans="1:3" ht="14.25">
      <c r="A17" s="3228"/>
      <c r="B17" s="3226"/>
      <c r="C17" s="1168" t="s">
        <v>55</v>
      </c>
    </row>
    <row r="18" spans="1:3" ht="14.25">
      <c r="A18" s="3228"/>
      <c r="B18" s="3226"/>
      <c r="C18" s="1168" t="s">
        <v>56</v>
      </c>
    </row>
    <row r="19" spans="1:3" ht="14.25">
      <c r="A19" s="3228"/>
      <c r="B19" s="3224" t="s">
        <v>57</v>
      </c>
      <c r="C19" s="3225"/>
    </row>
    <row r="20" spans="1:3" ht="14.25">
      <c r="A20" s="1169" t="s">
        <v>58</v>
      </c>
      <c r="B20" s="1170"/>
      <c r="C20" s="1171"/>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2" t="s">
        <v>837</v>
      </c>
    </row>
    <row r="25" spans="1:3" ht="14.25">
      <c r="A25" s="3227"/>
      <c r="B25" s="3231"/>
      <c r="C25" s="1172" t="s">
        <v>838</v>
      </c>
    </row>
    <row r="26" spans="1:3" ht="14.25">
      <c r="A26" s="3227"/>
      <c r="B26" s="3231"/>
      <c r="C26" s="1172" t="s">
        <v>839</v>
      </c>
    </row>
    <row r="27" spans="1:3" ht="14.25">
      <c r="A27" s="3227"/>
      <c r="B27" s="3231"/>
      <c r="C27" s="1172" t="s">
        <v>840</v>
      </c>
    </row>
    <row r="28" spans="1:3" ht="14.25">
      <c r="A28" s="3227"/>
      <c r="B28" s="3231"/>
      <c r="C28" s="1172" t="s">
        <v>841</v>
      </c>
    </row>
    <row r="29" spans="1:3" ht="14.25">
      <c r="A29" s="3227"/>
      <c r="B29" s="3231"/>
      <c r="C29" s="1172" t="s">
        <v>842</v>
      </c>
    </row>
    <row r="30" spans="1:3" ht="14.25">
      <c r="A30" s="3227"/>
      <c r="B30" s="3231"/>
      <c r="C30" s="1172" t="s">
        <v>843</v>
      </c>
    </row>
    <row r="31" spans="1:3" ht="14.25">
      <c r="A31" s="3227"/>
      <c r="B31" s="3231"/>
      <c r="C31" s="1172" t="s">
        <v>844</v>
      </c>
    </row>
    <row r="32" spans="1:3" ht="14.25">
      <c r="A32" s="3227"/>
      <c r="B32" s="3231"/>
      <c r="C32" s="1172" t="s">
        <v>1646</v>
      </c>
    </row>
    <row r="33" spans="1:3" ht="14.25">
      <c r="A33" s="3227"/>
      <c r="B33" s="3221" t="s">
        <v>1652</v>
      </c>
      <c r="C33" s="1172" t="s">
        <v>1647</v>
      </c>
    </row>
    <row r="34" spans="1:3" ht="14.25">
      <c r="A34" s="3227"/>
      <c r="B34" s="3222"/>
      <c r="C34" s="1177" t="s">
        <v>1648</v>
      </c>
    </row>
    <row r="35" spans="1:3" ht="14.25">
      <c r="A35" s="3227"/>
      <c r="B35" s="3222"/>
      <c r="C35" s="1178" t="s">
        <v>1649</v>
      </c>
    </row>
    <row r="36" spans="1:3" ht="14.25">
      <c r="A36" s="3227"/>
      <c r="B36" s="3222"/>
      <c r="C36" s="1178" t="s">
        <v>1650</v>
      </c>
    </row>
    <row r="37" spans="1:3" ht="14.25">
      <c r="A37" s="3227"/>
      <c r="B37" s="3223"/>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3" sqref="F33"/>
    </sheetView>
  </sheetViews>
  <sheetFormatPr defaultColWidth="22.625" defaultRowHeight="20.25" customHeight="1"/>
  <cols>
    <col min="1" max="1" width="24.625" style="3130" customWidth="1"/>
    <col min="2" max="5" width="22.625" style="3130"/>
    <col min="6" max="6" width="25.625" style="3130" customWidth="1"/>
    <col min="7" max="16384" width="22.625" style="3130"/>
  </cols>
  <sheetData>
    <row r="2" spans="1:6" ht="20.25" customHeight="1">
      <c r="A2" s="3127" t="s">
        <v>1907</v>
      </c>
      <c r="B2" s="3128">
        <f ca="1">TODAY()</f>
        <v>43718</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32" t="s">
        <v>1926</v>
      </c>
      <c r="B25" s="3232"/>
      <c r="C25" s="3232"/>
      <c r="D25" s="3232"/>
      <c r="E25" s="3232"/>
      <c r="F25" s="3232"/>
      <c r="G25" s="3232"/>
    </row>
    <row r="26" spans="1:7" ht="20.25" customHeight="1">
      <c r="A26" s="3233" t="s">
        <v>1927</v>
      </c>
      <c r="B26" s="3233"/>
      <c r="C26" s="3233"/>
      <c r="D26" s="3233" t="s">
        <v>1928</v>
      </c>
      <c r="E26" s="3233"/>
      <c r="F26" s="3233"/>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34"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c r="D53" s="1753"/>
      <c r="E53" s="1753"/>
    </row>
    <row r="54" spans="1:5">
      <c r="A54" s="3234"/>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4"/>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4"/>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4"/>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2019-09-10T02:31:32Z</dcterms:modified>
</cp:coreProperties>
</file>